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filterPrivacy="1" defaultThemeVersion="124226"/>
  <xr:revisionPtr revIDLastSave="0" documentId="13_ncr:4000b_{073463AB-89C3-43F0-8715-525720E2E581}" xr6:coauthVersionLast="47" xr6:coauthVersionMax="47" xr10:uidLastSave="{00000000-0000-0000-0000-000000000000}"/>
  <bookViews>
    <workbookView xWindow="-110" yWindow="-110" windowWidth="38620" windowHeight="21220" tabRatio="892"/>
  </bookViews>
  <sheets>
    <sheet name="INGRESOS 2020 " sheetId="31" r:id="rId1"/>
    <sheet name="Ejecutivo y Privada 2020" sheetId="1" r:id="rId2"/>
    <sheet name="Gabinete 2020" sheetId="2" r:id="rId3"/>
    <sheet name="Gobierno 2020" sheetId="3" r:id="rId4"/>
    <sheet name="URBANO 2020" sheetId="29" r:id="rId5"/>
    <sheet name="Economía 2020" sheetId="5" r:id="rId6"/>
    <sheet name="Inclusión Social 2020" sheetId="6" r:id="rId7"/>
    <sheet name="Salud 2020" sheetId="8" r:id="rId8"/>
    <sheet name="Educacion 2020" sheetId="27" r:id="rId9"/>
    <sheet name="justicia de faltas 2020" sheetId="30" r:id="rId10"/>
    <sheet name="Concejo Deliberante 2020" sheetId="12" r:id="rId11"/>
    <sheet name="Trib-Ctas 2020" sheetId="13" r:id="rId12"/>
    <sheet name="Auditoria 2020" sheetId="14" r:id="rId13"/>
    <sheet name="T-Reclam-Apelac-2020" sheetId="15" r:id="rId14"/>
    <sheet name="Ente Control SM 2020" sheetId="16" r:id="rId15"/>
    <sheet name="T-Admis-Conc-2020" sheetId="17" r:id="rId16"/>
    <sheet name="CAM 2020" sheetId="18" r:id="rId17"/>
    <sheet name="JUSTICIA ELECTORAL 2020" sheetId="21" r:id="rId18"/>
  </sheets>
  <definedNames>
    <definedName name="_xlnm.Print_Area" localSheetId="12">'Auditoria 2020'!$A$1:$E$156</definedName>
    <definedName name="_xlnm.Print_Area" localSheetId="16">'CAM 2020'!$A$1:$E$48</definedName>
    <definedName name="_xlnm.Print_Area" localSheetId="10">'Concejo Deliberante 2020'!$A$1:$E$152</definedName>
    <definedName name="_xlnm.Print_Area" localSheetId="5">'Economía 2020'!$A$1:$E$682</definedName>
    <definedName name="_xlnm.Print_Area" localSheetId="8">'Educacion 2020'!$A$1:$E$483</definedName>
    <definedName name="_xlnm.Print_Area" localSheetId="1">'Ejecutivo y Privada 2020'!$A$1:$E$543</definedName>
    <definedName name="_xlnm.Print_Area" localSheetId="14">'Ente Control SM 2020'!$A$1:$E$37</definedName>
    <definedName name="_xlnm.Print_Area" localSheetId="2">'Gabinete 2020'!$A$1:$E$795</definedName>
    <definedName name="_xlnm.Print_Area" localSheetId="3">'Gobierno 2020'!$A$1:$E$970</definedName>
    <definedName name="_xlnm.Print_Area" localSheetId="6">'Inclusión Social 2020'!$A$1:$E$604</definedName>
    <definedName name="_xlnm.Print_Area" localSheetId="0">'INGRESOS 2020 '!$A$1:$P$131</definedName>
    <definedName name="_xlnm.Print_Area" localSheetId="9">'justicia de faltas 2020'!$A$1:$E$200</definedName>
    <definedName name="_xlnm.Print_Area" localSheetId="17">'JUSTICIA ELECTORAL 2020'!$A$1:$E$33</definedName>
    <definedName name="_xlnm.Print_Area" localSheetId="7">'Salud 2020'!$A$1:$E$388</definedName>
    <definedName name="_xlnm.Print_Area" localSheetId="15">'T-Admis-Conc-2020'!$A$1:$E$35</definedName>
    <definedName name="_xlnm.Print_Area" localSheetId="13">'T-Reclam-Apelac-2020'!$A$1:$E$31</definedName>
    <definedName name="_xlnm.Print_Area" localSheetId="11">'Trib-Ctas 2020'!$A$1:$E$86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30" i="31" l="1"/>
  <c r="M127" i="31"/>
  <c r="D126" i="31"/>
  <c r="C126" i="31"/>
  <c r="B126" i="31"/>
  <c r="A126" i="31"/>
  <c r="M123" i="31"/>
  <c r="N122" i="31" s="1"/>
  <c r="M119" i="31"/>
  <c r="M117" i="31"/>
  <c r="M115" i="31"/>
  <c r="M111" i="31"/>
  <c r="M109" i="31"/>
  <c r="N108" i="31" s="1"/>
  <c r="O107" i="31" s="1"/>
  <c r="L101" i="31"/>
  <c r="M100" i="31" s="1"/>
  <c r="N99" i="31" s="1"/>
  <c r="M95" i="31"/>
  <c r="N94" i="31" s="1"/>
  <c r="O93" i="31" s="1"/>
  <c r="D92" i="31"/>
  <c r="C92" i="31"/>
  <c r="B92" i="31"/>
  <c r="A92" i="31"/>
  <c r="M88" i="31"/>
  <c r="L76" i="31"/>
  <c r="M75" i="31"/>
  <c r="N74" i="31"/>
  <c r="K73" i="31"/>
  <c r="L67" i="31" s="1"/>
  <c r="L62" i="31"/>
  <c r="L57" i="31"/>
  <c r="L52" i="31"/>
  <c r="E47" i="31"/>
  <c r="E48" i="31" s="1"/>
  <c r="E49" i="31" s="1"/>
  <c r="E50" i="31" s="1"/>
  <c r="E51" i="31" s="1"/>
  <c r="L46" i="31"/>
  <c r="L38" i="31"/>
  <c r="E34" i="31"/>
  <c r="E35" i="31" s="1"/>
  <c r="D34" i="31"/>
  <c r="D35" i="31" s="1"/>
  <c r="C34" i="31"/>
  <c r="C35" i="31" s="1"/>
  <c r="B34" i="31"/>
  <c r="B35" i="31" s="1"/>
  <c r="A34" i="31"/>
  <c r="A35" i="31"/>
  <c r="L27" i="31"/>
  <c r="L22" i="31"/>
  <c r="L11" i="31"/>
  <c r="L8" i="31"/>
  <c r="L5" i="31"/>
  <c r="M4" i="31" s="1"/>
  <c r="C36" i="29"/>
  <c r="C29" i="29"/>
  <c r="C28" i="29"/>
  <c r="C27" i="29"/>
  <c r="C22" i="29"/>
  <c r="C21" i="29"/>
  <c r="C22" i="2"/>
  <c r="C21" i="2"/>
  <c r="C20" i="2" s="1"/>
  <c r="C19" i="2" s="1"/>
  <c r="E17" i="2" s="1"/>
  <c r="C36" i="2"/>
  <c r="C35" i="2"/>
  <c r="C34" i="2" s="1"/>
  <c r="C29" i="2"/>
  <c r="C28" i="2"/>
  <c r="C27" i="2" s="1"/>
  <c r="C26" i="1"/>
  <c r="C25" i="1"/>
  <c r="C24" i="1" s="1"/>
  <c r="C19" i="1"/>
  <c r="C18" i="1"/>
  <c r="C38" i="6"/>
  <c r="C32" i="6"/>
  <c r="C31" i="6"/>
  <c r="C31" i="27"/>
  <c r="C24" i="27"/>
  <c r="C23" i="27"/>
  <c r="C22" i="27" s="1"/>
  <c r="C21" i="27" s="1"/>
  <c r="C20" i="8"/>
  <c r="C19" i="8"/>
  <c r="C27" i="8"/>
  <c r="C25" i="8" s="1"/>
  <c r="C26" i="8"/>
  <c r="C34" i="8"/>
  <c r="C32" i="8" s="1"/>
  <c r="C33" i="8"/>
  <c r="C34" i="5"/>
  <c r="C33" i="5"/>
  <c r="C32" i="5" s="1"/>
  <c r="C19" i="3"/>
  <c r="C26" i="3"/>
  <c r="C25" i="3" s="1"/>
  <c r="C34" i="3"/>
  <c r="C33" i="3"/>
  <c r="C32" i="3" s="1"/>
  <c r="C30" i="27"/>
  <c r="C29" i="27" s="1"/>
  <c r="C26" i="5"/>
  <c r="C25" i="5" s="1"/>
  <c r="C20" i="3"/>
  <c r="C35" i="29"/>
  <c r="C81" i="1"/>
  <c r="C70" i="1"/>
  <c r="C67" i="1"/>
  <c r="C36" i="1"/>
  <c r="C33" i="1"/>
  <c r="C32" i="1"/>
  <c r="C31" i="1" s="1"/>
  <c r="C29" i="1"/>
  <c r="C22" i="1"/>
  <c r="C17" i="1" s="1"/>
  <c r="C20" i="1"/>
  <c r="C23" i="1"/>
  <c r="C225" i="2"/>
  <c r="C136" i="2"/>
  <c r="C135" i="2"/>
  <c r="C134" i="2"/>
  <c r="C129" i="2"/>
  <c r="C128" i="2"/>
  <c r="C127" i="2" s="1"/>
  <c r="C123" i="2"/>
  <c r="C122" i="2"/>
  <c r="C121" i="2"/>
  <c r="C120" i="2"/>
  <c r="C26" i="2"/>
  <c r="C61" i="2"/>
  <c r="C58" i="2"/>
  <c r="C51" i="2"/>
  <c r="C49" i="2"/>
  <c r="C47" i="2"/>
  <c r="C45" i="2"/>
  <c r="C43" i="2"/>
  <c r="C42" i="2"/>
  <c r="C39" i="2"/>
  <c r="C32" i="2"/>
  <c r="C25" i="2"/>
  <c r="C23" i="2"/>
  <c r="C941" i="3"/>
  <c r="C782" i="3"/>
  <c r="C773" i="3"/>
  <c r="C872" i="3"/>
  <c r="C613" i="3"/>
  <c r="C607" i="3" s="1"/>
  <c r="C493" i="3"/>
  <c r="C492" i="3" s="1"/>
  <c r="C496" i="3"/>
  <c r="C357" i="3"/>
  <c r="C353" i="3"/>
  <c r="C352" i="3"/>
  <c r="C37" i="3"/>
  <c r="C30" i="3"/>
  <c r="C27" i="3"/>
  <c r="C24" i="3"/>
  <c r="C23" i="3"/>
  <c r="C21" i="3"/>
  <c r="C872" i="29"/>
  <c r="E870" i="29" s="1"/>
  <c r="C859" i="29"/>
  <c r="E857" i="29"/>
  <c r="C846" i="29"/>
  <c r="E844" i="29" s="1"/>
  <c r="C833" i="29"/>
  <c r="E831" i="29" s="1"/>
  <c r="C820" i="29"/>
  <c r="E818" i="29" s="1"/>
  <c r="C806" i="29"/>
  <c r="E804" i="29"/>
  <c r="C792" i="29"/>
  <c r="E790" i="29"/>
  <c r="C778" i="29"/>
  <c r="E776" i="29"/>
  <c r="C765" i="29"/>
  <c r="E763" i="29"/>
  <c r="C751" i="29"/>
  <c r="E749" i="29" s="1"/>
  <c r="C737" i="29"/>
  <c r="E735" i="29"/>
  <c r="C723" i="29"/>
  <c r="E721" i="29"/>
  <c r="C709" i="29"/>
  <c r="E707" i="29" s="1"/>
  <c r="C696" i="29"/>
  <c r="C695" i="29"/>
  <c r="E693" i="29"/>
  <c r="C683" i="29"/>
  <c r="C681" i="29"/>
  <c r="C680" i="29" s="1"/>
  <c r="E678" i="29" s="1"/>
  <c r="C668" i="29"/>
  <c r="C667" i="29"/>
  <c r="E665" i="29"/>
  <c r="C654" i="29"/>
  <c r="E652" i="29"/>
  <c r="C638" i="29"/>
  <c r="D636" i="29"/>
  <c r="C625" i="29"/>
  <c r="D623" i="29"/>
  <c r="C613" i="29"/>
  <c r="D611" i="29" s="1"/>
  <c r="E576" i="29" s="1"/>
  <c r="C601" i="29"/>
  <c r="C599" i="29"/>
  <c r="C594" i="29"/>
  <c r="C591" i="29"/>
  <c r="C590" i="29" s="1"/>
  <c r="C586" i="29"/>
  <c r="C579" i="29"/>
  <c r="C578" i="29"/>
  <c r="C109" i="29"/>
  <c r="C106" i="29" s="1"/>
  <c r="C260" i="6"/>
  <c r="C87" i="29"/>
  <c r="C39" i="29"/>
  <c r="C26" i="29"/>
  <c r="C25" i="29"/>
  <c r="C23" i="29"/>
  <c r="C20" i="29" s="1"/>
  <c r="C19" i="29" s="1"/>
  <c r="C241" i="6"/>
  <c r="C42" i="6"/>
  <c r="C37" i="6"/>
  <c r="C39" i="6"/>
  <c r="C35" i="6"/>
  <c r="C28" i="6"/>
  <c r="C26" i="6"/>
  <c r="C25" i="6"/>
  <c r="C23" i="6" s="1"/>
  <c r="C22" i="6" s="1"/>
  <c r="E20" i="6" s="1"/>
  <c r="C24" i="6"/>
  <c r="C29" i="6"/>
  <c r="C28" i="27"/>
  <c r="C24" i="8"/>
  <c r="C31" i="5"/>
  <c r="C124" i="5"/>
  <c r="C44" i="5"/>
  <c r="C41" i="5"/>
  <c r="C40" i="5"/>
  <c r="C39" i="5"/>
  <c r="C37" i="5"/>
  <c r="C30" i="5"/>
  <c r="C28" i="5"/>
  <c r="C27" i="5"/>
  <c r="C38" i="27"/>
  <c r="C41" i="27"/>
  <c r="C37" i="27"/>
  <c r="C36" i="27" s="1"/>
  <c r="C34" i="27"/>
  <c r="C27" i="27"/>
  <c r="C25" i="27"/>
  <c r="C206" i="8"/>
  <c r="C105" i="8"/>
  <c r="C338" i="8"/>
  <c r="C340" i="8"/>
  <c r="C336" i="8"/>
  <c r="C37" i="8"/>
  <c r="C23" i="8"/>
  <c r="C21" i="8"/>
  <c r="C29" i="14"/>
  <c r="C28" i="14"/>
  <c r="C27" i="14" s="1"/>
  <c r="C23" i="14"/>
  <c r="C22" i="14"/>
  <c r="C21" i="14"/>
  <c r="C34" i="13"/>
  <c r="C33" i="13"/>
  <c r="C32" i="13" s="1"/>
  <c r="C28" i="13"/>
  <c r="C27" i="13"/>
  <c r="C26" i="13"/>
  <c r="C25" i="13"/>
  <c r="C17" i="13" s="1"/>
  <c r="C32" i="30"/>
  <c r="C29" i="30"/>
  <c r="C28" i="30"/>
  <c r="C27" i="30"/>
  <c r="C22" i="30"/>
  <c r="C21" i="30"/>
  <c r="C16" i="30"/>
  <c r="C15" i="30"/>
  <c r="C14" i="30"/>
  <c r="C13" i="30" s="1"/>
  <c r="C12" i="30" s="1"/>
  <c r="C36" i="12"/>
  <c r="C33" i="12"/>
  <c r="C32" i="12"/>
  <c r="C26" i="12"/>
  <c r="C25" i="12"/>
  <c r="C24" i="12"/>
  <c r="C22" i="12"/>
  <c r="C20" i="12"/>
  <c r="C19" i="12"/>
  <c r="C17" i="12"/>
  <c r="C16" i="12" s="1"/>
  <c r="C18" i="12"/>
  <c r="C31" i="21"/>
  <c r="C30" i="21"/>
  <c r="C40" i="18"/>
  <c r="C39" i="18"/>
  <c r="C38" i="18"/>
  <c r="C37" i="18"/>
  <c r="C33" i="18"/>
  <c r="C33" i="17"/>
  <c r="C32" i="17" s="1"/>
  <c r="C31" i="17" s="1"/>
  <c r="C20" i="17"/>
  <c r="C19" i="17"/>
  <c r="C16" i="17"/>
  <c r="C26" i="17"/>
  <c r="C18" i="15"/>
  <c r="C17" i="15"/>
  <c r="C31" i="15"/>
  <c r="C30" i="15"/>
  <c r="C22" i="15"/>
  <c r="C35" i="16"/>
  <c r="C34" i="16" s="1"/>
  <c r="C33" i="16" s="1"/>
  <c r="D43" i="16" s="1"/>
  <c r="C57" i="14"/>
  <c r="C81" i="13"/>
  <c r="C80" i="13" s="1"/>
  <c r="C75" i="13"/>
  <c r="C43" i="13"/>
  <c r="C40" i="13" s="1"/>
  <c r="C134" i="12"/>
  <c r="C87" i="2"/>
  <c r="C86" i="2" s="1"/>
  <c r="C504" i="1"/>
  <c r="C206" i="1"/>
  <c r="C204" i="1"/>
  <c r="C227" i="1"/>
  <c r="C225" i="1"/>
  <c r="C224" i="1"/>
  <c r="C372" i="2"/>
  <c r="C794" i="2"/>
  <c r="C790" i="2"/>
  <c r="C784" i="2"/>
  <c r="C782" i="2"/>
  <c r="C779" i="2"/>
  <c r="C777" i="2"/>
  <c r="C774" i="2" s="1"/>
  <c r="C775" i="2"/>
  <c r="C770" i="2"/>
  <c r="C768" i="2"/>
  <c r="C763" i="2"/>
  <c r="C761" i="2"/>
  <c r="C759" i="2"/>
  <c r="C757" i="2"/>
  <c r="C756" i="2" s="1"/>
  <c r="E753" i="2" s="1"/>
  <c r="C599" i="2"/>
  <c r="C557" i="2"/>
  <c r="C543" i="2"/>
  <c r="C80" i="2"/>
  <c r="C67" i="2"/>
  <c r="C66" i="2" s="1"/>
  <c r="C443" i="29"/>
  <c r="C442" i="29" s="1"/>
  <c r="C409" i="29"/>
  <c r="C256" i="29"/>
  <c r="C254" i="29"/>
  <c r="C200" i="29"/>
  <c r="C202" i="29"/>
  <c r="C876" i="3"/>
  <c r="C706" i="3"/>
  <c r="C710" i="3"/>
  <c r="C619" i="3"/>
  <c r="C283" i="3"/>
  <c r="C282" i="3" s="1"/>
  <c r="C261" i="3"/>
  <c r="C241" i="3"/>
  <c r="C182" i="3"/>
  <c r="C119" i="3"/>
  <c r="C516" i="6"/>
  <c r="C187" i="6"/>
  <c r="C183" i="6"/>
  <c r="C181" i="6"/>
  <c r="C176" i="6"/>
  <c r="C174" i="6"/>
  <c r="C173" i="6" s="1"/>
  <c r="E171" i="6" s="1"/>
  <c r="C396" i="6"/>
  <c r="C393" i="6" s="1"/>
  <c r="C346" i="6"/>
  <c r="C329" i="6"/>
  <c r="C275" i="6"/>
  <c r="C262" i="6"/>
  <c r="C77" i="6"/>
  <c r="C48" i="6"/>
  <c r="C68" i="6"/>
  <c r="C623" i="5"/>
  <c r="C573" i="5"/>
  <c r="C576" i="5"/>
  <c r="C500" i="5"/>
  <c r="C515" i="5"/>
  <c r="C287" i="27"/>
  <c r="C208" i="27"/>
  <c r="C150" i="27"/>
  <c r="C117" i="27"/>
  <c r="C82" i="27"/>
  <c r="C296" i="8"/>
  <c r="C368" i="8"/>
  <c r="C198" i="8"/>
  <c r="C219" i="8"/>
  <c r="C213" i="8"/>
  <c r="C212" i="8"/>
  <c r="C194" i="8"/>
  <c r="C185" i="8"/>
  <c r="C176" i="8"/>
  <c r="C70" i="8"/>
  <c r="C61" i="8"/>
  <c r="C90" i="8"/>
  <c r="C128" i="8"/>
  <c r="C125" i="8"/>
  <c r="C63" i="30"/>
  <c r="C60" i="30"/>
  <c r="C54" i="30"/>
  <c r="C49" i="30"/>
  <c r="C47" i="30"/>
  <c r="C46" i="30" s="1"/>
  <c r="C170" i="30"/>
  <c r="C165" i="30" s="1"/>
  <c r="C154" i="30"/>
  <c r="C138" i="30"/>
  <c r="C137" i="30" s="1"/>
  <c r="C68" i="30"/>
  <c r="C73" i="30"/>
  <c r="C67" i="30" s="1"/>
  <c r="C76" i="30"/>
  <c r="C81" i="30"/>
  <c r="C84" i="30"/>
  <c r="C89" i="30"/>
  <c r="C96" i="30"/>
  <c r="C95" i="30" s="1"/>
  <c r="C100" i="30"/>
  <c r="C210" i="30"/>
  <c r="C209" i="30"/>
  <c r="C208" i="30"/>
  <c r="C211" i="30" s="1"/>
  <c r="C212" i="30" s="1"/>
  <c r="C102" i="30"/>
  <c r="C166" i="30"/>
  <c r="C172" i="30"/>
  <c r="B210" i="30"/>
  <c r="B209" i="30"/>
  <c r="B208" i="30"/>
  <c r="B207" i="30"/>
  <c r="C199" i="30"/>
  <c r="C197" i="30"/>
  <c r="C195" i="30"/>
  <c r="C194" i="30" s="1"/>
  <c r="C190" i="30"/>
  <c r="C189" i="30"/>
  <c r="D209" i="30" s="1"/>
  <c r="E209" i="30" s="1"/>
  <c r="C186" i="30"/>
  <c r="C184" i="30"/>
  <c r="C120" i="14"/>
  <c r="C87" i="14"/>
  <c r="C91" i="14"/>
  <c r="C86" i="14" s="1"/>
  <c r="C62" i="12"/>
  <c r="C70" i="12"/>
  <c r="C73" i="12"/>
  <c r="C76" i="12"/>
  <c r="C80" i="12"/>
  <c r="C86" i="12"/>
  <c r="C88" i="12"/>
  <c r="C85" i="12" s="1"/>
  <c r="C29" i="16"/>
  <c r="C28" i="16"/>
  <c r="C25" i="16" s="1"/>
  <c r="D42" i="16" s="1"/>
  <c r="C24" i="17"/>
  <c r="C23" i="17"/>
  <c r="C22" i="17" s="1"/>
  <c r="C29" i="17"/>
  <c r="C28" i="17"/>
  <c r="C27" i="17"/>
  <c r="C24" i="15"/>
  <c r="C23" i="15" s="1"/>
  <c r="C25" i="15"/>
  <c r="IV25" i="15" s="1"/>
  <c r="C37" i="16"/>
  <c r="C36" i="16" s="1"/>
  <c r="C18" i="16"/>
  <c r="C20" i="16"/>
  <c r="C35" i="17"/>
  <c r="C18" i="17"/>
  <c r="C17" i="17"/>
  <c r="C15" i="17"/>
  <c r="C740" i="2"/>
  <c r="C736" i="2"/>
  <c r="C735" i="2"/>
  <c r="C731" i="2"/>
  <c r="C730" i="2"/>
  <c r="C725" i="2"/>
  <c r="C723" i="2"/>
  <c r="C720" i="2"/>
  <c r="C718" i="2"/>
  <c r="C716" i="2"/>
  <c r="C715" i="2" s="1"/>
  <c r="C711" i="2"/>
  <c r="C709" i="2"/>
  <c r="C704" i="2"/>
  <c r="C702" i="2"/>
  <c r="C700" i="2"/>
  <c r="C695" i="2" s="1"/>
  <c r="C698" i="2"/>
  <c r="C696" i="2"/>
  <c r="C635" i="2"/>
  <c r="C637" i="2"/>
  <c r="C634" i="2" s="1"/>
  <c r="E632" i="2" s="1"/>
  <c r="C639" i="2"/>
  <c r="C641" i="2"/>
  <c r="C643" i="2"/>
  <c r="C645" i="2"/>
  <c r="C649" i="2"/>
  <c r="C651" i="2"/>
  <c r="C656" i="2"/>
  <c r="C659" i="2"/>
  <c r="C662" i="2"/>
  <c r="C661" i="2"/>
  <c r="C664" i="2"/>
  <c r="C655" i="2" s="1"/>
  <c r="C668" i="2"/>
  <c r="C666" i="2" s="1"/>
  <c r="C675" i="2"/>
  <c r="C672" i="2"/>
  <c r="C677" i="2"/>
  <c r="C676" i="2" s="1"/>
  <c r="C671" i="2" s="1"/>
  <c r="C679" i="2"/>
  <c r="C430" i="2"/>
  <c r="C216" i="1"/>
  <c r="C218" i="1"/>
  <c r="C64" i="29"/>
  <c r="C63" i="29" s="1"/>
  <c r="C680" i="5"/>
  <c r="C142" i="5"/>
  <c r="C183" i="5"/>
  <c r="C538" i="5"/>
  <c r="C674" i="5"/>
  <c r="C563" i="29"/>
  <c r="C561" i="29"/>
  <c r="C559" i="29"/>
  <c r="C555" i="29"/>
  <c r="C554" i="29" s="1"/>
  <c r="C549" i="29"/>
  <c r="C546" i="29"/>
  <c r="C540" i="29"/>
  <c r="C534" i="29"/>
  <c r="C530" i="29"/>
  <c r="C529" i="29" s="1"/>
  <c r="C525" i="29"/>
  <c r="C502" i="29" s="1"/>
  <c r="C518" i="29"/>
  <c r="C513" i="29"/>
  <c r="C509" i="29"/>
  <c r="C507" i="29"/>
  <c r="C505" i="29"/>
  <c r="C503" i="29"/>
  <c r="C452" i="29"/>
  <c r="C450" i="29"/>
  <c r="C447" i="29"/>
  <c r="C446" i="29" s="1"/>
  <c r="C436" i="29"/>
  <c r="C434" i="29"/>
  <c r="C431" i="29"/>
  <c r="C428" i="29"/>
  <c r="C425" i="29"/>
  <c r="C419" i="29"/>
  <c r="C415" i="29"/>
  <c r="C414" i="29" s="1"/>
  <c r="C401" i="29"/>
  <c r="C396" i="29"/>
  <c r="C392" i="29"/>
  <c r="C390" i="29"/>
  <c r="C388" i="29"/>
  <c r="C385" i="29"/>
  <c r="C381" i="29" s="1"/>
  <c r="E379" i="29" s="1"/>
  <c r="C382" i="29"/>
  <c r="C355" i="29"/>
  <c r="C351" i="29"/>
  <c r="C353" i="29"/>
  <c r="C350" i="29" s="1"/>
  <c r="C345" i="29"/>
  <c r="C340" i="29"/>
  <c r="C343" i="29"/>
  <c r="C335" i="29"/>
  <c r="C333" i="29"/>
  <c r="C331" i="29"/>
  <c r="C329" i="29"/>
  <c r="C328" i="29" s="1"/>
  <c r="E326" i="29" s="1"/>
  <c r="C313" i="29"/>
  <c r="C311" i="29"/>
  <c r="C310" i="29"/>
  <c r="C305" i="29"/>
  <c r="C303" i="29"/>
  <c r="C300" i="29"/>
  <c r="C299" i="29" s="1"/>
  <c r="C295" i="29"/>
  <c r="C293" i="29"/>
  <c r="C291" i="29"/>
  <c r="C289" i="29"/>
  <c r="C288" i="29" s="1"/>
  <c r="E286" i="29" s="1"/>
  <c r="C272" i="29"/>
  <c r="C270" i="29"/>
  <c r="C269" i="29"/>
  <c r="C264" i="29"/>
  <c r="C262" i="29"/>
  <c r="C259" i="29"/>
  <c r="C253" i="29" s="1"/>
  <c r="E240" i="29" s="1"/>
  <c r="C249" i="29"/>
  <c r="C247" i="29"/>
  <c r="C245" i="29"/>
  <c r="C243" i="29"/>
  <c r="C226" i="29"/>
  <c r="C224" i="29"/>
  <c r="C223" i="29"/>
  <c r="C218" i="29"/>
  <c r="C216" i="29"/>
  <c r="C213" i="29"/>
  <c r="C211" i="29"/>
  <c r="C210" i="29"/>
  <c r="C206" i="29"/>
  <c r="C204" i="29"/>
  <c r="C198" i="29"/>
  <c r="C197" i="29"/>
  <c r="E195" i="29"/>
  <c r="C182" i="29"/>
  <c r="C178" i="29" s="1"/>
  <c r="C179" i="29"/>
  <c r="C173" i="29"/>
  <c r="C170" i="29"/>
  <c r="C164" i="29"/>
  <c r="C167" i="29"/>
  <c r="C165" i="29"/>
  <c r="C160" i="29"/>
  <c r="C158" i="29"/>
  <c r="C156" i="29"/>
  <c r="C154" i="29"/>
  <c r="C152" i="29"/>
  <c r="C151" i="29" s="1"/>
  <c r="C137" i="29"/>
  <c r="C134" i="29"/>
  <c r="C133" i="29" s="1"/>
  <c r="C128" i="29"/>
  <c r="C125" i="29"/>
  <c r="C122" i="29"/>
  <c r="C120" i="29"/>
  <c r="C119" i="29" s="1"/>
  <c r="C115" i="29"/>
  <c r="C113" i="29"/>
  <c r="C111" i="29"/>
  <c r="C107" i="29"/>
  <c r="C90" i="29"/>
  <c r="C83" i="29"/>
  <c r="C81" i="29"/>
  <c r="C80" i="29" s="1"/>
  <c r="C73" i="29"/>
  <c r="C71" i="29"/>
  <c r="C68" i="29"/>
  <c r="C65" i="29"/>
  <c r="C61" i="29"/>
  <c r="C55" i="29"/>
  <c r="C53" i="29"/>
  <c r="C51" i="29"/>
  <c r="C49" i="29"/>
  <c r="C47" i="29"/>
  <c r="C45" i="29"/>
  <c r="C43" i="29"/>
  <c r="C42" i="29" s="1"/>
  <c r="C410" i="27"/>
  <c r="C399" i="27" s="1"/>
  <c r="E397" i="27" s="1"/>
  <c r="C158" i="1"/>
  <c r="C108" i="1"/>
  <c r="C499" i="1"/>
  <c r="C613" i="2"/>
  <c r="C612" i="2" s="1"/>
  <c r="C432" i="2"/>
  <c r="C418" i="2"/>
  <c r="C387" i="2"/>
  <c r="C374" i="2"/>
  <c r="C349" i="2"/>
  <c r="C316" i="2"/>
  <c r="C298" i="2"/>
  <c r="C279" i="2"/>
  <c r="C268" i="2"/>
  <c r="C149" i="2"/>
  <c r="C154" i="2"/>
  <c r="C94" i="2"/>
  <c r="C93" i="2" s="1"/>
  <c r="C70" i="2"/>
  <c r="C961" i="3"/>
  <c r="C936" i="3"/>
  <c r="C935" i="3" s="1"/>
  <c r="C938" i="3"/>
  <c r="C949" i="3"/>
  <c r="C929" i="3"/>
  <c r="C925" i="3"/>
  <c r="C920" i="3"/>
  <c r="C887" i="3"/>
  <c r="C886" i="3" s="1"/>
  <c r="C867" i="3"/>
  <c r="C864" i="3" s="1"/>
  <c r="C878" i="3"/>
  <c r="C853" i="3"/>
  <c r="C846" i="3"/>
  <c r="C802" i="3"/>
  <c r="C789" i="3"/>
  <c r="C766" i="3"/>
  <c r="C763" i="3"/>
  <c r="C756" i="3"/>
  <c r="C720" i="3"/>
  <c r="C712" i="3"/>
  <c r="C702" i="3"/>
  <c r="C688" i="3"/>
  <c r="C681" i="3"/>
  <c r="C678" i="3"/>
  <c r="C632" i="3"/>
  <c r="C631" i="3" s="1"/>
  <c r="C585" i="3"/>
  <c r="C588" i="3"/>
  <c r="C580" i="3" s="1"/>
  <c r="C591" i="3"/>
  <c r="C598" i="3"/>
  <c r="C601" i="3"/>
  <c r="C455" i="3"/>
  <c r="C441" i="3" s="1"/>
  <c r="C524" i="3"/>
  <c r="C467" i="3"/>
  <c r="C395" i="3"/>
  <c r="C444" i="3"/>
  <c r="C341" i="3"/>
  <c r="C337" i="3"/>
  <c r="C346" i="3"/>
  <c r="C327" i="3"/>
  <c r="C195" i="3"/>
  <c r="C140" i="3"/>
  <c r="C92" i="3"/>
  <c r="C56" i="3"/>
  <c r="C47" i="3"/>
  <c r="C53" i="3"/>
  <c r="C513" i="1"/>
  <c r="C509" i="1"/>
  <c r="C508" i="1" s="1"/>
  <c r="C497" i="1"/>
  <c r="C494" i="1"/>
  <c r="C492" i="1"/>
  <c r="C491" i="1" s="1"/>
  <c r="C486" i="1"/>
  <c r="C483" i="1"/>
  <c r="C477" i="1"/>
  <c r="C475" i="1"/>
  <c r="C470" i="1" s="1"/>
  <c r="E468" i="1" s="1"/>
  <c r="C473" i="1"/>
  <c r="C471" i="1"/>
  <c r="C392" i="1"/>
  <c r="C386" i="1"/>
  <c r="C385" i="1" s="1"/>
  <c r="C390" i="1"/>
  <c r="C376" i="1"/>
  <c r="C380" i="1"/>
  <c r="C402" i="1"/>
  <c r="C397" i="1" s="1"/>
  <c r="C398" i="1"/>
  <c r="C388" i="1"/>
  <c r="C378" i="1"/>
  <c r="C122" i="1"/>
  <c r="C119" i="1"/>
  <c r="C114" i="1"/>
  <c r="C83" i="1"/>
  <c r="C77" i="1" s="1"/>
  <c r="C64" i="1"/>
  <c r="C62" i="1"/>
  <c r="C61" i="1" s="1"/>
  <c r="C72" i="1"/>
  <c r="C47" i="1"/>
  <c r="C53" i="1"/>
  <c r="C87" i="30"/>
  <c r="C52" i="30"/>
  <c r="C159" i="30"/>
  <c r="C157" i="30"/>
  <c r="C151" i="30"/>
  <c r="C146" i="30"/>
  <c r="C143" i="30"/>
  <c r="C133" i="30"/>
  <c r="C130" i="30"/>
  <c r="C124" i="30"/>
  <c r="C70" i="13"/>
  <c r="C278" i="27"/>
  <c r="C293" i="27"/>
  <c r="C474" i="27"/>
  <c r="C423" i="27"/>
  <c r="C416" i="27"/>
  <c r="C338" i="27"/>
  <c r="C360" i="27"/>
  <c r="C357" i="27"/>
  <c r="C356" i="27" s="1"/>
  <c r="C349" i="27"/>
  <c r="C340" i="27"/>
  <c r="C346" i="27"/>
  <c r="C304" i="27"/>
  <c r="C301" i="27"/>
  <c r="C300" i="27" s="1"/>
  <c r="C233" i="27"/>
  <c r="C232" i="27" s="1"/>
  <c r="C198" i="27"/>
  <c r="C195" i="27"/>
  <c r="C190" i="27"/>
  <c r="C188" i="27"/>
  <c r="C51" i="27"/>
  <c r="C142" i="27"/>
  <c r="C126" i="27"/>
  <c r="C121" i="27"/>
  <c r="C154" i="27"/>
  <c r="C149" i="27"/>
  <c r="C140" i="27"/>
  <c r="C138" i="27"/>
  <c r="C136" i="27"/>
  <c r="C134" i="27"/>
  <c r="C132" i="27"/>
  <c r="C131" i="27" s="1"/>
  <c r="C124" i="27"/>
  <c r="C119" i="27"/>
  <c r="C115" i="27"/>
  <c r="C114" i="27" s="1"/>
  <c r="D112" i="27" s="1"/>
  <c r="C94" i="27"/>
  <c r="C93" i="27" s="1"/>
  <c r="C75" i="27"/>
  <c r="C72" i="27"/>
  <c r="C69" i="27"/>
  <c r="C68" i="27" s="1"/>
  <c r="C62" i="27"/>
  <c r="C44" i="27" s="1"/>
  <c r="C61" i="6"/>
  <c r="C53" i="27"/>
  <c r="C59" i="27"/>
  <c r="C534" i="6"/>
  <c r="C599" i="6"/>
  <c r="C478" i="6"/>
  <c r="C476" i="6"/>
  <c r="C475" i="6"/>
  <c r="C470" i="6"/>
  <c r="C469" i="6"/>
  <c r="C463" i="6"/>
  <c r="C461" i="6"/>
  <c r="C458" i="6"/>
  <c r="C456" i="6"/>
  <c r="C454" i="6"/>
  <c r="C453" i="6" s="1"/>
  <c r="C448" i="6"/>
  <c r="C446" i="6"/>
  <c r="C444" i="6"/>
  <c r="C442" i="6"/>
  <c r="C440" i="6"/>
  <c r="C438" i="6"/>
  <c r="C437" i="6" s="1"/>
  <c r="C580" i="6"/>
  <c r="C585" i="6"/>
  <c r="C572" i="6"/>
  <c r="C569" i="6"/>
  <c r="C564" i="6"/>
  <c r="C562" i="6"/>
  <c r="C560" i="6"/>
  <c r="C504" i="6"/>
  <c r="C506" i="6"/>
  <c r="C409" i="6"/>
  <c r="C401" i="6"/>
  <c r="C387" i="6"/>
  <c r="C399" i="6"/>
  <c r="C379" i="6"/>
  <c r="C307" i="6"/>
  <c r="C313" i="6"/>
  <c r="C384" i="6"/>
  <c r="C326" i="6"/>
  <c r="C316" i="6"/>
  <c r="C302" i="6"/>
  <c r="C297" i="6" s="1"/>
  <c r="C244" i="6"/>
  <c r="C249" i="6"/>
  <c r="C252" i="6"/>
  <c r="C236" i="6"/>
  <c r="C210" i="6"/>
  <c r="C145" i="6"/>
  <c r="C139" i="6"/>
  <c r="C127" i="6"/>
  <c r="C123" i="6"/>
  <c r="C91" i="6"/>
  <c r="C58" i="6"/>
  <c r="C45" i="6" s="1"/>
  <c r="C71" i="6"/>
  <c r="C67" i="6" s="1"/>
  <c r="C74" i="6"/>
  <c r="C79" i="6"/>
  <c r="C52" i="6"/>
  <c r="C34" i="14"/>
  <c r="C141" i="12"/>
  <c r="C128" i="12"/>
  <c r="C96" i="12"/>
  <c r="C93" i="12"/>
  <c r="C470" i="5"/>
  <c r="C465" i="5"/>
  <c r="C462" i="5"/>
  <c r="C459" i="5"/>
  <c r="C457" i="5"/>
  <c r="C456" i="5" s="1"/>
  <c r="E434" i="5" s="1"/>
  <c r="C506" i="5"/>
  <c r="C512" i="5"/>
  <c r="C520" i="5"/>
  <c r="C524" i="5"/>
  <c r="C526" i="5"/>
  <c r="C519" i="5"/>
  <c r="C534" i="5"/>
  <c r="C504" i="5"/>
  <c r="C478" i="5"/>
  <c r="C476" i="5"/>
  <c r="C441" i="5"/>
  <c r="C443" i="5"/>
  <c r="C449" i="5"/>
  <c r="C400" i="5"/>
  <c r="C403" i="5"/>
  <c r="C416" i="5"/>
  <c r="C397" i="5"/>
  <c r="C382" i="5"/>
  <c r="C352" i="5"/>
  <c r="C351" i="5" s="1"/>
  <c r="C294" i="5"/>
  <c r="C338" i="5"/>
  <c r="C346" i="5"/>
  <c r="C328" i="5"/>
  <c r="C322" i="5"/>
  <c r="C318" i="5"/>
  <c r="C320" i="5"/>
  <c r="C315" i="5" s="1"/>
  <c r="E313" i="5" s="1"/>
  <c r="C287" i="5"/>
  <c r="C256" i="5"/>
  <c r="C271" i="5"/>
  <c r="C270" i="5" s="1"/>
  <c r="C273" i="5"/>
  <c r="C276" i="5"/>
  <c r="C279" i="5"/>
  <c r="C283" i="5"/>
  <c r="C285" i="5"/>
  <c r="C262" i="5"/>
  <c r="C151" i="5"/>
  <c r="C150" i="5"/>
  <c r="C139" i="5"/>
  <c r="C136" i="5" s="1"/>
  <c r="C130" i="5"/>
  <c r="C95" i="5"/>
  <c r="C78" i="5"/>
  <c r="C61" i="5"/>
  <c r="C55" i="5"/>
  <c r="C382" i="8"/>
  <c r="C379" i="8"/>
  <c r="C361" i="8"/>
  <c r="C352" i="8"/>
  <c r="C344" i="8"/>
  <c r="C258" i="8"/>
  <c r="C310" i="8"/>
  <c r="C307" i="8"/>
  <c r="C306" i="8"/>
  <c r="C287" i="8"/>
  <c r="C289" i="8"/>
  <c r="C281" i="8"/>
  <c r="C276" i="8" s="1"/>
  <c r="C269" i="8"/>
  <c r="C266" i="8"/>
  <c r="C253" i="8"/>
  <c r="C245" i="8"/>
  <c r="C303" i="8"/>
  <c r="C302" i="8" s="1"/>
  <c r="C79" i="8"/>
  <c r="C67" i="8"/>
  <c r="C140" i="8"/>
  <c r="C123" i="8"/>
  <c r="C48" i="13"/>
  <c r="C136" i="12"/>
  <c r="C138" i="12"/>
  <c r="C124" i="12"/>
  <c r="C56" i="12"/>
  <c r="C53" i="12"/>
  <c r="C48" i="12"/>
  <c r="C46" i="12"/>
  <c r="C44" i="12"/>
  <c r="C42" i="12"/>
  <c r="C40" i="12"/>
  <c r="C39" i="12" s="1"/>
  <c r="C23" i="18"/>
  <c r="C45" i="18"/>
  <c r="C35" i="18"/>
  <c r="C32" i="18" s="1"/>
  <c r="C27" i="18"/>
  <c r="C25" i="18"/>
  <c r="C21" i="15"/>
  <c r="C29" i="15"/>
  <c r="C28" i="15" s="1"/>
  <c r="C27" i="15" s="1"/>
  <c r="C16" i="15"/>
  <c r="C15" i="15"/>
  <c r="C26" i="16"/>
  <c r="C22" i="16"/>
  <c r="C16" i="16"/>
  <c r="C15" i="16" s="1"/>
  <c r="B42" i="16"/>
  <c r="B43" i="16"/>
  <c r="B41" i="16"/>
  <c r="C44" i="16"/>
  <c r="C34" i="17"/>
  <c r="C25" i="17"/>
  <c r="C25" i="21"/>
  <c r="C24" i="21"/>
  <c r="C23" i="21"/>
  <c r="C28" i="21"/>
  <c r="C27" i="21" s="1"/>
  <c r="C22" i="21"/>
  <c r="C21" i="21"/>
  <c r="C20" i="21" s="1"/>
  <c r="C17" i="21"/>
  <c r="C14" i="21" s="1"/>
  <c r="C15" i="21"/>
  <c r="C677" i="5"/>
  <c r="C671" i="5"/>
  <c r="C666" i="5"/>
  <c r="C660" i="5"/>
  <c r="C659" i="5" s="1"/>
  <c r="E643" i="5" s="1"/>
  <c r="C656" i="5"/>
  <c r="C653" i="5"/>
  <c r="C651" i="5"/>
  <c r="C646" i="5"/>
  <c r="C645" i="5"/>
  <c r="C631" i="5"/>
  <c r="C629" i="5"/>
  <c r="C628" i="5"/>
  <c r="C620" i="5"/>
  <c r="C618" i="5"/>
  <c r="C616" i="5"/>
  <c r="C615" i="5" s="1"/>
  <c r="C611" i="5"/>
  <c r="C609" i="5"/>
  <c r="C607" i="5"/>
  <c r="C605" i="5"/>
  <c r="C603" i="5"/>
  <c r="C602" i="5" s="1"/>
  <c r="E600" i="5" s="1"/>
  <c r="C584" i="5"/>
  <c r="C582" i="5"/>
  <c r="C581" i="5" s="1"/>
  <c r="C571" i="5"/>
  <c r="C569" i="5"/>
  <c r="C568" i="5" s="1"/>
  <c r="C564" i="5"/>
  <c r="C562" i="5"/>
  <c r="C560" i="5"/>
  <c r="C558" i="5"/>
  <c r="C556" i="5"/>
  <c r="C555" i="5" s="1"/>
  <c r="E553" i="5" s="1"/>
  <c r="C532" i="5"/>
  <c r="C531" i="5"/>
  <c r="C502" i="5"/>
  <c r="C499" i="5" s="1"/>
  <c r="E497" i="5" s="1"/>
  <c r="C482" i="5"/>
  <c r="C452" i="5"/>
  <c r="C439" i="5"/>
  <c r="C436" i="5"/>
  <c r="C437" i="5"/>
  <c r="C420" i="5"/>
  <c r="C415" i="5" s="1"/>
  <c r="C410" i="5"/>
  <c r="C407" i="5"/>
  <c r="C394" i="5" s="1"/>
  <c r="C395" i="5"/>
  <c r="C390" i="5"/>
  <c r="C388" i="5"/>
  <c r="C380" i="5"/>
  <c r="C378" i="5"/>
  <c r="C375" i="5" s="1"/>
  <c r="E373" i="5" s="1"/>
  <c r="C376" i="5"/>
  <c r="C356" i="5"/>
  <c r="C344" i="5"/>
  <c r="C341" i="5"/>
  <c r="C336" i="5"/>
  <c r="C335" i="5" s="1"/>
  <c r="C331" i="5"/>
  <c r="C316" i="5"/>
  <c r="C298" i="5"/>
  <c r="C293" i="5" s="1"/>
  <c r="C265" i="5"/>
  <c r="C254" i="5"/>
  <c r="C252" i="5"/>
  <c r="C249" i="5"/>
  <c r="C246" i="5" s="1"/>
  <c r="C247" i="5"/>
  <c r="C188" i="5"/>
  <c r="C186" i="5"/>
  <c r="C182" i="5"/>
  <c r="C179" i="5"/>
  <c r="C177" i="5"/>
  <c r="C175" i="5"/>
  <c r="C172" i="5"/>
  <c r="C171" i="5" s="1"/>
  <c r="E169" i="5" s="1"/>
  <c r="C155" i="5"/>
  <c r="C146" i="5"/>
  <c r="C144" i="5"/>
  <c r="C137" i="5"/>
  <c r="C133" i="5"/>
  <c r="C122" i="5"/>
  <c r="C119" i="5"/>
  <c r="C117" i="5"/>
  <c r="C116" i="5" s="1"/>
  <c r="C99" i="5"/>
  <c r="C94" i="5" s="1"/>
  <c r="C89" i="5"/>
  <c r="C87" i="5"/>
  <c r="C84" i="5"/>
  <c r="C81" i="5"/>
  <c r="C76" i="5"/>
  <c r="C70" i="5"/>
  <c r="C69" i="5" s="1"/>
  <c r="C64" i="5"/>
  <c r="C53" i="5"/>
  <c r="C50" i="5"/>
  <c r="C48" i="5"/>
  <c r="C47" i="5" s="1"/>
  <c r="C47" i="18"/>
  <c r="C44" i="18" s="1"/>
  <c r="C21" i="18"/>
  <c r="C16" i="18"/>
  <c r="C155" i="14"/>
  <c r="C154" i="14"/>
  <c r="C148" i="14"/>
  <c r="C146" i="14"/>
  <c r="C143" i="14"/>
  <c r="C141" i="14"/>
  <c r="C140" i="14"/>
  <c r="C139" i="14"/>
  <c r="C136" i="14"/>
  <c r="C129" i="14"/>
  <c r="C128" i="14" s="1"/>
  <c r="C125" i="14"/>
  <c r="C124" i="14"/>
  <c r="C123" i="14"/>
  <c r="C122" i="14"/>
  <c r="C119" i="14"/>
  <c r="C118" i="14"/>
  <c r="C117" i="14"/>
  <c r="C115" i="14" s="1"/>
  <c r="C112" i="14" s="1"/>
  <c r="E110" i="14" s="1"/>
  <c r="C113" i="14"/>
  <c r="C93" i="14"/>
  <c r="C81" i="14"/>
  <c r="C79" i="14"/>
  <c r="C76" i="14"/>
  <c r="C74" i="14"/>
  <c r="C72" i="14"/>
  <c r="C69" i="14"/>
  <c r="C63" i="14"/>
  <c r="C62" i="14"/>
  <c r="C55" i="14"/>
  <c r="C52" i="14"/>
  <c r="C50" i="14"/>
  <c r="C48" i="14"/>
  <c r="C45" i="14"/>
  <c r="C43" i="14"/>
  <c r="C65" i="13"/>
  <c r="C85" i="13"/>
  <c r="C73" i="13"/>
  <c r="C67" i="13"/>
  <c r="C63" i="13"/>
  <c r="C61" i="13"/>
  <c r="C60" i="13" s="1"/>
  <c r="C55" i="13"/>
  <c r="C53" i="13"/>
  <c r="C46" i="13"/>
  <c r="C41" i="13"/>
  <c r="C18" i="13"/>
  <c r="C151" i="12"/>
  <c r="C122" i="12"/>
  <c r="C117" i="12"/>
  <c r="C116" i="12" s="1"/>
  <c r="E114" i="12" s="1"/>
  <c r="C102" i="12"/>
  <c r="C100" i="12"/>
  <c r="C94" i="12"/>
  <c r="C68" i="12"/>
  <c r="C61" i="12" s="1"/>
  <c r="C122" i="30"/>
  <c r="C119" i="30"/>
  <c r="C117" i="30"/>
  <c r="C116" i="30" s="1"/>
  <c r="D114" i="30" s="1"/>
  <c r="C78" i="27"/>
  <c r="C482" i="27"/>
  <c r="C481" i="27"/>
  <c r="C472" i="27"/>
  <c r="C470" i="27"/>
  <c r="C468" i="27"/>
  <c r="C467" i="27" s="1"/>
  <c r="C463" i="27"/>
  <c r="C461" i="27"/>
  <c r="C452" i="27" s="1"/>
  <c r="E450" i="27" s="1"/>
  <c r="C459" i="27"/>
  <c r="C457" i="27"/>
  <c r="C455" i="27"/>
  <c r="C453" i="27"/>
  <c r="C434" i="27"/>
  <c r="C433" i="27"/>
  <c r="C430" i="27"/>
  <c r="C426" i="27"/>
  <c r="C420" i="27"/>
  <c r="C418" i="27"/>
  <c r="C408" i="27"/>
  <c r="C406" i="27"/>
  <c r="C404" i="27"/>
  <c r="C402" i="27"/>
  <c r="C400" i="27"/>
  <c r="C381" i="27"/>
  <c r="C376" i="27"/>
  <c r="C367" i="27"/>
  <c r="C364" i="27"/>
  <c r="C334" i="27"/>
  <c r="C332" i="27"/>
  <c r="C327" i="27"/>
  <c r="C326" i="27" s="1"/>
  <c r="C308" i="27"/>
  <c r="C291" i="27"/>
  <c r="C285" i="27"/>
  <c r="C273" i="27"/>
  <c r="C269" i="27"/>
  <c r="C266" i="27"/>
  <c r="C262" i="27"/>
  <c r="C260" i="27"/>
  <c r="C257" i="27"/>
  <c r="C255" i="27"/>
  <c r="C238" i="27"/>
  <c r="C229" i="27"/>
  <c r="C225" i="27"/>
  <c r="C223" i="27"/>
  <c r="C222" i="27"/>
  <c r="C206" i="27"/>
  <c r="C203" i="27" s="1"/>
  <c r="C204" i="27"/>
  <c r="C184" i="27"/>
  <c r="C182" i="27"/>
  <c r="C180" i="27"/>
  <c r="C178" i="27"/>
  <c r="C177" i="27" s="1"/>
  <c r="C99" i="27"/>
  <c r="C98" i="27"/>
  <c r="C89" i="27"/>
  <c r="C88" i="27"/>
  <c r="C80" i="27"/>
  <c r="C49" i="27"/>
  <c r="C45" i="27"/>
  <c r="C331" i="8"/>
  <c r="C387" i="8"/>
  <c r="C378" i="8" s="1"/>
  <c r="C371" i="8"/>
  <c r="C366" i="8"/>
  <c r="C359" i="8"/>
  <c r="C358" i="8" s="1"/>
  <c r="C333" i="8"/>
  <c r="C330" i="8" s="1"/>
  <c r="D328" i="8" s="1"/>
  <c r="C315" i="8"/>
  <c r="C294" i="8"/>
  <c r="C293" i="8"/>
  <c r="C292" i="8"/>
  <c r="C251" i="8"/>
  <c r="C250" i="8" s="1"/>
  <c r="C239" i="8"/>
  <c r="C238" i="8" s="1"/>
  <c r="D236" i="8" s="1"/>
  <c r="C223" i="8"/>
  <c r="C218" i="8" s="1"/>
  <c r="C204" i="8"/>
  <c r="C202" i="8"/>
  <c r="C192" i="8"/>
  <c r="C191" i="8" s="1"/>
  <c r="C183" i="8"/>
  <c r="C174" i="8"/>
  <c r="C172" i="8"/>
  <c r="C170" i="8"/>
  <c r="C168" i="8"/>
  <c r="C167" i="8" s="1"/>
  <c r="C152" i="8"/>
  <c r="C150" i="8"/>
  <c r="C149" i="8" s="1"/>
  <c r="C143" i="8"/>
  <c r="C138" i="8"/>
  <c r="C109" i="8"/>
  <c r="C103" i="8"/>
  <c r="C102" i="8" s="1"/>
  <c r="C88" i="8"/>
  <c r="C77" i="8"/>
  <c r="C76" i="8" s="1"/>
  <c r="C59" i="8"/>
  <c r="C57" i="8"/>
  <c r="C55" i="8"/>
  <c r="C53" i="8"/>
  <c r="C336" i="6"/>
  <c r="C335" i="6" s="1"/>
  <c r="C298" i="6"/>
  <c r="C203" i="6"/>
  <c r="C202" i="6"/>
  <c r="C349" i="1"/>
  <c r="C311" i="1"/>
  <c r="C154" i="1"/>
  <c r="C156" i="1"/>
  <c r="C152" i="1"/>
  <c r="C151" i="1" s="1"/>
  <c r="C533" i="1"/>
  <c r="C324" i="1"/>
  <c r="C321" i="1"/>
  <c r="C320" i="1"/>
  <c r="C316" i="1"/>
  <c r="C309" i="1"/>
  <c r="C307" i="1"/>
  <c r="C305" i="1"/>
  <c r="C304" i="1" s="1"/>
  <c r="C301" i="1"/>
  <c r="C298" i="1"/>
  <c r="C296" i="1"/>
  <c r="C293" i="1"/>
  <c r="C292" i="1" s="1"/>
  <c r="D290" i="1" s="1"/>
  <c r="C171" i="1"/>
  <c r="C169" i="1"/>
  <c r="C167" i="1"/>
  <c r="C165" i="1"/>
  <c r="C164" i="1" s="1"/>
  <c r="C133" i="1"/>
  <c r="C130" i="1"/>
  <c r="C129" i="1"/>
  <c r="C117" i="1"/>
  <c r="C106" i="1"/>
  <c r="C104" i="1"/>
  <c r="C102" i="1"/>
  <c r="C101" i="1" s="1"/>
  <c r="D99" i="1" s="1"/>
  <c r="C358" i="2"/>
  <c r="C344" i="2"/>
  <c r="C263" i="2"/>
  <c r="C391" i="2"/>
  <c r="C385" i="2"/>
  <c r="C384" i="2"/>
  <c r="C369" i="2"/>
  <c r="C367" i="2"/>
  <c r="C364" i="2" s="1"/>
  <c r="C365" i="2"/>
  <c r="C356" i="2"/>
  <c r="C347" i="2"/>
  <c r="C342" i="2"/>
  <c r="C340" i="2"/>
  <c r="C338" i="2"/>
  <c r="C337" i="2" s="1"/>
  <c r="D335" i="2" s="1"/>
  <c r="C164" i="2"/>
  <c r="C167" i="2"/>
  <c r="C170" i="2"/>
  <c r="C156" i="2"/>
  <c r="C489" i="2"/>
  <c r="C521" i="2"/>
  <c r="C520" i="2"/>
  <c r="C518" i="2"/>
  <c r="C517" i="2"/>
  <c r="C514" i="2"/>
  <c r="C513" i="2"/>
  <c r="C510" i="2"/>
  <c r="C507" i="2"/>
  <c r="C505" i="2"/>
  <c r="C503" i="2"/>
  <c r="C501" i="2"/>
  <c r="C497" i="2"/>
  <c r="C495" i="2"/>
  <c r="C494" i="2" s="1"/>
  <c r="C487" i="2"/>
  <c r="C485" i="2"/>
  <c r="C483" i="2"/>
  <c r="C481" i="2"/>
  <c r="C442" i="2"/>
  <c r="C449" i="2"/>
  <c r="C448" i="2"/>
  <c r="C617" i="2"/>
  <c r="C213" i="2"/>
  <c r="C857" i="3"/>
  <c r="C751" i="3"/>
  <c r="C692" i="3"/>
  <c r="C917" i="3"/>
  <c r="C541" i="3"/>
  <c r="C536" i="3"/>
  <c r="C535" i="3" s="1"/>
  <c r="C530" i="3"/>
  <c r="C419" i="3"/>
  <c r="C416" i="3"/>
  <c r="C414" i="3"/>
  <c r="C413" i="3"/>
  <c r="C409" i="3"/>
  <c r="C406" i="3"/>
  <c r="C403" i="3"/>
  <c r="C401" i="3"/>
  <c r="C400" i="3" s="1"/>
  <c r="C392" i="3"/>
  <c r="C389" i="3"/>
  <c r="C387" i="3"/>
  <c r="C385" i="3"/>
  <c r="C382" i="3"/>
  <c r="C380" i="3"/>
  <c r="C378" i="3"/>
  <c r="C377" i="3" s="1"/>
  <c r="D375" i="3" s="1"/>
  <c r="C257" i="3"/>
  <c r="C246" i="3"/>
  <c r="C254" i="3"/>
  <c r="C214" i="3"/>
  <c r="C210" i="3"/>
  <c r="C205" i="3"/>
  <c r="C149" i="3"/>
  <c r="C156" i="3"/>
  <c r="C153" i="3"/>
  <c r="C148" i="3"/>
  <c r="C135" i="3"/>
  <c r="C131" i="3"/>
  <c r="C127" i="3"/>
  <c r="C224" i="3"/>
  <c r="C222" i="3"/>
  <c r="C219" i="3" s="1"/>
  <c r="E179" i="3" s="1"/>
  <c r="C220" i="3"/>
  <c r="C212" i="3"/>
  <c r="C201" i="3"/>
  <c r="C199" i="3"/>
  <c r="C192" i="3"/>
  <c r="C190" i="3"/>
  <c r="C188" i="3"/>
  <c r="C186" i="3"/>
  <c r="C184" i="3"/>
  <c r="C75" i="3"/>
  <c r="C137" i="6"/>
  <c r="C120" i="6"/>
  <c r="C149" i="6"/>
  <c r="C144" i="6" s="1"/>
  <c r="C135" i="6"/>
  <c r="C132" i="6" s="1"/>
  <c r="C133" i="6"/>
  <c r="C125" i="6"/>
  <c r="C118" i="6"/>
  <c r="C116" i="6"/>
  <c r="C115" i="6"/>
  <c r="C556" i="6"/>
  <c r="C555" i="6" s="1"/>
  <c r="E553" i="6" s="1"/>
  <c r="C558" i="6"/>
  <c r="C537" i="6"/>
  <c r="C533" i="6" s="1"/>
  <c r="C502" i="6"/>
  <c r="C495" i="6" s="1"/>
  <c r="C376" i="6"/>
  <c r="C304" i="6"/>
  <c r="C300" i="6"/>
  <c r="C194" i="6"/>
  <c r="C46" i="6"/>
  <c r="C50" i="6"/>
  <c r="C86" i="6"/>
  <c r="C85" i="6"/>
  <c r="C95" i="6"/>
  <c r="C90" i="6"/>
  <c r="C179" i="6"/>
  <c r="C192" i="6"/>
  <c r="C197" i="6"/>
  <c r="C213" i="6"/>
  <c r="C209" i="6"/>
  <c r="C234" i="6"/>
  <c r="C233" i="6" s="1"/>
  <c r="C239" i="6"/>
  <c r="C258" i="6"/>
  <c r="C266" i="6"/>
  <c r="C272" i="6"/>
  <c r="C268" i="6" s="1"/>
  <c r="C279" i="6"/>
  <c r="C274" i="6" s="1"/>
  <c r="C324" i="6"/>
  <c r="C333" i="6"/>
  <c r="C342" i="6"/>
  <c r="C341" i="6"/>
  <c r="C351" i="6"/>
  <c r="C370" i="6"/>
  <c r="C372" i="6"/>
  <c r="C374" i="6"/>
  <c r="C369" i="6" s="1"/>
  <c r="E367" i="6" s="1"/>
  <c r="C394" i="6"/>
  <c r="C413" i="6"/>
  <c r="C408" i="6"/>
  <c r="C496" i="6"/>
  <c r="C498" i="6"/>
  <c r="C500" i="6"/>
  <c r="C512" i="6"/>
  <c r="C514" i="6"/>
  <c r="C521" i="6"/>
  <c r="C520" i="6"/>
  <c r="C523" i="6"/>
  <c r="C522" i="6" s="1"/>
  <c r="C529" i="6"/>
  <c r="C528" i="6" s="1"/>
  <c r="C578" i="6"/>
  <c r="C577" i="6" s="1"/>
  <c r="C583" i="6"/>
  <c r="C588" i="6"/>
  <c r="C587" i="6"/>
  <c r="C589" i="6"/>
  <c r="C594" i="6"/>
  <c r="C593" i="6"/>
  <c r="C603" i="6"/>
  <c r="C598" i="6" s="1"/>
  <c r="C41" i="3"/>
  <c r="C43" i="3"/>
  <c r="C45" i="3"/>
  <c r="C40" i="3"/>
  <c r="C63" i="3"/>
  <c r="C65" i="3"/>
  <c r="C68" i="3"/>
  <c r="C71" i="3"/>
  <c r="C73" i="3"/>
  <c r="C62" i="3" s="1"/>
  <c r="C83" i="3"/>
  <c r="C82" i="3" s="1"/>
  <c r="C88" i="3"/>
  <c r="C86" i="3"/>
  <c r="C96" i="3"/>
  <c r="C91" i="3" s="1"/>
  <c r="C121" i="3"/>
  <c r="C118" i="3" s="1"/>
  <c r="E116" i="3" s="1"/>
  <c r="C123" i="3"/>
  <c r="C125" i="3"/>
  <c r="C143" i="3"/>
  <c r="C162" i="3"/>
  <c r="C164" i="3"/>
  <c r="C166" i="3"/>
  <c r="C161" i="3"/>
  <c r="C244" i="3"/>
  <c r="C240" i="3" s="1"/>
  <c r="C248" i="3"/>
  <c r="C250" i="3"/>
  <c r="C267" i="3"/>
  <c r="C270" i="3"/>
  <c r="C272" i="3"/>
  <c r="C275" i="3"/>
  <c r="C277" i="3"/>
  <c r="C266" i="3" s="1"/>
  <c r="C286" i="3"/>
  <c r="C288" i="3"/>
  <c r="C305" i="3"/>
  <c r="C304" i="3" s="1"/>
  <c r="C307" i="3"/>
  <c r="C310" i="3"/>
  <c r="C313" i="3"/>
  <c r="C318" i="3"/>
  <c r="C323" i="3"/>
  <c r="C322" i="3"/>
  <c r="C334" i="3"/>
  <c r="C344" i="3"/>
  <c r="C361" i="3"/>
  <c r="C442" i="3"/>
  <c r="C448" i="3"/>
  <c r="C450" i="3"/>
  <c r="C452" i="3"/>
  <c r="C463" i="3"/>
  <c r="C474" i="3"/>
  <c r="C476" i="3"/>
  <c r="C481" i="3"/>
  <c r="C484" i="3"/>
  <c r="C473" i="3" s="1"/>
  <c r="C487" i="3"/>
  <c r="C500" i="3"/>
  <c r="C518" i="3"/>
  <c r="C517" i="3" s="1"/>
  <c r="E515" i="3" s="1"/>
  <c r="C520" i="3"/>
  <c r="C522" i="3"/>
  <c r="C538" i="3"/>
  <c r="C548" i="3"/>
  <c r="C550" i="3"/>
  <c r="C547" i="3" s="1"/>
  <c r="C581" i="3"/>
  <c r="C583" i="3"/>
  <c r="C608" i="3"/>
  <c r="C610" i="3"/>
  <c r="C617" i="3"/>
  <c r="C627" i="3"/>
  <c r="C626" i="3"/>
  <c r="C637" i="3"/>
  <c r="C671" i="3"/>
  <c r="C673" i="3"/>
  <c r="C676" i="3"/>
  <c r="C700" i="3"/>
  <c r="C699" i="3" s="1"/>
  <c r="C726" i="3"/>
  <c r="C719" i="3" s="1"/>
  <c r="C747" i="3"/>
  <c r="C746" i="3" s="1"/>
  <c r="C749" i="3"/>
  <c r="C754" i="3"/>
  <c r="C774" i="3"/>
  <c r="C780" i="3"/>
  <c r="C776" i="3"/>
  <c r="C786" i="3"/>
  <c r="C800" i="3"/>
  <c r="C798" i="3" s="1"/>
  <c r="C797" i="3" s="1"/>
  <c r="C805" i="3"/>
  <c r="C832" i="3"/>
  <c r="C834" i="3"/>
  <c r="C837" i="3"/>
  <c r="C839" i="3"/>
  <c r="C831" i="3" s="1"/>
  <c r="D829" i="3" s="1"/>
  <c r="C843" i="3"/>
  <c r="C865" i="3"/>
  <c r="C893" i="3"/>
  <c r="C913" i="3"/>
  <c r="C915" i="3"/>
  <c r="C945" i="3"/>
  <c r="C956" i="3"/>
  <c r="C955" i="3" s="1"/>
  <c r="C965" i="3"/>
  <c r="C967" i="3"/>
  <c r="C960" i="3"/>
  <c r="C73" i="2"/>
  <c r="C76" i="2"/>
  <c r="C78" i="2"/>
  <c r="C90" i="2"/>
  <c r="C98" i="2"/>
  <c r="C143" i="2"/>
  <c r="C145" i="2"/>
  <c r="C142" i="2" s="1"/>
  <c r="C147" i="2"/>
  <c r="C162" i="2"/>
  <c r="C173" i="2"/>
  <c r="C178" i="2"/>
  <c r="C185" i="2"/>
  <c r="C187" i="2"/>
  <c r="C204" i="2"/>
  <c r="C206" i="2"/>
  <c r="C203" i="2" s="1"/>
  <c r="E201" i="2" s="1"/>
  <c r="C208" i="2"/>
  <c r="C210" i="2"/>
  <c r="C219" i="2"/>
  <c r="C218" i="2" s="1"/>
  <c r="C221" i="2"/>
  <c r="C223" i="2"/>
  <c r="C233" i="2"/>
  <c r="C235" i="2"/>
  <c r="C232" i="2"/>
  <c r="C255" i="2"/>
  <c r="C257" i="2"/>
  <c r="C260" i="2"/>
  <c r="C265" i="2"/>
  <c r="C276" i="2"/>
  <c r="C286" i="2"/>
  <c r="C289" i="2"/>
  <c r="C293" i="2"/>
  <c r="C296" i="2"/>
  <c r="C306" i="2"/>
  <c r="C305" i="2"/>
  <c r="C314" i="2"/>
  <c r="C320" i="2"/>
  <c r="C313" i="2" s="1"/>
  <c r="C412" i="2"/>
  <c r="C411" i="2" s="1"/>
  <c r="E409" i="2" s="1"/>
  <c r="C414" i="2"/>
  <c r="C416" i="2"/>
  <c r="C423" i="2"/>
  <c r="C425" i="2"/>
  <c r="C436" i="2"/>
  <c r="C429" i="2" s="1"/>
  <c r="C438" i="2"/>
  <c r="C440" i="2"/>
  <c r="C456" i="2"/>
  <c r="C454" i="2"/>
  <c r="C458" i="2"/>
  <c r="C453" i="2" s="1"/>
  <c r="C537" i="2"/>
  <c r="C539" i="2"/>
  <c r="C541" i="2"/>
  <c r="C549" i="2"/>
  <c r="C551" i="2"/>
  <c r="C553" i="2"/>
  <c r="C555" i="2"/>
  <c r="C548" i="2" s="1"/>
  <c r="C564" i="2"/>
  <c r="C566" i="2"/>
  <c r="C568" i="2"/>
  <c r="C563" i="2"/>
  <c r="C585" i="2"/>
  <c r="C587" i="2"/>
  <c r="C589" i="2"/>
  <c r="C592" i="2"/>
  <c r="C584" i="2" s="1"/>
  <c r="C595" i="2"/>
  <c r="C602" i="2"/>
  <c r="C601" i="2" s="1"/>
  <c r="C598" i="2" s="1"/>
  <c r="C603" i="2"/>
  <c r="C604" i="2"/>
  <c r="C607" i="2"/>
  <c r="C40" i="1"/>
  <c r="C42" i="1"/>
  <c r="C45" i="1"/>
  <c r="C56" i="1"/>
  <c r="C39" i="1" s="1"/>
  <c r="C78" i="1"/>
  <c r="C87" i="1"/>
  <c r="C243" i="1"/>
  <c r="C247" i="1"/>
  <c r="C249" i="1"/>
  <c r="C252" i="1"/>
  <c r="C242" i="1" s="1"/>
  <c r="C256" i="1"/>
  <c r="C258" i="1"/>
  <c r="C260" i="1"/>
  <c r="C263" i="1"/>
  <c r="C269" i="1"/>
  <c r="C265" i="1" s="1"/>
  <c r="C255" i="1" s="1"/>
  <c r="C270" i="1"/>
  <c r="C275" i="1"/>
  <c r="C278" i="1"/>
  <c r="C198" i="1"/>
  <c r="C200" i="1"/>
  <c r="C202" i="1"/>
  <c r="C197" i="1" s="1"/>
  <c r="E195" i="1" s="1"/>
  <c r="C212" i="1"/>
  <c r="C214" i="1"/>
  <c r="C211" i="1"/>
  <c r="C420" i="1"/>
  <c r="C419" i="1" s="1"/>
  <c r="C422" i="1"/>
  <c r="C424" i="1"/>
  <c r="C427" i="1"/>
  <c r="C441" i="1"/>
  <c r="C436" i="1"/>
  <c r="C448" i="1"/>
  <c r="C453" i="1"/>
  <c r="C452" i="1" s="1"/>
  <c r="C447" i="1" s="1"/>
  <c r="C454" i="1"/>
  <c r="C338" i="1"/>
  <c r="C337" i="1" s="1"/>
  <c r="C340" i="1"/>
  <c r="C343" i="1"/>
  <c r="C348" i="1"/>
  <c r="C347" i="1"/>
  <c r="C346" i="1" s="1"/>
  <c r="C353" i="1"/>
  <c r="C359" i="1"/>
  <c r="C362" i="1"/>
  <c r="C527" i="1"/>
  <c r="C526" i="1" s="1"/>
  <c r="E524" i="1" s="1"/>
  <c r="C529" i="1"/>
  <c r="C539" i="1"/>
  <c r="C532" i="1"/>
  <c r="C315" i="3"/>
  <c r="C206" i="3"/>
  <c r="C380" i="2"/>
  <c r="C379" i="2"/>
  <c r="C432" i="1"/>
  <c r="C148" i="12"/>
  <c r="C147" i="12" s="1"/>
  <c r="C119" i="12"/>
  <c r="C132" i="8"/>
  <c r="C145" i="8"/>
  <c r="C83" i="8"/>
  <c r="C136" i="8"/>
  <c r="C135" i="8" s="1"/>
  <c r="D120" i="8" s="1"/>
  <c r="C86" i="8"/>
  <c r="C97" i="8"/>
  <c r="C96" i="8"/>
  <c r="C241" i="8"/>
  <c r="C247" i="8"/>
  <c r="C277" i="8"/>
  <c r="C349" i="8"/>
  <c r="C373" i="8"/>
  <c r="C18" i="18"/>
  <c r="C15" i="18" s="1"/>
  <c r="E13" i="18" s="1"/>
  <c r="C47" i="27"/>
  <c r="C212" i="27"/>
  <c r="C369" i="27"/>
  <c r="C329" i="27"/>
  <c r="C437" i="1"/>
  <c r="C215" i="27"/>
  <c r="C345" i="6"/>
  <c r="C133" i="12"/>
  <c r="C274" i="1"/>
  <c r="C789" i="2"/>
  <c r="C34" i="29"/>
  <c r="C86" i="29"/>
  <c r="C475" i="5"/>
  <c r="C191" i="6"/>
  <c r="C30" i="6"/>
  <c r="C14" i="17"/>
  <c r="E12" i="17" s="1"/>
  <c r="C254" i="2"/>
  <c r="C161" i="2"/>
  <c r="C52" i="8"/>
  <c r="E50" i="8" s="1"/>
  <c r="C254" i="27"/>
  <c r="E252" i="27" s="1"/>
  <c r="C42" i="14"/>
  <c r="C284" i="27"/>
  <c r="C31" i="12"/>
  <c r="C113" i="1"/>
  <c r="C375" i="27"/>
  <c r="C183" i="30"/>
  <c r="C20" i="30"/>
  <c r="IV599" i="6"/>
  <c r="C415" i="27"/>
  <c r="C14" i="15"/>
  <c r="C536" i="2"/>
  <c r="C184" i="2"/>
  <c r="C912" i="3"/>
  <c r="C333" i="3"/>
  <c r="C375" i="1"/>
  <c r="C18" i="3"/>
  <c r="C358" i="1"/>
  <c r="C670" i="3"/>
  <c r="C18" i="8"/>
  <c r="C285" i="2"/>
  <c r="C181" i="3"/>
  <c r="C480" i="2"/>
  <c r="E478" i="2" s="1"/>
  <c r="C242" i="29"/>
  <c r="C339" i="29"/>
  <c r="C122" i="8"/>
  <c r="C20" i="14"/>
  <c r="D208" i="30" l="1"/>
  <c r="E582" i="2"/>
  <c r="E302" i="3"/>
  <c r="C17" i="8"/>
  <c r="E15" i="8" s="1"/>
  <c r="D207" i="30"/>
  <c r="N3" i="31"/>
  <c r="O2" i="31" s="1"/>
  <c r="P1" i="31" s="1"/>
  <c r="D210" i="30"/>
  <c r="E210" i="30" s="1"/>
  <c r="D44" i="30"/>
  <c r="E10" i="30" s="1"/>
  <c r="E19" i="27"/>
  <c r="E13" i="16"/>
  <c r="E49" i="16" s="1"/>
  <c r="D41" i="16"/>
  <c r="D44" i="16" s="1"/>
  <c r="E44" i="16" s="1"/>
  <c r="E244" i="5"/>
  <c r="E684" i="5" s="1"/>
  <c r="E373" i="1"/>
  <c r="C16" i="1"/>
  <c r="C19" i="14"/>
  <c r="E17" i="14" s="1"/>
  <c r="E335" i="1"/>
  <c r="E692" i="2"/>
  <c r="E797" i="2" s="1"/>
  <c r="E240" i="1"/>
  <c r="E252" i="2"/>
  <c r="D668" i="3"/>
  <c r="D744" i="3"/>
  <c r="E439" i="3"/>
  <c r="E149" i="29"/>
  <c r="E17" i="29"/>
  <c r="C511" i="6"/>
  <c r="E238" i="3"/>
  <c r="E165" i="8"/>
  <c r="B390" i="8" s="1"/>
  <c r="C20" i="15"/>
  <c r="E12" i="15" s="1"/>
  <c r="E15" i="13"/>
  <c r="E324" i="27"/>
  <c r="D485" i="27" s="1"/>
  <c r="C17" i="3"/>
  <c r="E15" i="3" s="1"/>
  <c r="E578" i="3"/>
  <c r="E910" i="3"/>
  <c r="C323" i="6"/>
  <c r="E295" i="6" s="1"/>
  <c r="E113" i="6"/>
  <c r="D149" i="1"/>
  <c r="E114" i="5"/>
  <c r="C24" i="5"/>
  <c r="E22" i="5" s="1"/>
  <c r="E417" i="1"/>
  <c r="C257" i="6"/>
  <c r="E231" i="6" s="1"/>
  <c r="E175" i="27"/>
  <c r="C60" i="29"/>
  <c r="E14" i="12"/>
  <c r="E104" i="29"/>
  <c r="C119" i="2"/>
  <c r="E117" i="2" s="1"/>
  <c r="M43" i="31"/>
  <c r="E493" i="6"/>
  <c r="E534" i="2"/>
  <c r="E12" i="21"/>
  <c r="E500" i="29"/>
  <c r="C876" i="29" s="1"/>
  <c r="E435" i="6"/>
  <c r="E181" i="30"/>
  <c r="D606" i="6" l="1"/>
  <c r="E652" i="3"/>
  <c r="B972" i="3" s="1"/>
  <c r="E14" i="1"/>
  <c r="E545" i="1" s="1"/>
  <c r="D211" i="30"/>
  <c r="E211" i="30" s="1"/>
  <c r="E208" i="30"/>
  <c r="D212" i="30" l="1"/>
  <c r="E212" i="30" s="1"/>
</calcChain>
</file>

<file path=xl/sharedStrings.xml><?xml version="1.0" encoding="utf-8"?>
<sst xmlns="http://schemas.openxmlformats.org/spreadsheetml/2006/main" count="9867" uniqueCount="1217">
  <si>
    <t>COSTO TOTAL PROGRAMA:</t>
  </si>
  <si>
    <t>PERSONAL</t>
  </si>
  <si>
    <t>BIENES DE CONSUMO</t>
  </si>
  <si>
    <t>SERVICIOS</t>
  </si>
  <si>
    <t>BIENES DE CAPITAL</t>
  </si>
  <si>
    <t>TRANSFERENCIAS</t>
  </si>
  <si>
    <t>CÓDIGO:</t>
  </si>
  <si>
    <t>Otros Servicios</t>
  </si>
  <si>
    <t>Locaciones y Contrataciones Varias</t>
  </si>
  <si>
    <t>Muebles y  Equipos de Oficina</t>
  </si>
  <si>
    <t>UNIDAD EJECUTORA: Departamento Ejecutivo.</t>
  </si>
  <si>
    <t>DURACION ESTIMADA: 12 meses.</t>
  </si>
  <si>
    <t>Subsidios a Entregar</t>
  </si>
  <si>
    <t>DURACIÓN ESTIMADA: 12 meses.</t>
  </si>
  <si>
    <t>COSTO TOTAL DEL PROGRAMA:</t>
  </si>
  <si>
    <t>Alquileres Varios</t>
  </si>
  <si>
    <t>Transferencia Escuela Granja "Los Amigos"</t>
  </si>
  <si>
    <t>Transferencia IMV - Instituto Municipal de la Vivienda</t>
  </si>
  <si>
    <t>Transferencia IMI - Instituto Municipal de Inversión</t>
  </si>
  <si>
    <t>Otros Gastos en Personal Permanente</t>
  </si>
  <si>
    <t>Sueldos y Salarios Personal Permanente</t>
  </si>
  <si>
    <t>Asignaciones Familiares Personal Permanente</t>
  </si>
  <si>
    <t>Contribuciones Patronales Personal Permanente</t>
  </si>
  <si>
    <t>2.1.1.1.01.01</t>
  </si>
  <si>
    <t>2.1.1.1.01.02</t>
  </si>
  <si>
    <t>2.1.1.1.01.03</t>
  </si>
  <si>
    <t>2.1.1.1.01.04</t>
  </si>
  <si>
    <t>2.1.1.1.01.05</t>
  </si>
  <si>
    <t>2.1.1.1.01.06</t>
  </si>
  <si>
    <t>Asignaciones Familiares Autoridades y Personal Directivo</t>
  </si>
  <si>
    <t>2.1.1.1.02.01</t>
  </si>
  <si>
    <t>2.1.1.1.02.02</t>
  </si>
  <si>
    <t>2.1.1.1.02.03</t>
  </si>
  <si>
    <t>2.1.1.1.02.04</t>
  </si>
  <si>
    <t>2.1.1.1.02.05</t>
  </si>
  <si>
    <t>Sueldos y Salarios Personal Contratado</t>
  </si>
  <si>
    <t>Asignaciones Familiares Personal Contratado</t>
  </si>
  <si>
    <t>Contribuciones Patronales Personal Contratado</t>
  </si>
  <si>
    <t>Otros Gastos en Personal Contratado</t>
  </si>
  <si>
    <t>2.1.1.1.03.01</t>
  </si>
  <si>
    <t>2.1.1.1.03.02</t>
  </si>
  <si>
    <t>2.1.1.1.03.03</t>
  </si>
  <si>
    <t>2.1.1.1.03.04</t>
  </si>
  <si>
    <t>2.1.1.1.03.05</t>
  </si>
  <si>
    <t>2.1.1.1.03.06</t>
  </si>
  <si>
    <t>Racionamiento, Alimentos y Productos Alimenticios para Personas</t>
  </si>
  <si>
    <t>2.1.1.2.01.01</t>
  </si>
  <si>
    <t>2.1.1.2.04.01</t>
  </si>
  <si>
    <t>Útiles, Artículos de Librería, Insumos Informáticos</t>
  </si>
  <si>
    <t xml:space="preserve">2.1.1.3.05.02       </t>
  </si>
  <si>
    <t>Pasajes, Viáticos y Movilidad</t>
  </si>
  <si>
    <t>Otros Bienes de Capital no Especificados</t>
  </si>
  <si>
    <t>2.1.1.3.02.04</t>
  </si>
  <si>
    <t>2.1.1.3.06.03</t>
  </si>
  <si>
    <t>Imprenta, Publicaciones y Reproducciones</t>
  </si>
  <si>
    <t>2.1.1.3.07.01</t>
  </si>
  <si>
    <t>Publicidad y Propaganda</t>
  </si>
  <si>
    <t>2.2.1.1.04.04</t>
  </si>
  <si>
    <t>Aparatos Audio-Visuales y Electrónicos Varios</t>
  </si>
  <si>
    <t>2.1.1.4.01.01</t>
  </si>
  <si>
    <t>2.1.1.4.01.02</t>
  </si>
  <si>
    <t>2.1.1.4.01.03</t>
  </si>
  <si>
    <t>Otras Transferencias al Sector Público</t>
  </si>
  <si>
    <t>2.1.1.4.01.08</t>
  </si>
  <si>
    <t>Trámites y Gastos Varios</t>
  </si>
  <si>
    <t>Elementos de Limpieza e Higiene</t>
  </si>
  <si>
    <t>Productos de Artes Gráficas</t>
  </si>
  <si>
    <t>2.1.1.2.03.01</t>
  </si>
  <si>
    <t>Libros, Revistas y Periódicos</t>
  </si>
  <si>
    <t>Repuestos y Accesorios de Equipos y Sistemas Informáticos y de Comunicación en General</t>
  </si>
  <si>
    <t>Premios, Obsequios, Presentes, Otros</t>
  </si>
  <si>
    <t>Mantenimiento y Reparaciones Varias</t>
  </si>
  <si>
    <t>Materiales Conservaciones Varias</t>
  </si>
  <si>
    <t>Suscripciones</t>
  </si>
  <si>
    <t>Primas y Gastos de Seguros</t>
  </si>
  <si>
    <t>2.1.1.3.06.05</t>
  </si>
  <si>
    <t>Seguros Personal Permanente</t>
  </si>
  <si>
    <t>Indemnizaciones Personal Permanente</t>
  </si>
  <si>
    <t>Sueldos y Salarios Autoridades y Personal Jerárquico</t>
  </si>
  <si>
    <t>Contribuciones Patronales Autoridades y Personal Jerárquico</t>
  </si>
  <si>
    <t>Seguros Autoridades y Personal Jerárquico</t>
  </si>
  <si>
    <t>Indemnizaciones Autoridades y Personal Jerárquico</t>
  </si>
  <si>
    <t>Otros Gastos en Autoridades y Personal Jerárquico</t>
  </si>
  <si>
    <t>2.1.1.1.02.06</t>
  </si>
  <si>
    <t>Seguros Personal Contratado</t>
  </si>
  <si>
    <t>Indemnizaciones Personal Contratado</t>
  </si>
  <si>
    <t>2.1.1.2.03.02</t>
  </si>
  <si>
    <t>Honorarios por Servicios Técnicos y Profesionales</t>
  </si>
  <si>
    <t>2.1.1.3.06.07</t>
  </si>
  <si>
    <t>2.1.1.3.09.01</t>
  </si>
  <si>
    <t>2.1.1.3.09.08</t>
  </si>
  <si>
    <t>2.2.1.1.04.01</t>
  </si>
  <si>
    <t xml:space="preserve">2.1.1.3.09.01       </t>
  </si>
  <si>
    <t>2.1.1.2.08.05</t>
  </si>
  <si>
    <t xml:space="preserve">2.1.1.3.09.03      </t>
  </si>
  <si>
    <t>2.1.1.3.07.04</t>
  </si>
  <si>
    <t>Costos de Creación, Edición y Distribución de Material de Difusión</t>
  </si>
  <si>
    <t>2.1.1.1.01.</t>
  </si>
  <si>
    <t>Personal Permanente</t>
  </si>
  <si>
    <t>2.1.1.1.02.</t>
  </si>
  <si>
    <t>Autoridades y Personal Jerárquico</t>
  </si>
  <si>
    <t>2.1.1.1.03.</t>
  </si>
  <si>
    <t>Personal Contratado</t>
  </si>
  <si>
    <t>2.1.1.2.01.</t>
  </si>
  <si>
    <t>Productos Alimenticios, Agropecuarios y Forestales</t>
  </si>
  <si>
    <t>2.1.1.2.03.</t>
  </si>
  <si>
    <t>Productos de Papel, Cartón e Impresos</t>
  </si>
  <si>
    <t>2.1.1.2.04.</t>
  </si>
  <si>
    <t>Útiles e Insumos de Oficina y Enseñanza</t>
  </si>
  <si>
    <t>Repuestos, Accesorios, Herramientas Menores y Otros</t>
  </si>
  <si>
    <t>2.1.1.3.02.</t>
  </si>
  <si>
    <t>Alquileres y Derechos</t>
  </si>
  <si>
    <t>2.1.1.3.05.</t>
  </si>
  <si>
    <t>2.1.1.3.06.</t>
  </si>
  <si>
    <t>Servicios Comerciales y Financieros</t>
  </si>
  <si>
    <t>2.1.1.3.09.</t>
  </si>
  <si>
    <t>2.2.1.1.04.</t>
  </si>
  <si>
    <t>Muebles, Equipos de Oficina, Comunicación, Educacional y Recreativo</t>
  </si>
  <si>
    <t>2.2.1.1.06.</t>
  </si>
  <si>
    <t>2.1.1.2.07.</t>
  </si>
  <si>
    <t>2.1.1.3.03.</t>
  </si>
  <si>
    <t>Servicios de Mantenimiento, Reparación y Limpieza</t>
  </si>
  <si>
    <t>Servicios Técnicos y Profesionale</t>
  </si>
  <si>
    <t>Materiales Conservación y/o Construcción</t>
  </si>
  <si>
    <t>2.1.1.2.08.</t>
  </si>
  <si>
    <t>Bienes de Consumo Varios</t>
  </si>
  <si>
    <t>2.1.1.4.01.</t>
  </si>
  <si>
    <t>Transferencias al Sector Público</t>
  </si>
  <si>
    <t>2.1.1.4.02.</t>
  </si>
  <si>
    <t>Transferencias al Sector Privado</t>
  </si>
  <si>
    <t>Libros, Revistas y Otros Elementos Coleccionables</t>
  </si>
  <si>
    <t>2.2.1.1.05.</t>
  </si>
  <si>
    <t>2.1.1.3.07.</t>
  </si>
  <si>
    <t xml:space="preserve">Bienes de Consumo Varios </t>
  </si>
  <si>
    <t xml:space="preserve">Otros Bienes de Capital </t>
  </si>
  <si>
    <t>Otros Bienes de Capital</t>
  </si>
  <si>
    <t>2.1.1.3.03.07</t>
  </si>
  <si>
    <t>Capacitación/es y Cursos</t>
  </si>
  <si>
    <t>2.1.1.3.05.01</t>
  </si>
  <si>
    <t>Muebles y Equipos de Oficina</t>
  </si>
  <si>
    <t>2.1.1.3.03.06</t>
  </si>
  <si>
    <t>Mantenimiento y Reparación de Inmuebles</t>
  </si>
  <si>
    <t xml:space="preserve">Auspicios / Adhesiones </t>
  </si>
  <si>
    <t>2.1.1.3.07.03</t>
  </si>
  <si>
    <t>2.1.1.4.02.13</t>
  </si>
  <si>
    <t>Transferencias a Cooperativas y Empresas Privadas</t>
  </si>
  <si>
    <t>2.1.1.4.02.12</t>
  </si>
  <si>
    <t>2.1.1.4.02.09</t>
  </si>
  <si>
    <t xml:space="preserve">Transferencias de los Recursos por Juegos de Azar </t>
  </si>
  <si>
    <t>1002</t>
  </si>
  <si>
    <t>2.1.1.2.07.02</t>
  </si>
  <si>
    <t>2.1.1.2.09.</t>
  </si>
  <si>
    <t>2.1.1.2.09.01</t>
  </si>
  <si>
    <t>2.1.1.2.09.05</t>
  </si>
  <si>
    <t>2.1.1.2.09.06</t>
  </si>
  <si>
    <t xml:space="preserve">2.1.1.2.09.06        </t>
  </si>
  <si>
    <t>2.1.1.3.05.02</t>
  </si>
  <si>
    <t>Servicios Técnicos y Profesionales</t>
  </si>
  <si>
    <t>DUARCION ESTIMADA: 12 meses.</t>
  </si>
  <si>
    <t>Alquileres de Edificios, Locales e Inmuebles</t>
  </si>
  <si>
    <t>2.1.1.3.02.01</t>
  </si>
  <si>
    <t>Racionamiento, Alimento y Productos Alimenticios para Personas</t>
  </si>
  <si>
    <t>2.2.1.1.04.05</t>
  </si>
  <si>
    <t>Muebles y Equipos Especializados</t>
  </si>
  <si>
    <t>2.1.1.3.06.04</t>
  </si>
  <si>
    <t>2.2.1.1.05.01</t>
  </si>
  <si>
    <t>2.2.1.1.07.</t>
  </si>
  <si>
    <t>2.2.1.1.07.02</t>
  </si>
  <si>
    <t>Rodados</t>
  </si>
  <si>
    <t>2.2.1.1.03.01</t>
  </si>
  <si>
    <t>Vehículos y Rodados</t>
  </si>
  <si>
    <t>2.2.1.1.03.</t>
  </si>
  <si>
    <t>Herramientas y Repuestos Mayores</t>
  </si>
  <si>
    <t>2.2.1.1.02.05</t>
  </si>
  <si>
    <t>Equipos y Maquinarias</t>
  </si>
  <si>
    <t>2.2.1.1.02.04</t>
  </si>
  <si>
    <t xml:space="preserve">Equipos y Aparatos de Seguridad </t>
  </si>
  <si>
    <t>2.2.1.1.02.02</t>
  </si>
  <si>
    <t>Equipos y Maquinarias, Herramientas y Repuestos Mayores</t>
  </si>
  <si>
    <t>2.2.1.1.02.</t>
  </si>
  <si>
    <t xml:space="preserve">Pasajes, Viáticos y Movilidad </t>
  </si>
  <si>
    <t>2.1.1.3.09.03</t>
  </si>
  <si>
    <t xml:space="preserve">Mantenimiento y Reparación de Rodados </t>
  </si>
  <si>
    <t>2.1.1.3.03.04</t>
  </si>
  <si>
    <t xml:space="preserve">Alquileres Varios              </t>
  </si>
  <si>
    <t>Herramientas Menores</t>
  </si>
  <si>
    <t>2.1.1.2.07.06</t>
  </si>
  <si>
    <t>Repuestos y Accesorios Rodados</t>
  </si>
  <si>
    <t>2.1.1.2.07.04</t>
  </si>
  <si>
    <t>Cubiertas y Cámaras de Aire</t>
  </si>
  <si>
    <t>2.1.1.2.07.01</t>
  </si>
  <si>
    <t xml:space="preserve">Repuestos, Accesorios, Herramientas Menores y Otros </t>
  </si>
  <si>
    <t xml:space="preserve">Combustibles y Lubricantes </t>
  </si>
  <si>
    <t>2.1.1.2.05.01</t>
  </si>
  <si>
    <t>Combustibles, Lubricantes, Productos Químicos</t>
  </si>
  <si>
    <t>2.1.1.2.05.</t>
  </si>
  <si>
    <t>Prendas de Vestir, Uniformes y otros Accesorios o Artículos de Ropería</t>
  </si>
  <si>
    <t>2.1.1.2.02.01</t>
  </si>
  <si>
    <t xml:space="preserve">Textiles y Vestuario </t>
  </si>
  <si>
    <t>2.1.1.2.02.</t>
  </si>
  <si>
    <t xml:space="preserve"> </t>
  </si>
  <si>
    <t>UNIDAD EJECUTORA: Jefatura de Gabinete.</t>
  </si>
  <si>
    <t>2.2.1.1.06.02</t>
  </si>
  <si>
    <t>2.2.1.1.04.02</t>
  </si>
  <si>
    <t xml:space="preserve">Servicios de Seguridad y Vigilancia </t>
  </si>
  <si>
    <t>2.1.1.3.09.07</t>
  </si>
  <si>
    <t>Mantenimientos y Reparaciones Varias</t>
  </si>
  <si>
    <t>Mantenimiento y Reparación de Equipos y Maquinarias</t>
  </si>
  <si>
    <t>2.1.1.3.03.05</t>
  </si>
  <si>
    <t>Elementos e Insumos de Seguridad</t>
  </si>
  <si>
    <t>2.1.1.2.09.03</t>
  </si>
  <si>
    <t>Repuestos y Accesorios Equipos y Maquinaria</t>
  </si>
  <si>
    <t>2.1.1.2.07.05</t>
  </si>
  <si>
    <t>Tintas, Pinturas y Colorantes</t>
  </si>
  <si>
    <t>2.1.1.2.05.02</t>
  </si>
  <si>
    <t>Combustibles y Lubricantes</t>
  </si>
  <si>
    <t>Útiles, Art. de Librería, Ins. Informáticos</t>
  </si>
  <si>
    <t>Indumentaria y Accesorios de Seguridad Laboral</t>
  </si>
  <si>
    <t>2.1.1.2.02.03</t>
  </si>
  <si>
    <t>Textiles y Vestuario</t>
  </si>
  <si>
    <t>COSTO TOTAL PROGRAMA</t>
  </si>
  <si>
    <t>Gastos Varios Protocolares y de Organización de Eventos</t>
  </si>
  <si>
    <t>2.1.1.3.09.06</t>
  </si>
  <si>
    <t>Gastos Protocolares de Traslado, Alojamiento y Estadía</t>
  </si>
  <si>
    <t>2.1.1.3.09.05</t>
  </si>
  <si>
    <t>Premios, Obsequios, Presentes y Otros</t>
  </si>
  <si>
    <t>Confecciones Textiles</t>
  </si>
  <si>
    <t>2.1.1.2.02.02</t>
  </si>
  <si>
    <t>Textiles y Vestuarios</t>
  </si>
  <si>
    <t>Materiales Conservación Inmuebles</t>
  </si>
  <si>
    <t>2.1.1.2.08.01</t>
  </si>
  <si>
    <t>Transferencias a Soc. Estado y/o Economía Mixta</t>
  </si>
  <si>
    <t>2.1.1.4.01.04</t>
  </si>
  <si>
    <t>Transferencias al Sector Púbico</t>
  </si>
  <si>
    <t>1101</t>
  </si>
  <si>
    <t>JEFATURA DE GABINETE</t>
  </si>
  <si>
    <t>2.1.1.3.03.02</t>
  </si>
  <si>
    <t>Mantenimiento y Reparación de Equipos y Sistemas Informáticos y de Comunicaciones en Gral.</t>
  </si>
  <si>
    <t>2.1.1.4.02.03</t>
  </si>
  <si>
    <t>Transferencia a Instituciones de Enseñanza/Académicas, Culturales, Deportivas y Sociales en General</t>
  </si>
  <si>
    <t>2.1.1.4.02.04</t>
  </si>
  <si>
    <t>Becas, Capacitación y Formación</t>
  </si>
  <si>
    <t>2.1.1.2.08.03</t>
  </si>
  <si>
    <t>Materiales de Electricidad</t>
  </si>
  <si>
    <t>2.1.1.2.09.02</t>
  </si>
  <si>
    <t>Utensilios de Cocina y Comedor</t>
  </si>
  <si>
    <t>2.1.1.3.03.01</t>
  </si>
  <si>
    <t>Limpieza, Aseo y Fumigación</t>
  </si>
  <si>
    <t>Mantenimiento y Reparación Rodados</t>
  </si>
  <si>
    <t>PROGRAMA: REGISTRO CIVIL</t>
  </si>
  <si>
    <t>UNIDAD EJECUTORA: Registro Civil.</t>
  </si>
  <si>
    <t>Alquileres Edificios, Locales e Inmuebles</t>
  </si>
  <si>
    <t>2.1.1.3.09.02</t>
  </si>
  <si>
    <t>Trabajos de Terceros</t>
  </si>
  <si>
    <t>2.1.1.4.02.05</t>
  </si>
  <si>
    <t>Apoyo a Centros Vecinales</t>
  </si>
  <si>
    <t>2.1.1.4.02.08</t>
  </si>
  <si>
    <t>Ayudas Sociales a Personas y Familias</t>
  </si>
  <si>
    <t xml:space="preserve">Subsidios a Entregar  </t>
  </si>
  <si>
    <t>Asignaciones Familiares Autoridades y Personal Jerárquico</t>
  </si>
  <si>
    <t>Equipos de Computación, Software y Licencias de Computación</t>
  </si>
  <si>
    <t>2.1.1.2.05.03</t>
  </si>
  <si>
    <t>Compuestos y Productos Químicos</t>
  </si>
  <si>
    <t>Cubiertas y Cámaras de Aires</t>
  </si>
  <si>
    <t xml:space="preserve">Herramientas Menores </t>
  </si>
  <si>
    <t>2.1.1.2.08.02</t>
  </si>
  <si>
    <t>Materiales Conservación Calles</t>
  </si>
  <si>
    <t>2.1.1.2.08.04</t>
  </si>
  <si>
    <t>Materiales de Construcción</t>
  </si>
  <si>
    <t>2.1.1.3.02.02</t>
  </si>
  <si>
    <t>Alquileres de Maquinaria, Equipos y Medios de Transporte</t>
  </si>
  <si>
    <t>2.1.1.3.02.03</t>
  </si>
  <si>
    <t>Leasing-Alquileres con Opción a Compra</t>
  </si>
  <si>
    <t>Mantenimiento y Reparación de Rodados</t>
  </si>
  <si>
    <t>2.1.1.3.04.</t>
  </si>
  <si>
    <t>Servicios Públicos Municipales</t>
  </si>
  <si>
    <t>2.1.1.3.04.01</t>
  </si>
  <si>
    <t>Mantenimiento y Limpieza de Espacios Públicos</t>
  </si>
  <si>
    <t>2.1.1.3.04.02</t>
  </si>
  <si>
    <t>Barrido, Limpieza y Riego de Calles</t>
  </si>
  <si>
    <t>2.1.1.3.04.03</t>
  </si>
  <si>
    <t>Recolección y Tratamiento de Residuos</t>
  </si>
  <si>
    <t>2.1.1.3.04.04</t>
  </si>
  <si>
    <t>2.1.1.3.04.06</t>
  </si>
  <si>
    <t>Otros Servicios Públicos Municipales</t>
  </si>
  <si>
    <t>Equipos y Máquinaria</t>
  </si>
  <si>
    <t>2.1.1.4.01.07</t>
  </si>
  <si>
    <t>Transferencias-Trabajo Público en Instituciones del Sector Público</t>
  </si>
  <si>
    <t>2.1.1.4.02.15</t>
  </si>
  <si>
    <t>Transferencias-Trabajo Público en Instituciones del Sector Privado</t>
  </si>
  <si>
    <t>COSTO TOTAL PROGRAMA.</t>
  </si>
  <si>
    <t>2.1.1.2.01.03</t>
  </si>
  <si>
    <t>Productos Agroforestales</t>
  </si>
  <si>
    <t>2.1.1.2.05.04</t>
  </si>
  <si>
    <t>Abonos y Fertilizantes</t>
  </si>
  <si>
    <t>2.1.1.2.05.05</t>
  </si>
  <si>
    <t xml:space="preserve">Insecticidas, Fumigantes y Otros </t>
  </si>
  <si>
    <t xml:space="preserve">2.1.1.2.09.      </t>
  </si>
  <si>
    <t xml:space="preserve">2.2.1.1.02.05  </t>
  </si>
  <si>
    <t>PLAN DE OBRAS Y TRABAJOS PÚBLICOS</t>
  </si>
  <si>
    <t>CODIGO:</t>
  </si>
  <si>
    <t>COSTO TOTAL PROYECTO:</t>
  </si>
  <si>
    <t>TRABAJO PÚBLICO</t>
  </si>
  <si>
    <t>2.2.1.2.01.</t>
  </si>
  <si>
    <t>2.2.1.2.01.02</t>
  </si>
  <si>
    <t>Construcción, Ampliación y/o Mejora Edificios Muni-Cerca</t>
  </si>
  <si>
    <t>2.2.1.2.01.03</t>
  </si>
  <si>
    <t>Construcción, Ampliación y/o Mejora Centros de Apoyo y/o Educativos</t>
  </si>
  <si>
    <t>2.2.1.2.01.04</t>
  </si>
  <si>
    <t>Construcción, Ampliación y/o Mejora Centros de Salud</t>
  </si>
  <si>
    <t>2.2.1.2.01.05</t>
  </si>
  <si>
    <t>Construcción, Ampliación y/o Mejora Edif./Espacios Culturales y Recreativos</t>
  </si>
  <si>
    <t>2.2.1.2.01.06</t>
  </si>
  <si>
    <t>Construcción, Ampliación y/o Mejora Espacios Deportivos y de Esparcimiento</t>
  </si>
  <si>
    <t>2.2.1.2.01.07</t>
  </si>
  <si>
    <t>Construcción, Ampliación y/o Mejora Edif. Hogar de Ancianos</t>
  </si>
  <si>
    <t>2.2.1.2.02.</t>
  </si>
  <si>
    <t>Construcción Bienes de Dominio Público</t>
  </si>
  <si>
    <t>2.2.1.2.02.01</t>
  </si>
  <si>
    <t>Ampliación, Revalorización y/o Mejora de la Costanera</t>
  </si>
  <si>
    <t>2.2.1.2.02.02</t>
  </si>
  <si>
    <t>Espacios Verdes y Públicos -Creación, Revalor. y/o Mejora Parques, Plazas y Otros Espacios-</t>
  </si>
  <si>
    <t>2.2.1.2.02.03</t>
  </si>
  <si>
    <t>Revalorización Sector Céntrico</t>
  </si>
  <si>
    <t>Construcción Bienes de Dominio Privado</t>
  </si>
  <si>
    <t>2.2.1.2.02.05</t>
  </si>
  <si>
    <t xml:space="preserve">Red de Gas </t>
  </si>
  <si>
    <t>2.2.1.2.02.06</t>
  </si>
  <si>
    <t>Iluminación y Alumbrado Público</t>
  </si>
  <si>
    <t>2.2.1.2.02.07</t>
  </si>
  <si>
    <t>Mantenimiento y Conservación Red Vial Urbana</t>
  </si>
  <si>
    <t>2.2.1.2.02.08</t>
  </si>
  <si>
    <t xml:space="preserve">Pavimentación </t>
  </si>
  <si>
    <t>2.2.1.2.02.09</t>
  </si>
  <si>
    <t>Cordón Cuneta</t>
  </si>
  <si>
    <t>2.2.1.2.02.13</t>
  </si>
  <si>
    <t>2.2.1.2.02.14</t>
  </si>
  <si>
    <t>Sistema de Desagües Pluviales</t>
  </si>
  <si>
    <t>1401</t>
  </si>
  <si>
    <t>- Entender en la determinación de los objetivos y la formulación de las políticas de la Secretaría.</t>
  </si>
  <si>
    <t>Repuestos y Accesorios Equipos y Sistemas Informáticos y de Comunicación en General</t>
  </si>
  <si>
    <t>2.1.1.3.01.</t>
  </si>
  <si>
    <t>Servicios Básicos</t>
  </si>
  <si>
    <t>2.1.1.3.01.01</t>
  </si>
  <si>
    <t>Energía Eléctrica</t>
  </si>
  <si>
    <t>2.1.1.3.01.02</t>
  </si>
  <si>
    <t>Agua y Cloacas</t>
  </si>
  <si>
    <t>2.1.1.3.01.03</t>
  </si>
  <si>
    <t>Gas</t>
  </si>
  <si>
    <t>2.1.1.3.01.05</t>
  </si>
  <si>
    <t>Correos y Telégrafos</t>
  </si>
  <si>
    <t>2.1.1.3.01.06</t>
  </si>
  <si>
    <t>Otros Servicios Básicos no Especificados</t>
  </si>
  <si>
    <t>2.1.1.4.02.06</t>
  </si>
  <si>
    <t>Apoyo a Microemprendedores</t>
  </si>
  <si>
    <t>2.2.1.1.01.</t>
  </si>
  <si>
    <t>Bienes Preexistentes</t>
  </si>
  <si>
    <t>2.2.1.1.01.01</t>
  </si>
  <si>
    <t>Tierras y Terrenos</t>
  </si>
  <si>
    <t>2.2.1.1.01.02</t>
  </si>
  <si>
    <t>Edificios, Obras e Instalaciones</t>
  </si>
  <si>
    <t>1402</t>
  </si>
  <si>
    <t>UNIDAD EJECUTORA: Subsecretaría de Ingresos Públicos.</t>
  </si>
  <si>
    <t>Combustible, Lubricantes, Productos Químicos</t>
  </si>
  <si>
    <t xml:space="preserve">Bienes de Consumo </t>
  </si>
  <si>
    <t>2.1.1.3.06.08</t>
  </si>
  <si>
    <t>Servicios de Resguardo y Archivo Documental</t>
  </si>
  <si>
    <t>2.1.1.3.08.</t>
  </si>
  <si>
    <t>Impuestos, Derechos, Tasas y Juicios</t>
  </si>
  <si>
    <t>2.1.1.3.08.01</t>
  </si>
  <si>
    <t>Impuestos, Derechos y Tasas</t>
  </si>
  <si>
    <t>2.1.1.3.08.02</t>
  </si>
  <si>
    <t>Multas y Recargos</t>
  </si>
  <si>
    <t>1403</t>
  </si>
  <si>
    <t>PROGRAMA: TESORERÍA</t>
  </si>
  <si>
    <t>1404</t>
  </si>
  <si>
    <t>UNIDAD EJECUTORA: Tesorería.</t>
  </si>
  <si>
    <t>2.1.1.3.06.01</t>
  </si>
  <si>
    <t>Gastos Bancarios</t>
  </si>
  <si>
    <t>2.1.1.3.06.02</t>
  </si>
  <si>
    <t>Comisiones por Recaudación</t>
  </si>
  <si>
    <t>Equipos y Aparatos de Seguridad</t>
  </si>
  <si>
    <t>1405</t>
  </si>
  <si>
    <t>Materiales de Conservaciones Varias</t>
  </si>
  <si>
    <t>2.1.1.3.01.04</t>
  </si>
  <si>
    <t>Mantenimiento y Reparación Equipos y Sistemas Informáticos y de Comunicación en General</t>
  </si>
  <si>
    <t>2.2.1.1.04.03</t>
  </si>
  <si>
    <t>Equipos y Aparatos de Telefonía</t>
  </si>
  <si>
    <t>2.1.1.2.02</t>
  </si>
  <si>
    <t>PROGRAMA: INVERSIONES, APLICACIONES Y OTRAS PREVISIONES FINANCIERAS</t>
  </si>
  <si>
    <t>1407</t>
  </si>
  <si>
    <t>PARTICIPACIONES DE CAPITAL Y ACTIVOS FINANCIEROS</t>
  </si>
  <si>
    <t>2.2.2.1.01.</t>
  </si>
  <si>
    <t>Aportes de Capital</t>
  </si>
  <si>
    <t>2.2.2.1.01.01</t>
  </si>
  <si>
    <t>Aportes de Capital a Soc. Estado y/o Soc. de Economía Mixta</t>
  </si>
  <si>
    <t>2.2.2.1.01.02</t>
  </si>
  <si>
    <t>Aportes de Capital a Instituciones Públicas Financieras</t>
  </si>
  <si>
    <t>2.2.2.1.01.03</t>
  </si>
  <si>
    <t>Aportes de Capital a Fondos Fiduciarios</t>
  </si>
  <si>
    <t>2.2.2.1.01.04</t>
  </si>
  <si>
    <t>Otros Aportes de Capital</t>
  </si>
  <si>
    <t>2.2.2.1.02.</t>
  </si>
  <si>
    <t>Títulos y Valores</t>
  </si>
  <si>
    <t>2.2.2.1.02.01</t>
  </si>
  <si>
    <t>Títulos y Valores de Corto y Largo Plazo</t>
  </si>
  <si>
    <t>2.2.2.1.03.</t>
  </si>
  <si>
    <t>Préstamos</t>
  </si>
  <si>
    <t>2.2.2.1.03.01</t>
  </si>
  <si>
    <t>Préstamos a Municipios y Entes Comunales</t>
  </si>
  <si>
    <t>2.2.2.1.03.02</t>
  </si>
  <si>
    <t>Otros Préstamos</t>
  </si>
  <si>
    <t>2.2.2.1.04.</t>
  </si>
  <si>
    <t>Otras Participaciones</t>
  </si>
  <si>
    <t>2.2.2.1.04.01</t>
  </si>
  <si>
    <t>AMORTIZACIÓN DE LA DEUDA</t>
  </si>
  <si>
    <t>2.3.1.1.02.</t>
  </si>
  <si>
    <t>Con Organismos Provinciales</t>
  </si>
  <si>
    <t>2.3.1.1.02.01</t>
  </si>
  <si>
    <t>I.P.V. - FOVICOR</t>
  </si>
  <si>
    <t>2.3.1.1.02.02</t>
  </si>
  <si>
    <t xml:space="preserve">Préstamos Provinciales - Fondo Permanente </t>
  </si>
  <si>
    <t>2.3.1.1.02.03</t>
  </si>
  <si>
    <t>Ley Provincial Refinanciación Deuda Ley 9802</t>
  </si>
  <si>
    <t>2.3.1.1.02.04</t>
  </si>
  <si>
    <t>Préstamo Provincial Ley 9854 - Vida Digna</t>
  </si>
  <si>
    <t>2.3.1.1.02.05</t>
  </si>
  <si>
    <t>Préstamo Provincial Ley 9740 - FOPROP</t>
  </si>
  <si>
    <t>2.3.1.1.02.06</t>
  </si>
  <si>
    <t>Otros Préstamos Tomados</t>
  </si>
  <si>
    <t>2.3.1.1.02.07</t>
  </si>
  <si>
    <t>Otras Amortizaciones de Deudas con Organismos Provinciales</t>
  </si>
  <si>
    <t>2.3.1.1.03.</t>
  </si>
  <si>
    <t>Con Instituciones Bancarias y Financieras</t>
  </si>
  <si>
    <t>2.3.1.1.03.01</t>
  </si>
  <si>
    <t>Amortización Préstamos Bancarios</t>
  </si>
  <si>
    <t>2.3.1.1.03.02</t>
  </si>
  <si>
    <t>Otras Amortizaciones de Deudas con Instituciones Financieras</t>
  </si>
  <si>
    <t>2.3.1.1.04.</t>
  </si>
  <si>
    <t>Con Otras Entidades del Sector Privado</t>
  </si>
  <si>
    <t>2.3.1.1.04.01</t>
  </si>
  <si>
    <t>Caja Prev. y Seg. Social de Abogados y Procuradores de la Pcia. de Cba.</t>
  </si>
  <si>
    <t>2.3.1.1.04.02</t>
  </si>
  <si>
    <t>Otras Amortizaciones de Deudas con Otras Entidades del Sector Privado</t>
  </si>
  <si>
    <t>2.3.1.1.05.</t>
  </si>
  <si>
    <t>De Títulos y Bonos Emitidos por el Estado Municipal</t>
  </si>
  <si>
    <t>2.3.1.1.05.01</t>
  </si>
  <si>
    <t>Amortización de Títulos y Bonos Emitidos por el Estado Municipal</t>
  </si>
  <si>
    <t>NO CLASIFICADOS</t>
  </si>
  <si>
    <t>2.4.1.</t>
  </si>
  <si>
    <t>Créditos Especiales</t>
  </si>
  <si>
    <t>2.4.2.</t>
  </si>
  <si>
    <t>Plan Habitacional B° San Martín (400 viviendas)</t>
  </si>
  <si>
    <t>2.1.1.3.02.05</t>
  </si>
  <si>
    <t>Derechos de Bienes Intangibles</t>
  </si>
  <si>
    <t xml:space="preserve">2.1.1.4.02.04    </t>
  </si>
  <si>
    <t xml:space="preserve">2.1.1.3.09.01      </t>
  </si>
  <si>
    <t>2.1.1.4.02.01</t>
  </si>
  <si>
    <t xml:space="preserve">Pasajes y Abonos de Transporte </t>
  </si>
  <si>
    <t>Prendas de Vestir, Uniformes y Otros Accesorios o Artículos de Ropería</t>
  </si>
  <si>
    <t>2.1.1.2.04.02</t>
  </si>
  <si>
    <t>Útiles, Artículos de Librería, Insumos de Enseñanza</t>
  </si>
  <si>
    <t>2.1.1.2.04.03</t>
  </si>
  <si>
    <t>Juegos, Material Didáctico, de Enseñanza y Recreación</t>
  </si>
  <si>
    <t xml:space="preserve">PROGRAMA: COORDINACIÓN DE POLÍTICAS SOBRE DISCAPACIDAD  </t>
  </si>
  <si>
    <t xml:space="preserve">                </t>
  </si>
  <si>
    <t>Servicios de Seguridad y Vigiliancia</t>
  </si>
  <si>
    <t>2.2.1.1.02.03</t>
  </si>
  <si>
    <t>Semáforos y Otros Equipos de Señalización</t>
  </si>
  <si>
    <t>Gastos Varios Protocolares y de Organización Eventos</t>
  </si>
  <si>
    <t>PROGRAMA: INSPECCIÓN GENERAL</t>
  </si>
  <si>
    <t>UNIDAD EJECUTORA: Subsecretaría de Inpección General.</t>
  </si>
  <si>
    <t>Insecticidas, Fumigantes y Otros</t>
  </si>
  <si>
    <t>2.1.1.2.06</t>
  </si>
  <si>
    <t>Productos Farmacéuticos y Medicinales</t>
  </si>
  <si>
    <t>2.1.1.2.06.01</t>
  </si>
  <si>
    <t>Compuestos y Productos Químicos de Uso Medicinal, Famaceútico y de Laboratorio</t>
  </si>
  <si>
    <t>2.1.1.2.06.02</t>
  </si>
  <si>
    <t>Descartables, Material de Cirugía y Curación</t>
  </si>
  <si>
    <t>2.1.1.2.06.04</t>
  </si>
  <si>
    <t>Útiles, Insumos e Instrumental Menores Médicos, Quirúrgicos y de Laboratorio</t>
  </si>
  <si>
    <t>2.1.1.2.07.03</t>
  </si>
  <si>
    <t>Repuestos y Accesorios Equipos Médico-Sanitarios y de Laboratorio</t>
  </si>
  <si>
    <t xml:space="preserve">2.1.1.2.09.01 </t>
  </si>
  <si>
    <t>2.1.1.3.03.03</t>
  </si>
  <si>
    <t>Mantenimiento y Reparación Equipos Médico-Sanitarios y de Laboratorio</t>
  </si>
  <si>
    <t>2.2.1.1.02.01</t>
  </si>
  <si>
    <t>Equipo e Instrumental Médico-Sanitario y de Laboratorio</t>
  </si>
  <si>
    <t>2.1.1.2.01.02</t>
  </si>
  <si>
    <t>Alimentos para Animales</t>
  </si>
  <si>
    <t>2.1.1.2.06.05</t>
  </si>
  <si>
    <t>1701</t>
  </si>
  <si>
    <t>Productos Alimenticios, Agropecuarios y Agroforestales</t>
  </si>
  <si>
    <t>Servicios de Mantenimiento, Reparaciones y Limpieza</t>
  </si>
  <si>
    <t xml:space="preserve">2.1.1.3.09.03     </t>
  </si>
  <si>
    <t>2.1.1.4.02.11</t>
  </si>
  <si>
    <t>Trámites Varios a Personas de Escasos Recursos</t>
  </si>
  <si>
    <t>1702</t>
  </si>
  <si>
    <t>Textiles y Vestuaros</t>
  </si>
  <si>
    <t>Prendas de Vestir,Uniformes y otros accesorio o Artículos de Ropería</t>
  </si>
  <si>
    <t>2.1.1.2.06.</t>
  </si>
  <si>
    <t>Compuestos y Productos Químicos de Uso Medicinal, Farmacéutico y de Laboratorio</t>
  </si>
  <si>
    <t>Útiles, Insumos e Instrumental Menor Médico, Quirúrgico y de Laboratorio</t>
  </si>
  <si>
    <t>2.1.1.3.04.05</t>
  </si>
  <si>
    <t>Sistemas de Atención de Urgencias y Emergencias</t>
  </si>
  <si>
    <t xml:space="preserve">Otros Bienes de Capital   </t>
  </si>
  <si>
    <t>2.1.1.2.06.03</t>
  </si>
  <si>
    <t>Insumos para Diagnósticos por Imágenes</t>
  </si>
  <si>
    <t>2.1.1.2.09.04</t>
  </si>
  <si>
    <t>Elementos de Deporte</t>
  </si>
  <si>
    <t>Alquileres de Maquinarias, Equipos y Medios de Transporte</t>
  </si>
  <si>
    <t>Mantenimiento y Reparaciones Equipos Médico-Sanitarios y de Laboratorio</t>
  </si>
  <si>
    <t xml:space="preserve">Mantenimiento y Reparación Rodados </t>
  </si>
  <si>
    <t xml:space="preserve">2.1.1.2.09. </t>
  </si>
  <si>
    <t>2.1.1.3.03</t>
  </si>
  <si>
    <t>2.1.1.3.07</t>
  </si>
  <si>
    <t>2.1.1.4.02.07</t>
  </si>
  <si>
    <t>Apoyo a Proyectos y Artistas o Autores Locales y Regionales</t>
  </si>
  <si>
    <t>Llevar a cabo diferentes actividades como:</t>
  </si>
  <si>
    <t>2.1.1.3.06.06</t>
  </si>
  <si>
    <t>Fletes/Trasporte y Almacenamento</t>
  </si>
  <si>
    <t>Pasajes y Abonos de Transporte</t>
  </si>
  <si>
    <t>2.1.1.4.02.02</t>
  </si>
  <si>
    <t>Ayudas Escolares</t>
  </si>
  <si>
    <t>2.2.1.1.06.01</t>
  </si>
  <si>
    <t>Colecciones y Elementos de Biblioteca y Museos</t>
  </si>
  <si>
    <t xml:space="preserve">Colecciones Audio-Visuales </t>
  </si>
  <si>
    <t>2.2.1.1.04.06</t>
  </si>
  <si>
    <t>Instrumentos Musicales</t>
  </si>
  <si>
    <t>PROGRAMA: PATRIMONIO HISTÓRICO Y MUSEOS</t>
  </si>
  <si>
    <t>UNIDAD EJECUTORA: Asesoría Letrada.</t>
  </si>
  <si>
    <t>Materiales de Conservación y/o Construcción</t>
  </si>
  <si>
    <t xml:space="preserve">2.1.1.2.08.05        </t>
  </si>
  <si>
    <t>Honorarios por Servicio Técnicos y Profesionales</t>
  </si>
  <si>
    <t>2.1.1.3.07.02</t>
  </si>
  <si>
    <t>Boletín Oficial y Otras Publicaciones Oficiales</t>
  </si>
  <si>
    <t>2.1.1.3.08.03</t>
  </si>
  <si>
    <t>Sentencias y Otros Gastos Judiciales Relacionados</t>
  </si>
  <si>
    <t>2.1.1.3.08.04</t>
  </si>
  <si>
    <t>Mediaciones, Acuerdos Extrajudiciales y Otros Gastos Relacionados</t>
  </si>
  <si>
    <t>2.1.1.3.08.05</t>
  </si>
  <si>
    <t>Indemnizaciones por Daños y Perjuicios</t>
  </si>
  <si>
    <t>Servicio de Resguardo y Archivo Documental</t>
  </si>
  <si>
    <t>PROGRAMA: JUSTICIA ELECTORAL</t>
  </si>
  <si>
    <t>CONSEJO ASESOR MUNICIPAL</t>
  </si>
  <si>
    <t>PROGRAMA: CONSEJO ASESOR MUNICIPAL</t>
  </si>
  <si>
    <t>5001</t>
  </si>
  <si>
    <t>UNIDAD EJECUTORA: Consejo Asesor Municipal.</t>
  </si>
  <si>
    <t>Manteriales Conservaciones Varias</t>
  </si>
  <si>
    <t>TRIBUNAL ADMINISTRATIVO DE ADMISIONES Y CONCURSOS</t>
  </si>
  <si>
    <t>PROGRAMA: TRIBUNAL ADMINISTRATIVO DE ADMISIONES Y CONCURSOS</t>
  </si>
  <si>
    <t>4401</t>
  </si>
  <si>
    <t>UNIDAD EJECUTORA: Tribunal Administrativo de Admisiones y Concursos.</t>
  </si>
  <si>
    <t>Productos de papel, Cartón e Impresoras</t>
  </si>
  <si>
    <t>Útiles e insumos de Oficina y Enseñanza</t>
  </si>
  <si>
    <t>4301</t>
  </si>
  <si>
    <t>TRIBUNAL MUNICIPAL DE RECLAMOS Y APELACIONES FISCALES</t>
  </si>
  <si>
    <t>PROGRAMA: TRIBUNAL MUNICIPAL DE RECLAMOS Y APELACIONES FISCALES</t>
  </si>
  <si>
    <t>4201</t>
  </si>
  <si>
    <t>UNIDAD EJECUTORA: Tribunal Municipal de Reclamos y Apelaciones Fiscales.</t>
  </si>
  <si>
    <t xml:space="preserve">2.1.1.2.09.        </t>
  </si>
  <si>
    <t>AUDITOR GENERAL</t>
  </si>
  <si>
    <t>PROGRAMA: AUDITORIA GENERAL</t>
  </si>
  <si>
    <t>4101</t>
  </si>
  <si>
    <t>UNIDAD EJECUTORA: Auditor General.</t>
  </si>
  <si>
    <t>Telefonía, Telefax, Internet y similar</t>
  </si>
  <si>
    <t>TRIBUNAL DE CUENTAS</t>
  </si>
  <si>
    <t>PROGRAMA: TRIBUNAL DE CUENTAS</t>
  </si>
  <si>
    <t>4001</t>
  </si>
  <si>
    <t>UNIDAD EJECUTORA: Tribunal de Cuentas.</t>
  </si>
  <si>
    <t>CONCEJO DELIBERANTE</t>
  </si>
  <si>
    <t>3001</t>
  </si>
  <si>
    <t>UNIDAD EJECUTORA: Presidencia - Secretaría Habilitada.</t>
  </si>
  <si>
    <t>Transferencias a Instituciones de Enseñanza/Académicas, Culturales, Deportivas y Sociales en General</t>
  </si>
  <si>
    <t xml:space="preserve">2.2.1.1.05.     </t>
  </si>
  <si>
    <t>PROGRAMA: PROTOCOLO, COMUNICACIÓN Y PRENSA DEL CONCEJO DELIBERANTE</t>
  </si>
  <si>
    <t>3002</t>
  </si>
  <si>
    <t xml:space="preserve">2.1.1.2.09.    </t>
  </si>
  <si>
    <t>JUSTICIA ADMINISTRATIVA MUNICIPAL DE FALTAS</t>
  </si>
  <si>
    <t>PROGRAMA: JUSTICIA ADMINISTRATIVA MUNICIPAL DE FALTAS</t>
  </si>
  <si>
    <t>2001</t>
  </si>
  <si>
    <t>UNIDAD EJECUTORA: Justicia Administrativa Municipal de Faltas.</t>
  </si>
  <si>
    <t xml:space="preserve">SUBPROGRAMA:  JUSTICIA ADMINISTRATIVA </t>
  </si>
  <si>
    <t>2001-01</t>
  </si>
  <si>
    <t xml:space="preserve">         MUNICIPAL DE FALTAS</t>
  </si>
  <si>
    <t xml:space="preserve">           </t>
  </si>
  <si>
    <t>Primera Instancia - Primera Nominación</t>
  </si>
  <si>
    <t>COSTO TOTAL DEL SUBPROGRAMA:</t>
  </si>
  <si>
    <t>2001-02</t>
  </si>
  <si>
    <t>Primera Instancia - Segunda Nominación</t>
  </si>
  <si>
    <t>PROGRAMA: COORDINACIÓN Y ADMINISTRACIÓN DE LA JEFATURA DE GABINETE</t>
  </si>
  <si>
    <t xml:space="preserve">PROGRAMA: COORDINACIÓN Y ADMINISTRACIÓN DEL CONCEJO DELIBERANTE </t>
  </si>
  <si>
    <t>2.1.1.3.07.05</t>
  </si>
  <si>
    <t>2.1.1.4.01.09</t>
  </si>
  <si>
    <t>Transferencias a Instituciones de Enseñanza/Académicas, Culturales y Deportivas</t>
  </si>
  <si>
    <t>Mantenimiento y Reparaciones de Inmuebles</t>
  </si>
  <si>
    <t xml:space="preserve">Gastos Varios Protocolares y de Organización de Eventos </t>
  </si>
  <si>
    <t>Transferencia a Instituciones de Enseñanza/Académicas, Culturales, Deportivas</t>
  </si>
  <si>
    <t xml:space="preserve">Útiles y/o Insumos técnico-profesional Herramientas Menores </t>
  </si>
  <si>
    <t>Herramientas menores</t>
  </si>
  <si>
    <t>2.1.1.2.07.07</t>
  </si>
  <si>
    <t>Embargos y otros gastos relacionados</t>
  </si>
  <si>
    <t>2.1.1.3.08.06</t>
  </si>
  <si>
    <t>Fletes/Trasporte y Almacenamiento</t>
  </si>
  <si>
    <t>Costos de Creación, Impresión y Colocación de Material y Cartelería de Difusión</t>
  </si>
  <si>
    <t>Otras Transferencias al Sector Público u otros subsidios a entregar</t>
  </si>
  <si>
    <t>PROGRAMA: RELACIONES INSTITUCIONALES Y CAPACITACIÓN</t>
  </si>
  <si>
    <t>Productos y/o Materiales Específicos para tratamiento de Residuos y otras políticas Ambientales</t>
  </si>
  <si>
    <t>Cartelería, Señaléctica y Otros Impresos</t>
  </si>
  <si>
    <t>2.1.1.2.03.03</t>
  </si>
  <si>
    <t>2.1.1.2.08.06</t>
  </si>
  <si>
    <t>Estructuras Metálicas Acabadas</t>
  </si>
  <si>
    <t>Muebles y Equipo Educacional, Cultural y Recreativo</t>
  </si>
  <si>
    <t xml:space="preserve">Útiles y/o Insumos técnico-profesional </t>
  </si>
  <si>
    <t>Mantenimiento y Conservación Calles de Tierra y Caminos Rurales</t>
  </si>
  <si>
    <t>2.2.1.2.02.28</t>
  </si>
  <si>
    <t>2.1.1.2.08.07</t>
  </si>
  <si>
    <t>2.1.1.3.03.08</t>
  </si>
  <si>
    <t>Mantenimiento y Reparaciones Sistemas de Seguridad, Monitoreo y Vigilancia, y Otros Similares</t>
  </si>
  <si>
    <t>UNIDAD EJECUTORA: Junta Electoral.</t>
  </si>
  <si>
    <t>JUSTICIA ELECTORAL</t>
  </si>
  <si>
    <t>PROGRAMA: ENTE DE CONTROL DE SERVICIOS MUNICIPALES</t>
  </si>
  <si>
    <t>ENTE DE CONTROL DE SERVICIOS MUNICIPALES</t>
  </si>
  <si>
    <t>UNIDAD EJECUTORA: Ente de Control de Servicios Municipales.</t>
  </si>
  <si>
    <t>JEFE DE PROGRAMA: A Designar.</t>
  </si>
  <si>
    <t>JEFE DE PROGRAMA: Sr. Intendente Ab. Martín GILL.</t>
  </si>
  <si>
    <t>1003</t>
  </si>
  <si>
    <t>SECRETARÍA DE GOBIERNO Y VINCULACIÓN COMUNITARIA</t>
  </si>
  <si>
    <t>UNIDAD EJECUTORA: Secretaría de Gobierno y Vinculación Comunitaria.</t>
  </si>
  <si>
    <t>SECRETARÍA DE SALUD</t>
  </si>
  <si>
    <t>UNIDAD EJECUTORA: Secretaría de Salud.</t>
  </si>
  <si>
    <t>PROGRAMA: COORDINACIÓN Y ADMINISTRACIÓN DE LA SECRETARÍA DE EDUCACIÓN</t>
  </si>
  <si>
    <t>UNIDAD EJECUTORA: Secretaría de Educación.</t>
  </si>
  <si>
    <t>SECRETARÍA DE INCLUSIÓN SOCIAL Y FAMILIA</t>
  </si>
  <si>
    <t>UNIDAD EJECUTORA: Secretaría de Inclusión Social y Familia.</t>
  </si>
  <si>
    <t>UNIDAD EJECUTORA: Secretaría de Desarrollo Urbano, Ambiente e Infraestructura.</t>
  </si>
  <si>
    <t>SECRETARÍA DE ECONOMÍA Y FINANZAS</t>
  </si>
  <si>
    <t>SECRETARÍA DE DESARROLLO URBANO, AMBIENTE E INFRAESTRUCTURA</t>
  </si>
  <si>
    <t>UNIDAD EJECUTORA: Secretaría de Economía y Finanzas.</t>
  </si>
  <si>
    <t>UNIDAD EJECUTORA: Departamento Ejecutivo - Unidad Intendencia.</t>
  </si>
  <si>
    <t>PROGRAMA: ECONOMÍA SOCIAL Y SOLIDARIA</t>
  </si>
  <si>
    <t>PROGRAMA: GESTIÓN DE RIESGO Y DEFENSA CIVIL</t>
  </si>
  <si>
    <t>1208</t>
  </si>
  <si>
    <t>UNIDAD EJECUTORA: Subsecretaría de Descentralización Territorial.</t>
  </si>
  <si>
    <t>1406</t>
  </si>
  <si>
    <t>1408</t>
  </si>
  <si>
    <t>1409</t>
  </si>
  <si>
    <t>PROGRAMA:  COORDINACIÓN DE ADULTOS MAYORES</t>
  </si>
  <si>
    <t>Servicios de Matenimiento, Reparación y Limpieza</t>
  </si>
  <si>
    <t>UNIDAD EJECUTORA: Subsecretaría de Tecnología de Información y Comunicación TIC.</t>
  </si>
  <si>
    <t>UNIDAD EJECUTORA: Subsecretaría de Cultura.</t>
  </si>
  <si>
    <t>VER</t>
  </si>
  <si>
    <t>SECRETARÍA DE EDUCACIÓN</t>
  </si>
  <si>
    <t>UNIDAD EJECUTORA: Subsecretaría de Salud.</t>
  </si>
  <si>
    <t>2.3.1.1.02.08</t>
  </si>
  <si>
    <t>E.P.E.C.</t>
  </si>
  <si>
    <t>1210</t>
  </si>
  <si>
    <t>1601</t>
  </si>
  <si>
    <t>1602</t>
  </si>
  <si>
    <t>1603</t>
  </si>
  <si>
    <t>1705</t>
  </si>
  <si>
    <t>PROGRAMA: SISTEMAS INFORMÁTICOS</t>
  </si>
  <si>
    <t>UNIDAD EJECUTORA: Departamento de Modernización del Estado.</t>
  </si>
  <si>
    <t>1104</t>
  </si>
  <si>
    <t>DEPARTAMENTO EJECUTIVO - UNIDAD INTENDENCIA</t>
  </si>
  <si>
    <t>PROGRAMA: ATENCIÓN CIUDADANA - VILLA MARÍA RESPONDE</t>
  </si>
  <si>
    <t>PROGRAMA: ASESORÍA LETRADA - COORDINACIÓN LEGAL Y TÉCNICA</t>
  </si>
  <si>
    <t>UNIDAD EJECUTORA: Unidad Intendencia - Jefatura de Gabinete.</t>
  </si>
  <si>
    <t>UNIDAD EJECUTORA: Jefatura de Gabinete - Dirección de Relac. Intituc. y Capacitación.</t>
  </si>
  <si>
    <t>UNIDAD EJECUTORA: Subsecretaría de Seguridad Ciudadana.</t>
  </si>
  <si>
    <t>PROGRAMA: RELACIONES LABORALES  -  SERVICIOS GENERALES</t>
  </si>
  <si>
    <t>UNIDAD EJECUTORA: Dirección de Relaciones Laborales, Capital Humano y Técnico.</t>
  </si>
  <si>
    <t xml:space="preserve">PROGRAMA: </t>
  </si>
  <si>
    <t>UNIDAD EJECUTORA: Coordinación del Centro Cultural Comunitario "Leonardo Favio".</t>
  </si>
  <si>
    <t xml:space="preserve">UNIDAD EJECUTORA: Centro de Innovación Tecnológica y Procesos Productivos - Coordinación de Tecnoteca. </t>
  </si>
  <si>
    <t>UNIDAD EJECUTORA: Dirección de Medioteca y Biblioteca Municipal y Popular "Mariano Moreno".</t>
  </si>
  <si>
    <t xml:space="preserve">PROGRAMA: COORDINACIÓN Y ADMINISTRACIÓN DE LA SUBSECRETARÍA DE CULTURA </t>
  </si>
  <si>
    <t>UNIDAD EJECUTORA: Dirección de Patrimonio Histórico - Dirección de Museos.</t>
  </si>
  <si>
    <t>JEFE DE PROGRAMA: Ing. Carlos RAMÍREZ - Sr. Omar REGUEIRA.</t>
  </si>
  <si>
    <t>- Definir políticas eficientes y equitativas en la obtención y ejecución de los ingresos públicos municipales.</t>
  </si>
  <si>
    <t>- Formular y ejecutar acciones dirigidas a la implementación de Buenas Prácticas de Gestión - Manual de Buen Gobierno.</t>
  </si>
  <si>
    <t>UNIDAD EJECUTORA: Dirección Gral. Compras, Stock y Aprovisionamiento - Dirección de Contrataciones.</t>
  </si>
  <si>
    <t>PROGRAMA: CONTADURÍA GENERAL Y ADMINISTRACIÓN Y GESTIÓN ECONÓMICA</t>
  </si>
  <si>
    <t>UNIDAD EJECUTORA: Contaduría General - Dirección y Gestión Económica.</t>
  </si>
  <si>
    <t>UNIDAD EJECUTORA: Departamento de Transparencia y Control de Gestión.</t>
  </si>
  <si>
    <t>UNIDAD EJECUTORA: Secretaría de Salud - Dirección Residencia Velo de Ipola.</t>
  </si>
  <si>
    <t>UNIDAD EJECUTORA: Subsecretaría de Desarrollo Humano.</t>
  </si>
  <si>
    <t>UNIDAD EJECUTORA: Subsecretaría de Educación Inicial.</t>
  </si>
  <si>
    <t>PROGRAMA: GESTIÓN DE RECAUDACIÓN DE INGRESOS PÚBLICOS - PROCURACIÓN</t>
  </si>
  <si>
    <t>PROGRAMA:  MODERNIZACIÓN DEL ESTADO</t>
  </si>
  <si>
    <t>- Rediseñar y eficientizar los circuitos y procedimientos de compras y contrataciones, garantizando transparencia y competitividad.</t>
  </si>
  <si>
    <t xml:space="preserve">a) Un estilo de gestión orientado a Resultados y Servicios al ciudadano, b) Máxima eficiencia en la gestión del Estado, </t>
  </si>
  <si>
    <t xml:space="preserve">c) Tecnologías y principios modernos en la gestión y organización, d) Respaldo Institucional del esfuerzo modernizador. </t>
  </si>
  <si>
    <t>Servicios de Asesoramiento y Consultoría</t>
  </si>
  <si>
    <t>2.1.1.3.05.04</t>
  </si>
  <si>
    <t>Repuestos y Accesorios Equipos y Sistemas Informáticos y de Comunicación en Gral.</t>
  </si>
  <si>
    <t>Aparatos Electrónicos y de Comunicación Menores</t>
  </si>
  <si>
    <t>2.1.1.2.07.08</t>
  </si>
  <si>
    <t xml:space="preserve">Bienes de Consumo para Organización de Eventos </t>
  </si>
  <si>
    <t>2.1.1.2.09.07</t>
  </si>
  <si>
    <t>UNIDAD EJECUTORA: Coordinación de Niñez, Adolescencia y Juventud.</t>
  </si>
  <si>
    <t xml:space="preserve">Compuestos y Productos Químicos </t>
  </si>
  <si>
    <t xml:space="preserve">Elementos e Insumos de Seguridad </t>
  </si>
  <si>
    <t>UNIDAD EJECUTORA: Dirección de Participación Vecinal.</t>
  </si>
  <si>
    <t>2.1.1.2.09.08</t>
  </si>
  <si>
    <t>1205-01</t>
  </si>
  <si>
    <t>Útiles y/o Insumos técnico-profesional</t>
  </si>
  <si>
    <t>1209-01</t>
  </si>
  <si>
    <t>1209-02</t>
  </si>
  <si>
    <t>1209-03</t>
  </si>
  <si>
    <t xml:space="preserve">UNIDAD EJECUTORA: Jefatura de Gabinete. </t>
  </si>
  <si>
    <t>PROGRAMA: COORDINACIÓN DE PROYECTOS Y COOPERACIÓN INTERNACIONAL</t>
  </si>
  <si>
    <t xml:space="preserve">PROGRAMA: TECNOLOGÍAS Y COMUNICACIONES </t>
  </si>
  <si>
    <t>1108</t>
  </si>
  <si>
    <t xml:space="preserve">2.1.1.2.09.07   </t>
  </si>
  <si>
    <t>1104-01</t>
  </si>
  <si>
    <t>PROGRAMA: CENTRO ESTADÍSTICO Y MEDICIÓN DEL DESEMPEÑO</t>
  </si>
  <si>
    <t>PROGRAMA: MODELO DE BUEN GOBIERNO</t>
  </si>
  <si>
    <t>1403-01</t>
  </si>
  <si>
    <t>1403-02</t>
  </si>
  <si>
    <t>1403-03</t>
  </si>
  <si>
    <t>1410</t>
  </si>
  <si>
    <t>1411</t>
  </si>
  <si>
    <t xml:space="preserve">UNIDAD INTENDENCIA </t>
  </si>
  <si>
    <t>PROGRAMA: VILLA MARÍA VIVE Y SIENTE</t>
  </si>
  <si>
    <t>1001-01</t>
  </si>
  <si>
    <t>1001-02</t>
  </si>
  <si>
    <t>UNIDAD EJECUTORA: Subsecretaría de  Comunicación Institucional, Prensa y Difusión.</t>
  </si>
  <si>
    <t>UNIDAD EJECUTORA: Dirección de Organización de Eventos, Ceremonial y Protocolo.</t>
  </si>
  <si>
    <t>1003-01</t>
  </si>
  <si>
    <t>PROGRAMA: COORDINACIÓN DE PRENSA Y DIFUSIÓN DE GOBIERNO</t>
  </si>
  <si>
    <t>1004</t>
  </si>
  <si>
    <t>2.1.1.2..07.07</t>
  </si>
  <si>
    <t>UNIDAD EJECUTORA: Dirección de Catastro</t>
  </si>
  <si>
    <t>2.2.1.1.02</t>
  </si>
  <si>
    <t>UNIDAD EJECUTORA: Dirección de Ambiente y Saneamiento</t>
  </si>
  <si>
    <t xml:space="preserve">SUBRPOGRAMA:  MONITOREO DE LA CUENCA DEL RIO </t>
  </si>
  <si>
    <t xml:space="preserve">       CTALAMOCHITA</t>
  </si>
  <si>
    <t>químico,  físico y de cantidad de agua superficial  y subterránea para el entorno vinculado a Villa María.</t>
  </si>
  <si>
    <t>Seguir políticas de conservación del recurso, brindar alertas de posibles anegamientos e inundaciones y sequías.</t>
  </si>
  <si>
    <t xml:space="preserve">SUBRPOGRAMA:  ARBOLADO PUBLICO - REFORESTACION </t>
  </si>
  <si>
    <t>MANTENIMIENTO DE ESPACIOS VERDES INSTITUCIONALES</t>
  </si>
  <si>
    <r>
      <t xml:space="preserve">OBJETIVO: </t>
    </r>
    <r>
      <rPr>
        <sz val="10"/>
        <rFont val="Arial Narrow"/>
        <family val="2"/>
      </rPr>
      <t>Recuperar el Arbolado Público. Producir una importante forestación en base a una planificación</t>
    </r>
  </si>
  <si>
    <t>acorde con el criterio urbanístico adoptado. Realizar campañas de concientización. Preservación de especies</t>
  </si>
  <si>
    <t>SUBRPOGRAMA: SEPARE EN CASA</t>
  </si>
  <si>
    <r>
      <t xml:space="preserve">OBJETIVO: </t>
    </r>
    <r>
      <rPr>
        <sz val="10"/>
        <rFont val="Arial Narrow"/>
        <family val="2"/>
      </rPr>
      <t xml:space="preserve"> Promocionar la adquicisión de conocimientos y actitudes en el  proceso de separación de desechos </t>
    </r>
  </si>
  <si>
    <t>domiciliarios. Asegurar la participación de los actores sociales como gestores del proceso. Educar a la población</t>
  </si>
  <si>
    <t>en saneamiento ambiental.</t>
  </si>
  <si>
    <t>2.1.1.2.05</t>
  </si>
  <si>
    <t>2.1.1.2.07</t>
  </si>
  <si>
    <t>Reouestos, Accesorios, Herramientas Menores y Otros</t>
  </si>
  <si>
    <t>Materiales de Conservación Inmuebles</t>
  </si>
  <si>
    <t>2.1.1.3.02</t>
  </si>
  <si>
    <t>Leasing - Alquileres con Opción a Compra</t>
  </si>
  <si>
    <t>Limpieza Aseo y Fumigación</t>
  </si>
  <si>
    <t>2.1.1.3.04</t>
  </si>
  <si>
    <t>Energía Eléctrica para Alumbrado Público, Semáforos y otros</t>
  </si>
  <si>
    <t xml:space="preserve">Equipos y Maquinarias </t>
  </si>
  <si>
    <t>Herramientas y Repiuestos Mayores</t>
  </si>
  <si>
    <t>2.2.1.1.03</t>
  </si>
  <si>
    <t>PROYECTO: OBRAS DE INFRAESTRUCTURA URBANA Y SERVICIOS PUBLICOS</t>
  </si>
  <si>
    <t>UNIDAD EJECUTORA: Secretaría de Desarrollo Urbano, Ambiente e Infraestructura  - IMI</t>
  </si>
  <si>
    <t>1209</t>
  </si>
  <si>
    <t>Fondo para Const., Reparación, Mejora y/o Amp. De Infraestructura</t>
  </si>
  <si>
    <t>UNIDAD EJECUTORA: Departamento Ejecutivo - Unidad Intendencia - Subsecretaría de Cultura.</t>
  </si>
  <si>
    <t>SUBPROGRAMA: COMUNICACIÓN INSTITUCIONAL</t>
  </si>
  <si>
    <t>PROGRAMA: COORDINACIÓN DE TALLERES Y CAPACITACIÓN</t>
  </si>
  <si>
    <t>SUBPROGRAMA: MEDIOTECA Y BIBLIOTECA MUNICIPAL Y POPULAR "MARIANO MORENO"</t>
  </si>
  <si>
    <t>SUBPROGRAMA: UNIDADES TERRITORIALES DE SEGURIDAD CIUDADANA</t>
  </si>
  <si>
    <t>1602-01</t>
  </si>
  <si>
    <t xml:space="preserve">PROGRAMA: UNIDAD DE GESTION TERRITORIAL ( UGT ) </t>
  </si>
  <si>
    <t>1603-01</t>
  </si>
  <si>
    <t>1603-02</t>
  </si>
  <si>
    <t>SUBPROGRAMA: HOGAR DE ANCIANOS - RESIDENCIA VELO DE IPOLA</t>
  </si>
  <si>
    <t>SUBRPOGRAMA:  COBERTURA RED DE GAS 100% EN LA CIUDAD</t>
  </si>
  <si>
    <t xml:space="preserve">UNIDAD EJECUTORA: Secretaría de Desarrllo Urbano, Ambiente e Infraestructura  </t>
  </si>
  <si>
    <t>COSTO TOTAL SUBPROGRAMA</t>
  </si>
  <si>
    <t xml:space="preserve">UNIDAD EJECUTORA: Secretaría de Desarrllo Urbano, Ambiente e Infraestructura </t>
  </si>
  <si>
    <t xml:space="preserve">PROYECTO: </t>
  </si>
  <si>
    <t xml:space="preserve">MANTENIMIENTO Y PUESTA EN VALOR DE EDIFICIOS CULTURALES Y </t>
  </si>
  <si>
    <t>RECREATIVOS DE LA CIUDAD</t>
  </si>
  <si>
    <t>2.2.1.2.01.08</t>
  </si>
  <si>
    <t>Ampliación y/o Mejora Anfiteatro</t>
  </si>
  <si>
    <t>REVALORIZACION Y  MEJORAS ESPACIOS DE INCLUSIÓN SOCIAL</t>
  </si>
  <si>
    <t>Intervención Área Ferro-Urbanística</t>
  </si>
  <si>
    <t>REFUNCIONALIZACION Y PUESTA EN VALOR PARQUE PEREYRA Y DOMINGUEZ</t>
  </si>
  <si>
    <t>REFACCIONES Y MEJORAS CENTROS DE PROMOCION FAMILIAR</t>
  </si>
  <si>
    <t>FORTALECIMIENTO DE LAS POLÍTICAS EDUCATIVAS EN LA PRIMERA INFANCIA Y NIÑEZ</t>
  </si>
  <si>
    <t>REFACCIONES Y MEJORAS CENTROS DE ATENCION PRIMARIA DE SALUD</t>
  </si>
  <si>
    <t>MEJORAS Y REFACCIONES EN SALAS DE LA ASISTENCIA PÚBLICA MUNICIPAL</t>
  </si>
  <si>
    <t xml:space="preserve">REFACCIONES Y MEJORAS EN INTERIOR Y EXTERIOR DEL HOGAR DE </t>
  </si>
  <si>
    <t>ANCIANOS MUNICIPAL</t>
  </si>
  <si>
    <t>MANTENIMIENTO, MEJORAS Y REFACCIONES EN PLAYONES DEPORTIVOS DE</t>
  </si>
  <si>
    <t>LA CIUDAD</t>
  </si>
  <si>
    <t>REFACCION Y  MEJORAS EN CENTROS VECINALES</t>
  </si>
  <si>
    <t>2.2.1.2.01.17</t>
  </si>
  <si>
    <t>Construcción y/o Mejoras en Centros Vecinales</t>
  </si>
  <si>
    <t xml:space="preserve">REFACCIONES  Y MEJORAS EN LOS MUNI CERCA </t>
  </si>
  <si>
    <r>
      <rPr>
        <b/>
        <sz val="10"/>
        <rFont val="Arial Narrow"/>
        <family val="2"/>
      </rPr>
      <t>OBJETIVOS:</t>
    </r>
    <r>
      <rPr>
        <sz val="10"/>
        <rFont val="Arial Narrow"/>
        <family val="2"/>
      </rPr>
      <t xml:space="preserve"> Asistir al Departamento Ejecutivo Municipal en todo lo inherente a la realización y conservación de las obras públicas de arquitectura, viales, hidráulicas, energéticas y a la prestación de los servicios públicos municipales y, en particular ejecutar los planes, programas y proyectos del área, entender en la descentralización operativa de inversión pública y servicios públicos, intervenir en la fiscalización de las obras y servicios públicos descentralizados y en el control de las que se realicen y de los que se presten por intermedio de terceros; entender los planes de acción y presupuesto de las empresas y sociedades del estado, organismos descentralizados, cuentas y fondos especiales; entender el dictado de normas relacionadas con la contratación, construcción y conservación de obras públicas; entender la organización, evaluación, dirección y fiscalización del registro de empresas contratistas de obras públicas y de consultorías que operan con la Municipalidad. </t>
    </r>
  </si>
  <si>
    <t>CÓDIGO</t>
  </si>
  <si>
    <t>COSTO TOTAL SUBPROGRAMA:</t>
  </si>
  <si>
    <t>Articular las acciones con distintas Instituciones  de la Ciudad en torno a la implementación del programa de alfabetización.</t>
  </si>
  <si>
    <t>COSTO TOTAL DEL PROGAMA :</t>
  </si>
  <si>
    <t xml:space="preserve">PROGRAMA: VILLA MARIA CIUDAD DEL APRENDIZAJE </t>
  </si>
  <si>
    <t>4102</t>
  </si>
  <si>
    <t>COSTO TOTAL DEL SUBPROGRAMA - Inlcuido en Programa 1403</t>
  </si>
  <si>
    <t xml:space="preserve">                                               BIENES DE CONSUMO</t>
  </si>
  <si>
    <r>
      <rPr>
        <b/>
        <sz val="10"/>
        <rFont val="Arial Narrow"/>
        <family val="2"/>
      </rPr>
      <t>OBJETIVOS</t>
    </r>
    <r>
      <rPr>
        <sz val="10"/>
        <rFont val="Arial Narrow"/>
        <family val="2"/>
      </rPr>
      <t xml:space="preserve">: El diseño del Plan Estratégico de Modernización de la Gestión Pública bajo los siguientes lineamientos: </t>
    </r>
  </si>
  <si>
    <t>(FONDEO PROVINCIAL Y MUNICIPAL)</t>
  </si>
  <si>
    <t>JEFE DE PROGRAMA: Sra. ROSA CÁMPORA.</t>
  </si>
  <si>
    <t>Artefactos y Electrodomésticos Menores</t>
  </si>
  <si>
    <t>2.1.1.2.07.11</t>
  </si>
  <si>
    <t>Repuestos y Accesorios Varios</t>
  </si>
  <si>
    <t>Repuestos y Accesorios Equipos y Sist. Informáticos y de Comunicación en General</t>
  </si>
  <si>
    <t>2.2.1.1.04.09</t>
  </si>
  <si>
    <t>Artefactos y Electrodomésticos</t>
  </si>
  <si>
    <t>2.1.1.2.07.09</t>
  </si>
  <si>
    <t>Bienes de Consumo para Organización de Eventos</t>
  </si>
  <si>
    <t>PROGRAMA: EQUIPO DE GESTIÓN TERRITORIAL INTEGRAL. ( EGTI )</t>
  </si>
  <si>
    <t>Materiales Conservaciones Inmuebles</t>
  </si>
  <si>
    <t>2.1.1.2.07.10</t>
  </si>
  <si>
    <t>Repuestos y Accesorios para Inmuebles</t>
  </si>
  <si>
    <t>2.3.1.1.02.09</t>
  </si>
  <si>
    <t>1507</t>
  </si>
  <si>
    <t>UNIDAD EJECUTORA: Subsecretaría de Inclusión Social y Familia.</t>
  </si>
  <si>
    <t>1701-01</t>
  </si>
  <si>
    <t>SUBPROGRAMA: AHORA LOS NIÑOS</t>
  </si>
  <si>
    <t>PROGRAMA:  APOYO ESCOLAR - TERMINALIDAD EDUCATIVA</t>
  </si>
  <si>
    <r>
      <rPr>
        <b/>
        <sz val="10"/>
        <rFont val="Arial Narrow"/>
        <family val="2"/>
      </rPr>
      <t>OBJETIVOS:</t>
    </r>
    <r>
      <rPr>
        <sz val="10"/>
        <rFont val="Arial Narrow"/>
        <family val="2"/>
      </rPr>
      <t xml:space="preserve"> Diagnosticar y evaluar las problemáticas referentes al desarrollo del aprendizaje, registro de casos y seguimiento de los mismos,</t>
    </r>
  </si>
  <si>
    <t>Becar a niños y jóvenes de escuelas públicas para la finalización de los estudios primarios y secundarios, respectivamente.</t>
  </si>
  <si>
    <t>UNIDAD EJECUTORA: Dirección de Educación.</t>
  </si>
  <si>
    <t>1703</t>
  </si>
  <si>
    <t>PROGRAMA: ESCUELA DE OFICIOS</t>
  </si>
  <si>
    <t>1706</t>
  </si>
  <si>
    <t>PROGRAMA:  AUDITORIA GENERAL EN LA CIUDAD Y CON LAS ORGANIZACIONES</t>
  </si>
  <si>
    <t>Elementos de Deportes</t>
  </si>
  <si>
    <t>SUBPROGRAMA: CAMPEONATO "HOY SE JUEGA" - VIVILA BIEN</t>
  </si>
  <si>
    <t>ESPACIO CO-WORKING</t>
  </si>
  <si>
    <t>2.2.1.2.01.12</t>
  </si>
  <si>
    <t>Construcción, Ampliación y/o Mejora Edificios de Otros Edif. Municipales</t>
  </si>
  <si>
    <t>Productos Específicos Veterinarios</t>
  </si>
  <si>
    <t>Aporte Fondo Permanente Pcial. para Obras 1% - Ord. 5427</t>
  </si>
  <si>
    <t>Repuestos y Accesorios Equipos y Maquinarias</t>
  </si>
  <si>
    <t>MANTENIMIENTO Y MEJORAS ANFITEATRO MUNICIPAL Y ENTORNO EN</t>
  </si>
  <si>
    <t>COSTANERA</t>
  </si>
  <si>
    <t>CONSOLIDACION DE ESPACIOS VERDES - PLAZAS - PLAZOLETAS</t>
  </si>
  <si>
    <t xml:space="preserve"> EN DISTINTOS LUGARES DE LA CIUDAD</t>
  </si>
  <si>
    <t>DURACION ESTIMADA: 6 MESES</t>
  </si>
  <si>
    <t xml:space="preserve">UNIDAD EJECUTORA: Secretaría de Desarrollo Urbano, Ambiente e Infraestructura  </t>
  </si>
  <si>
    <t>EQUIPAMIENTO URBANO EN ESPACIOS PÚBLICOS Y DE RECREACIÓN</t>
  </si>
  <si>
    <t xml:space="preserve">UNIDAD EJECUTORA: Secretaría de Desarrollo Urbano, Ambiente e Infraestructura </t>
  </si>
  <si>
    <t>2.2.1.2.02.32</t>
  </si>
  <si>
    <t>Equipamiento Urbano para Espacios Públicos</t>
  </si>
  <si>
    <t>PROGRAMA: CÁMARA DE APELACIONES DE FALTAS</t>
  </si>
  <si>
    <t>2002</t>
  </si>
  <si>
    <t>UNIDAD EJECUTORA: Cámara de Apelaciones de Faltas.</t>
  </si>
  <si>
    <t xml:space="preserve">2.1.1.2.09.01        </t>
  </si>
  <si>
    <t>1110</t>
  </si>
  <si>
    <r>
      <rPr>
        <b/>
        <sz val="10"/>
        <rFont val="Arial Narrow"/>
        <family val="2"/>
      </rPr>
      <t>OBJETIVO:</t>
    </r>
    <r>
      <rPr>
        <sz val="10"/>
        <rFont val="Arial Narrow"/>
        <family val="2"/>
      </rPr>
      <t xml:space="preserve"> Mantener permanentemente actualizado el Padrón Electoral Municipal. Organizar y dirigir los comicios; controlar el cumplimiento de las disposiciones legales vinculadas con la legalidad de los mismos.</t>
    </r>
  </si>
  <si>
    <r>
      <rPr>
        <b/>
        <sz val="10"/>
        <rFont val="Arial Narrow"/>
        <family val="2"/>
      </rPr>
      <t>OBJETIVO:</t>
    </r>
    <r>
      <rPr>
        <sz val="10"/>
        <rFont val="Arial Narrow"/>
        <family val="2"/>
      </rPr>
      <t xml:space="preserve"> Impulsar el desarrollo de las instancias de concursos de oposición y antecedentes; y emitir opinión fundada respecto de la idoneidad de todos quiénes se postulen para ser designados.</t>
    </r>
  </si>
  <si>
    <r>
      <rPr>
        <b/>
        <sz val="10"/>
        <rFont val="Arial Narrow"/>
        <family val="2"/>
      </rPr>
      <t>OBJETIVO:</t>
    </r>
    <r>
      <rPr>
        <sz val="10"/>
        <rFont val="Arial Narrow"/>
        <family val="2"/>
      </rPr>
      <t xml:space="preserve"> Entender en todos los recursos que se interpongan en contra de las resoluciones de la Administración Municipal que determinen obligaciones tributarias, impongan sanciones fiscales y/o resuelvan reclamos de repetición o de extinción de exenciones.</t>
    </r>
  </si>
  <si>
    <r>
      <rPr>
        <b/>
        <sz val="10"/>
        <rFont val="Arial Narrow"/>
        <family val="2"/>
      </rPr>
      <t>OBJETIVO:</t>
    </r>
    <r>
      <rPr>
        <sz val="10"/>
        <rFont val="Arial Narrow"/>
        <family val="2"/>
      </rPr>
      <t xml:space="preserve"> El control administrativo y técnico, la verificación y fiscalización de todos los servicios públicos que preste la Municipalidad por si misma o mediante terceros; velando para que los mismos se lleven a cabo respetando la normativa legal que los regula, las políticas del gobierno municipal sobre la materia y los derechos de los usuarios y prestadores.</t>
    </r>
  </si>
  <si>
    <r>
      <rPr>
        <b/>
        <sz val="10"/>
        <rFont val="Arial Narrow"/>
        <family val="2"/>
      </rPr>
      <t>OBJETIVOS:</t>
    </r>
    <r>
      <rPr>
        <sz val="10"/>
        <rFont val="Arial Narrow"/>
        <family val="2"/>
      </rPr>
      <t xml:space="preserve"> Cumplir con las obligaciones impuestas por el Art. 166 de la C.O.M. y el Art. 9 de la Ordenanza 3983, tales como: Asumir la defensa de las libertades, derechos y garantías de los ciudadanos ante hechos u omisiones de la Administración Pública Municipal. Supervisar la eficacia en la prestación de los servicios públicos, los derechos del consumidor y la aplicación de la legislación municipal. Intervenir a solicitud de los vecinos, al solo efecto conciliatorio y a pedido de ambas partes, en todas aquellas controversias que se susciten entre ellos. Intervenir en los grupos de riesgos: Adultos Mayores, Discapacitados, Embarazadas, Adolescentes, Privados de la Libertad y Violencia de Género. Articulación con la Defensoría de la Pcia de Córodba para resolver conflictos con Organismos Públicos, trámites de Obras Sociales, pensiones, jubilaciones, entre otras. Presentar Recursos de Amparo para proteger  los derechos de los ciudadanos ante medidas desproporcionadas y/o arbitrarias.</t>
    </r>
  </si>
  <si>
    <t>JEFE DE PROGRAMA: Mgter. Alicia PERESSUTTI.</t>
  </si>
  <si>
    <t xml:space="preserve">2.1.1.2.09.07      </t>
  </si>
  <si>
    <t xml:space="preserve">Equipos de Computación, Softwares y Licencias de Computación </t>
  </si>
  <si>
    <r>
      <rPr>
        <b/>
        <sz val="10"/>
        <rFont val="Arial Narrow"/>
        <family val="2"/>
      </rPr>
      <t xml:space="preserve">OBJETIVO: </t>
    </r>
    <r>
      <rPr>
        <sz val="10"/>
        <rFont val="Arial Narrow"/>
        <family val="2"/>
      </rPr>
      <t>Cumplir con las obligaciones impuestas por el Art. 141 de la C.O.M.: Entre ellas el trámite de las Causas que se generan con motivo de infracciones a las Ordenanzas vigentes.</t>
    </r>
  </si>
  <si>
    <r>
      <rPr>
        <b/>
        <sz val="10"/>
        <rFont val="Arial Narrow"/>
        <family val="2"/>
      </rPr>
      <t>OBJETIVO:</t>
    </r>
    <r>
      <rPr>
        <sz val="10"/>
        <rFont val="Arial Narrow"/>
        <family val="2"/>
      </rPr>
      <t xml:space="preserve"> Cumplir con las obligaciones impuestas por el Art. 141 de la C.O.M.: Entre ellas el trámite de las Causas que se generan con motivo de infracciones a las Ordenanzas vigentes.</t>
    </r>
  </si>
  <si>
    <r>
      <rPr>
        <b/>
        <sz val="10"/>
        <rFont val="Arial Narrow"/>
        <family val="2"/>
      </rPr>
      <t>OBJETIVOS:</t>
    </r>
    <r>
      <rPr>
        <sz val="10"/>
        <rFont val="Arial Narrow"/>
        <family val="2"/>
      </rPr>
      <t xml:space="preserve"> Proporcionar atención sanitaria de alta calidad, prestando cuidados integrales desde la perspectiva centrada en la persona, la familia y la comunidad. Proporcionar cuidados de salud, en forma continua, integral e integrada durante todas las etapas del ciclo vital familiar. Adquirir habilidades y destrezas para resolver los problemas de salud prevalentes de la población.</t>
    </r>
  </si>
  <si>
    <r>
      <rPr>
        <b/>
        <sz val="10"/>
        <rFont val="Arial Narrow"/>
        <family val="2"/>
      </rPr>
      <t xml:space="preserve">OBJETIVOS: </t>
    </r>
    <r>
      <rPr>
        <sz val="10"/>
        <rFont val="Arial Narrow"/>
        <family val="2"/>
      </rPr>
      <t>Desarrollar un proceso  colectivo de acciones de salud, en áreas territoriales de población bajo cuidado. Incorporar herramientas conceptuales y metodológicas que faciliten el abordaje de los problemas de salud en la persona. Promover el desarrollo de acciones integrales de protección de la salud, centradas en las necesidades de la comunidad y en los perfiles epidemiológicos locales. Jerarquizar los procesos de trabajo  mediante la instrumentacion de una carrera sanitaria. Facilitar la articulación teórico - práctica, mediante la atención de situaciones problemáticas altamente frecuentes en la práctica cotidiana de los Centros de Atención Primaria de Salud.</t>
    </r>
  </si>
  <si>
    <r>
      <rPr>
        <b/>
        <sz val="10"/>
        <rFont val="Arial Narrow"/>
        <family val="2"/>
      </rPr>
      <t>OBJETIVOS:</t>
    </r>
    <r>
      <rPr>
        <sz val="10"/>
        <rFont val="Arial Narrow"/>
        <family val="2"/>
      </rPr>
      <t xml:space="preserve"> Garantizar, con la implementación y apoyo de distintos sistemas de atención, las urgencias y emergencias sucedidas tanto en el ámbito domiciliario como en la vía pública. Sistemas SAMU 107 Y E-100.</t>
    </r>
  </si>
  <si>
    <t>PROGRAMA: PROGRAMA DE GESTIÓN TERRITORIAL INTEGRAL: SALUD, FAMILIA Y COMUNIDAD.  ( GTI)</t>
  </si>
  <si>
    <t xml:space="preserve">SUBPROGRAMA: SISTEMAS MUNICIPALES DE ATENCIÓN DE URGENCIAS Y EMERGENCIAS </t>
  </si>
  <si>
    <r>
      <rPr>
        <b/>
        <sz val="10"/>
        <rFont val="Arial Narrow"/>
        <family val="2"/>
      </rPr>
      <t>OBJETIVOS:</t>
    </r>
    <r>
      <rPr>
        <sz val="10"/>
        <rFont val="Arial Narrow"/>
        <family val="2"/>
      </rPr>
      <t xml:space="preserve">  La planificación estratégica junto con las familias de un diagnóstico participativo para detectar los problemas a resolver. Coordinar la ejecución de actividades y acciones de prevención, atención y rehabilitación dirigidas a la comunidad. Dar respuestas a la Ciudad de Villa María de las necesidades de contención,  a través  de la Residencia Adultos Mayores y el Hogar de Día.</t>
    </r>
  </si>
  <si>
    <t>SUBPROGRAMA: ASISTENCIA PÚBLICA-CAPS -CENTRO ODONTOLÓGICO RAMÓN CARRILLO</t>
  </si>
  <si>
    <r>
      <rPr>
        <b/>
        <sz val="10"/>
        <rFont val="Arial Narrow"/>
        <family val="2"/>
      </rPr>
      <t xml:space="preserve">OBJETIVOS: </t>
    </r>
    <r>
      <rPr>
        <sz val="10"/>
        <rFont val="Arial Narrow"/>
        <family val="2"/>
      </rPr>
      <t>Otorgar las posibilidades de promoción, prevención, tratamiento, rehabilitación y atención necesarias para satisfacer las necesidades sanitarias básicas a la comunidad de Villa María, principalmente al sector poblacional de menores recursos. Tratamiento de patologías asociadas al primer nivel de atención. Prevención y promoción de la salud bucodental  y oftalmológica. Difundir la problemática de la enfermedad mental y promover su integración a la sociedad.</t>
    </r>
  </si>
  <si>
    <t xml:space="preserve">2.1.1.3.05.05 </t>
  </si>
  <si>
    <t>Servicios en Talleres, Cursos, Programas y Capacitaciones</t>
  </si>
  <si>
    <t>Capacitación/es y Cursos del Personal</t>
  </si>
  <si>
    <r>
      <rPr>
        <b/>
        <sz val="10"/>
        <rFont val="Arial Narrow"/>
        <family val="2"/>
      </rPr>
      <t xml:space="preserve">OBJETIVOS: </t>
    </r>
    <r>
      <rPr>
        <sz val="10"/>
        <rFont val="Arial Narrow"/>
        <family val="2"/>
      </rPr>
      <t>Brindar al Adulto Mayor que reside en el hogar una atención integral satisfaciendo necesidades de alimentación, salud, contención física y social. Promover derechos y potencialidades de los Adultos Mayores, fomentando un envejecimiento activo y saludable.</t>
    </r>
  </si>
  <si>
    <r>
      <rPr>
        <b/>
        <sz val="10"/>
        <rFont val="Arial Narrow"/>
        <family val="2"/>
      </rPr>
      <t>OBJETIVOS:</t>
    </r>
    <r>
      <rPr>
        <sz val="10"/>
        <rFont val="Arial Narrow"/>
        <family val="2"/>
      </rPr>
      <t xml:space="preserve"> Colaborar y asesorar al D.E.M. en todas las funciones y competencias que correspondan respecto a las áreas de educación,  juventud, el Parlamento de los Niños, El Intendente de los Niños y el gabinete de Niños. Incorporar el trabajo digital para aprender matemática y lengua a través de lo distintos dispositivos informáticos cubriendo la currícula de ambas. Desarrollar y coordinar políticas educativas y de formación en todos los centros que se encuentran brindando sus servicios en el ámbito de la ciudad. Continuar con la Jornada Extendida de la práctica de la Natación, que es ejercida por todos los alumnos de Sexto Grado de todos los establecimientos públicos, de la  ciudad y rurales. Promover políticas activas tendientes a la alfabetización de todas aquellas personas que aún no hayan podido acceder al sistema formal de educación. Estructurar un Gabinte de Psicopedagogía incorporando la figura del coordiador y la asistencia psicológica, que estará a disposición de la demanda de las escuela públicas. Atender las problemáticas de los niños que están en el límite de abandonar o abandonaron la escuela, a través de las demandas de las escuelas públicas sobre inasistencia o conflictividad de los  estudiantes.</t>
    </r>
  </si>
  <si>
    <r>
      <t xml:space="preserve">OBJETIVOS: </t>
    </r>
    <r>
      <rPr>
        <sz val="10"/>
        <rFont val="Arial Narrow"/>
        <family val="2"/>
      </rPr>
      <t>Fomentar en las niñas y niños la capacidad de observar, leer e interpretar el medio en el que habitan desde  una óptica integral e incluyente, con el fin de construir un pensamiento reflexivo y lo proactivo, capaz de valorar los distintos aspectos de la realidad local. Construir una conciencia ciudadana comprometida, capaz de interactuar en procesos de gobernanza participativa, y elaborar propuestas que ayuden al mejoramiento del medio urbano de la ciudad de Villa María con un enfoque sustentable.</t>
    </r>
  </si>
  <si>
    <t>especialmente en sectores vulnerables. Minimizar la deserción y reducir el fracaso en el ámbito educativo de nuestra ciudad.</t>
  </si>
  <si>
    <t>Implementar acciones tendientes a garantizar la escolaridad básica de la población joven y adultos de Villa María.</t>
  </si>
  <si>
    <r>
      <rPr>
        <i/>
        <sz val="10"/>
        <rFont val="Arial Narrow"/>
        <family val="2"/>
      </rPr>
      <t>Apoyo Escolar</t>
    </r>
    <r>
      <rPr>
        <sz val="10"/>
        <rFont val="Arial Narrow"/>
        <family val="2"/>
      </rPr>
      <t>: para atender las demandas de los sujetos escolarizados a fin de lograr los objetivos académicos para evitar el fracaso escolar.</t>
    </r>
  </si>
  <si>
    <t>pueden ser atendidas por la escuela.</t>
  </si>
  <si>
    <r>
      <rPr>
        <i/>
        <sz val="10"/>
        <rFont val="Arial Narrow"/>
        <family val="2"/>
      </rPr>
      <t>Apoyo al Aprendizaje Escolar</t>
    </r>
    <r>
      <rPr>
        <sz val="10"/>
        <rFont val="Arial Narrow"/>
        <family val="2"/>
      </rPr>
      <t xml:space="preserve">: brindar apoyo escolar a un sector de la población estudiantil primaria que presenta necesidades educativas que no </t>
    </r>
  </si>
  <si>
    <r>
      <t xml:space="preserve">Atender a la demanda de jóvenes y adultos que no hayan finalizado la escolaridad primaria y secundariaa través del </t>
    </r>
    <r>
      <rPr>
        <i/>
        <sz val="10"/>
        <rFont val="Arial Narrow"/>
        <family val="2"/>
      </rPr>
      <t>Programa de Terminalidad Educativa.</t>
    </r>
  </si>
  <si>
    <t>Generar espacio intersectorial para trabajar conjuntamente la problemática de la escolaridad básica en jóvenes y adultos de la Ciudad de Villa María.</t>
  </si>
  <si>
    <t>2.1.1.3.05.05</t>
  </si>
  <si>
    <r>
      <rPr>
        <b/>
        <sz val="10"/>
        <rFont val="Arial Narrow"/>
        <family val="2"/>
      </rPr>
      <t>OBJETIVOS:</t>
    </r>
    <r>
      <rPr>
        <sz val="10"/>
        <rFont val="Arial Narrow"/>
        <family val="2"/>
      </rPr>
      <t xml:space="preserve"> Diseñar y ejecutar un proceso de formación y capacitación que corresponda a las necesidades de la población y del desarrollo estratigico de los sectores producticos. Formar personas en un oficio, partiendo de la relación que tienen con el mundo del trabajo, con la finalidad de mejorar su capacidad de  búsqueda e inserción laboral y de intervenir en la transformación del mercado del trabajo, a partir de la acción organizada. Implementar un plan de seguimiento, acompañamiento y evaluación de la inserción laboral de las personas.</t>
    </r>
  </si>
  <si>
    <t>PROGRAMA: COORDINACIÓN DE LA SUBSECRETARÍA DE EDUCACIÓN INICIAL</t>
  </si>
  <si>
    <r>
      <rPr>
        <b/>
        <sz val="10"/>
        <rFont val="Arial Narrow"/>
        <family val="2"/>
      </rPr>
      <t>OBJETIVOS:</t>
    </r>
    <r>
      <rPr>
        <sz val="10"/>
        <rFont val="Arial Narrow"/>
        <family val="2"/>
      </rPr>
      <t xml:space="preserve">  Coordinar y complementar acciones con los Programas promoviendo la participación de todos los actores sociales. Incrementar la cobertura de los servicios educativos, asegurando calidad y formación Profesional para la implementación de Políticas Educativas Municipales para niños/as de 45 dias a 5 años. Fortalecer las Políticas existentes que fomenten el aprendizaje, desarrollo y juegos de los niños/as de 45 días a 5 años. Coordinar y gestionar los Centros de Promoción Familiar, (gestión conjunta con el Progrma Provincial Salas Cunas) tienen como fin escencial la motivación, el aprendizaje,  contención y la estimulación temprana y pedagógica de niños de escasos recursos y su grupo familiar. Articular con las Instituciones Educativas de Nivel Inicial Formal, públicas y privadas, con el objeto de coordinar acciones para proteger la integridad bio-psico-social de los niños/as de Villa María.</t>
    </r>
  </si>
  <si>
    <t>PROGRAMA: INVESTIGACIÓN Y OBSERVATORIO DE LA EDUCACIÓN - CAPACITACIÓN DOCENTE</t>
  </si>
  <si>
    <r>
      <rPr>
        <b/>
        <sz val="10.5"/>
        <rFont val="Arial Narrow"/>
        <family val="2"/>
      </rPr>
      <t xml:space="preserve">OBJETIVOS:  </t>
    </r>
    <r>
      <rPr>
        <sz val="10.5"/>
        <rFont val="Arial Narrow"/>
        <family val="2"/>
      </rPr>
      <t xml:space="preserve"> Desarrollar íineas de investigación en Educación Inicial y en Educación de Jóvenes y Adultos en la Ciudad. Indagar sobre la relación entre los niveles educativos alcanzados por los adultos y el desempeño de los niños en las Escuelas de la Ciudad. Analizar los modos de apropiación de conocimiento en la experiencia de educación de jóvenes y adultos desarrollada en la Ciudad. Analizar la conformación de la planta docente  de las escuelas de la Ciudad. Estimular el desarrollo de proyectos de investigación de estudiantes secundarios para dar respuesta a problemáticas de la Ciudad. Publicar los avances de l sistematización de los proyectos y programas que se desarrollen en la secretaría. Desarrollar Jornadas, Encuentros y Congresos de formción para los distintos niveles de enseñanza.</t>
    </r>
  </si>
  <si>
    <r>
      <rPr>
        <b/>
        <sz val="10"/>
        <rFont val="Arial Narrow"/>
        <family val="2"/>
      </rPr>
      <t>OBJETIVOS</t>
    </r>
    <r>
      <rPr>
        <sz val="10"/>
        <rFont val="Arial Narrow"/>
        <family val="2"/>
      </rPr>
      <t>: Posicionar a la Ciudad de Villa María como integrante de la red Mundial de Ciudades del Aprendizaje de UNESCO. Es un esquema aplicado en Ciudades que propone poner en diálogo la demanda laboral local y la oferta formativa y habilidades de las  personas mayores, predisponer los espacios públicos, comprender que la  la educación es un factor crucial en las distintas áreas de la gestión municipal. Es la exigencia de poder pensar todas las dimensiones de la gestión municipal y de la gestión comunitaria en clave de  educación:  es pensar la salud, la obra pública, el abordaje de las  políticas para el adulto mayor en clave educativa;  es pensar la atención primaria y temprana de un niño, la política educativa, la comunicación también en clave de educación. </t>
    </r>
  </si>
  <si>
    <r>
      <t xml:space="preserve">OBJETIVO: </t>
    </r>
    <r>
      <rPr>
        <sz val="10"/>
        <rFont val="Arial Narrow"/>
        <family val="2"/>
      </rPr>
      <t>Asistir al D.E.M. en todo lo inherente a la elaboración y control de la ejecución del Presupuesto Municipal, mediante la implementación de un Programa Fiscal Responsable y la Gestión Autosustentable, y en particular:</t>
    </r>
  </si>
  <si>
    <t xml:space="preserve">Electrónico; impulsando así el libre acceso a la información pública. </t>
  </si>
  <si>
    <t xml:space="preserve">- Promover, diseñar e implementar políticas de Modernización del Estado propendiendo a una Administración compatible con un Gobierno  Abierto y </t>
  </si>
  <si>
    <t>forma de Cooperaciones Técnicas o Financiamiento externo (crédito).</t>
  </si>
  <si>
    <t xml:space="preserve">- Mantener activo un Banco de Proyectos de Innovación para la búsqueda permanente de fondeo multilateral y nacional de Proyectos Estratégicos, en la </t>
  </si>
  <si>
    <t xml:space="preserve">Fortalecimiento Institucional, Adminsitrativo y de Gestión de los Gobiernos Locales. </t>
  </si>
  <si>
    <t xml:space="preserve">- Estrechar vínculos con el Gobierno Provincial y Nacional, especialmente en las áreas de Asuntos Municipales, que promueven acciones y programas de </t>
  </si>
  <si>
    <r>
      <t xml:space="preserve">OBJETIVO: </t>
    </r>
    <r>
      <rPr>
        <sz val="10"/>
        <rFont val="Arial Narrow"/>
        <family val="2"/>
      </rPr>
      <t>Bajo el concepto de Organización Inteligente, basada en el conocimiento, se creó el Centro de Estadística y Medición del Desempeño. Recolectará, procesará y producirá inidicadores internos de gestión, con el objetivo de medir variables relevantes, tanto en el presente, como su evaluación histórica (Tendencia) y la evolución proyectada de las mismas. De este modo se pretende ejercer un monitoreo constante del desempeño fiscal y financiero del Municipio. Con una visión de mediano plazo, el Centro producirá información relativa a indicadores socio-económicos a nivel local  (tales como: inflación, desempleo, nivel de actividad económica, pobreza y marginalidad, nivel educacional, población, etc.)</t>
    </r>
  </si>
  <si>
    <r>
      <t>OBJETIVO:</t>
    </r>
    <r>
      <rPr>
        <sz val="10"/>
        <rFont val="Arial Narrow"/>
        <family val="2"/>
      </rPr>
      <t xml:space="preserve"> Como un objetivo superior de la Secretaría, nos planteamos alcanzar parámetros propios de un Modelo de Buen Gobierno. Tales como: a) La gestión de lo público es transparente, b) Planeación sin improvisación, c) Transparencia en la contratación, d) Acceso público a la información, e) Las relaciones con la comunidad y sus instituciones son abiertas y claras (Gobierno Abierto), f) El ejemplo de las autoridades es la principal herramienta pedagógica de transformación cívica, entre otros. Este objetivo superior, abre áreas de trabajo específicas, que permitirán alcanzar la meta propuesta.</t>
    </r>
  </si>
  <si>
    <r>
      <rPr>
        <b/>
        <sz val="10"/>
        <rFont val="Arial Narrow"/>
        <family val="2"/>
      </rPr>
      <t xml:space="preserve">OBJETIVO: </t>
    </r>
    <r>
      <rPr>
        <sz val="10"/>
        <rFont val="Arial Narrow"/>
        <family val="2"/>
      </rPr>
      <t xml:space="preserve"> Dan continuidad a las acciones tendientes a la obtención de mejoras en los procesos y la adopción de buenas prácticas de gestión; las que deberán ser convalidadas por un Organismo Internacional. Global Reporting initiative (G.R.I.) es un Organismo internacional que ha desarrollada una metodología utilizada mundialmente para informar el desempeño y los impactos económicos, sociales y ambientales de las instituciones. Ofrece indicadores que funcionan  como orientadores de las prácticas a realizar para que una institución sea responsable, ética, transparente y socialmente valorada. </t>
    </r>
  </si>
  <si>
    <t>SUBPROGRAMA: REPORTE DE SUSTENTABILIDAD,  CERTIFICACIONES Y VALIDACIONES G.R.I.</t>
  </si>
  <si>
    <t>SUBPROGRAMA: PROCESOS DE MEJORAS CONTINUAS Y CERTIFICACIONES DE NORMAS DE CALIDAD</t>
  </si>
  <si>
    <r>
      <rPr>
        <b/>
        <sz val="10"/>
        <rFont val="Arial Narrow"/>
        <family val="2"/>
      </rPr>
      <t>OBJETIVO</t>
    </r>
    <r>
      <rPr>
        <sz val="10"/>
        <rFont val="Arial Narrow"/>
        <family val="2"/>
      </rPr>
      <t>:  La introducción de proceos de mejora continua, con el objetico de Certificar de Normas de  Calidad,  con el objetivo final de brindar a los contribuyentes y ciudadanos en general un “pronto despacho” a sus necesidades  y requerimientos,  y una adecuada atención. De este modo, se transita un paso más hacia el objetivo mayor de validar la gestión como Modelo de Buen Gobierno. En el logro de este objetivo, nos proponemos un trabajo conjunto con las Universidades locales.</t>
    </r>
  </si>
  <si>
    <r>
      <t xml:space="preserve">OBJETIVO: </t>
    </r>
    <r>
      <rPr>
        <sz val="10"/>
        <rFont val="Arial Narrow"/>
        <family val="2"/>
      </rPr>
      <t>Se procura la ejecución de</t>
    </r>
    <r>
      <rPr>
        <b/>
        <sz val="10"/>
        <rFont val="Arial Narrow"/>
        <family val="2"/>
      </rPr>
      <t xml:space="preserve"> </t>
    </r>
    <r>
      <rPr>
        <sz val="10"/>
        <rFont val="Arial Narrow"/>
        <family val="2"/>
      </rPr>
      <t>Auditorías Externas Independientes, que legitimen en forma constante nuestra gestión. Este es también un requisito a cumplimentar para lograr la calificación del Municipio como Sujeto de Crédito.</t>
    </r>
  </si>
  <si>
    <t>SUBPROGRAMA: AUDITORÍA INTERNACIONAL SOBRE ESTADOS CONTABLES</t>
  </si>
  <si>
    <r>
      <rPr>
        <b/>
        <sz val="10"/>
        <rFont val="Arial Narrow"/>
        <family val="2"/>
      </rPr>
      <t>OBJETIVO</t>
    </r>
    <r>
      <rPr>
        <sz val="10"/>
        <rFont val="Arial Narrow"/>
        <family val="2"/>
      </rPr>
      <t>: La gestión de cobro de impuestos, tasas, tributos y demás conceptos cuya recaudación corresponda al municipio. Imponer una mayor presencia del Organismo Fiscal en las actividades económicas de la ciudad, como asi también verificar el cumplimiento de las obligaciones tributarias mediante el ejercicio de las facultades conferidas por la normativa vigente. Avanzar en la Equidad Tributaria y Compromiso Social frente a las contribuciones, através de la atención y acompañamiento personalizado al contribuyente. Mejorar las herramientas de gestión vía Web, incorporando herramientas que faciliten y agilicen la operatoria al contribuyente y profesional involucrado. Continuar con las actuaciones judiciales iniciadas, y procurar una atención y resolución de los casos en forma ágil, personalizada y con  la privacidad necesaria. Revisar integralmente las normas tributarias en procura de otorgar mayor equidad al sistema tributario vigente y el respeto de los principios básicos de la tributación. Una vez agotadas las instancias administrativas procurar el cobro de los tributos municipales por la vía judicial, actuando en un todo de acuerdo con las disposiciones normativas vigentes. Ejecutar las acciones necesarias para evitar la prescripción liberatoria de tributos.</t>
    </r>
  </si>
  <si>
    <r>
      <rPr>
        <b/>
        <sz val="10"/>
        <rFont val="Arial Narrow"/>
        <family val="2"/>
      </rPr>
      <t>OBJETIVO</t>
    </r>
    <r>
      <rPr>
        <sz val="10"/>
        <rFont val="Arial Narrow"/>
        <family val="2"/>
      </rPr>
      <t xml:space="preserve">:  La Reestructuración integral del área y concentración general de las operacines de compras y contrataciones del Estado Municipal, mediante el rediseño y definición de circuitos y procedimientos ágiles para la compra y contratación oportuna y eficiente de bienes y servicios requeridos para el logro de los fines del estado. La revisión y adaptación de la normativa vigente, a fin de adecuarla a los nuevos criterios, priorizando esencialmente procedimientos transparentes, de libre competencia y que tiendan a provocar economías a escala, asegurando el mejor uso posible de los recursos disponibles. </t>
    </r>
  </si>
  <si>
    <t>PROGRAMA: DIRECCIÓN DE COMPRAS, CONTRATACIONES, STOCK Y APROVISIONAMIENTO</t>
  </si>
  <si>
    <t>PROGRAMA: COORDINACIÓN, GESTIÓN Y ADMINISTRACIÓN DE LA SECRETARÍA DE  ECONOMÍA Y FINANZAS</t>
  </si>
  <si>
    <r>
      <rPr>
        <b/>
        <sz val="10"/>
        <rFont val="Arial Narrow"/>
        <family val="2"/>
      </rPr>
      <t>OBJETIVO:</t>
    </r>
    <r>
      <rPr>
        <sz val="10"/>
        <rFont val="Arial Narrow"/>
        <family val="2"/>
      </rPr>
      <t xml:space="preserve"> Coordinar los procesos y procedimientos de todas las oficinas a cargo de la Contaduría General: Pagos, Presupuesto, Patrimonio, Compras y Suministros, y demás áreas de la Secretaría. Realizar la Formulación Presupuestaria Anual, y controlar en forma permanente su ejecución, evaluando el desempeño mediante cálculos estadísticos, grado de avance físico y financiero de los programas y proyectos, determinando la necesidad de modificaciones presupuestarias. Llevar el registro actualizado de todas las transacciones, convenios, y disposiciones legales vinculadas al desenvolvimiento de la Secretaría. Registro de los bienes inventariables actualizado, apuntando a la sistematización y automatización del dicho registro. Realizar y cumplir conforme las funciones, facultades y deberes asignados por la COM y ordenanzas específicas: con el registro y control interno de la gestión económica y financiera del Estado Municipal, libros obligatorios y Balance General.</t>
    </r>
  </si>
  <si>
    <r>
      <rPr>
        <b/>
        <sz val="10"/>
        <rFont val="Arial Narrow"/>
        <family val="2"/>
      </rPr>
      <t>OBJETIVO:</t>
    </r>
    <r>
      <rPr>
        <sz val="10"/>
        <rFont val="Arial Narrow"/>
        <family val="2"/>
      </rPr>
      <t xml:space="preserve"> El seguimiento de la evolución de la gestión financiera de la administración municipal, para proveer información confiable para la toma de decisiones. Realizar una oportuna emisión de pagos y un regristro eficaz y eficiente de ingresos (municipales y de otras jurisdicciones). Control de las operaciones bancarias y conciliación de sus saldos. Custodia de los fondos municipales. Manejo transparente de los recursos ingresados y la efectivazación de pagos.</t>
    </r>
  </si>
  <si>
    <r>
      <rPr>
        <b/>
        <sz val="10"/>
        <rFont val="Arial Narrow"/>
        <family val="2"/>
      </rPr>
      <t>OBJETIVO</t>
    </r>
    <r>
      <rPr>
        <sz val="10"/>
        <rFont val="Arial Narrow"/>
        <family val="2"/>
      </rPr>
      <t xml:space="preserve">: Mantener el resguardo de la información pública municipal; así como desarrollar las acciones necesarias para brindar información procesada como insumo útil al proceso decisorio. Incrementar la calidad, eficiencia y transparencia de la información pública, actuando interrelacionadamente con el Área de Gobierno Abierto. Trabajar mancomunadamente con el resto de las áreas para la actualización y depuración sistemática. Centralizar el mantenimiento de la infraestructura tecnológica municipal y el procesamiento informático de la información de gestión. Realizar aportes permanentes para  la mejora constante en la generación y exposición de la información de gestión. </t>
    </r>
  </si>
  <si>
    <t>UNIDAD EJECUTORA: Dirección de Sistemas.</t>
  </si>
  <si>
    <t>PROGRAMA: TRANSPARENCIA Y UNIDAD DE CONTROL DE GESTIÓN SEGÚN ORDENANZA Nº 6976</t>
  </si>
  <si>
    <r>
      <rPr>
        <b/>
        <sz val="10"/>
        <rFont val="Arial Narrow"/>
        <family val="2"/>
      </rPr>
      <t>OBJETIVOS</t>
    </r>
    <r>
      <rPr>
        <sz val="10"/>
        <rFont val="Arial Narrow"/>
        <family val="2"/>
      </rPr>
      <t xml:space="preserve">: Diseño de políticas e implementación del Sistema de Control Inerno, contribuyendo a incrementar la eficiencia de los procesos. Llevar adelante los procedimientos de Control Interno otorgando confiabilidad en los circuitos y procesos administrativos, así como en la información resultante. Realizar evaluaciones por dependencias, conforme al Plan de Acción previamente trazado y a la normativa vigente en la materia. Diseñar y Ejecutar el Plan Anual de Auditoría.  Contribuir a la consolidación de una cultura de control basada en el autocontrol y el mejoramiento continuo. Establecer la relación con los Entes internos y externos de control. </t>
    </r>
  </si>
  <si>
    <t xml:space="preserve">La creación de un Banco de Proyectos de Innovación activo, generando en forma continua proyectos innovadores, orientados a la Eficiencia, Modernidad y Desarrollo del Estado Municipal, gestionando para el financiamiento de los mismos fondeo nacional, provincial, internacional y de organismos multilaterales de crédito; generando un vínculo estrecho y recíproco con dichos entes. </t>
  </si>
  <si>
    <r>
      <rPr>
        <b/>
        <sz val="10"/>
        <rFont val="Arial Narrow"/>
        <family val="2"/>
      </rPr>
      <t>OBJETIVO</t>
    </r>
    <r>
      <rPr>
        <sz val="10"/>
        <rFont val="Arial Narrow"/>
        <family val="2"/>
      </rPr>
      <t>: La coordinación de todo el accionar inherente al manejo de la Economía y las Finanzas del municipio. La definición de las políticas económicas a seguir.</t>
    </r>
  </si>
  <si>
    <t>PROGRAMA: COORDINACIÓN Y ADMINISTRACIÓN DE LA SECRETARÍA DE  INCLUSIÓN SOCIAL Y FAMILIA</t>
  </si>
  <si>
    <t>PROGRAMA: INCLUSIÓN C.R.E.A.S. (CULTURAL, RECREATIVO, EDUCATIVO, ARTÍSTICO Y SALUDABLE)</t>
  </si>
  <si>
    <r>
      <rPr>
        <b/>
        <sz val="10"/>
        <rFont val="Arial Narrow"/>
        <family val="2"/>
      </rPr>
      <t>OBJETIVOS:</t>
    </r>
    <r>
      <rPr>
        <sz val="10"/>
        <rFont val="Arial Narrow"/>
        <family val="2"/>
      </rPr>
      <t xml:space="preserve"> Implementar un programa de actividades que incrementará la cooperación, la interacción y el intercambio entre adultos mayores y jóvenes. Este programa implica compartir habilidades, conocimientos y experiencias. Creemos que para hablar de intergeneracionalidad no basta con estar juntos, lo importante es "hacer juntos", y que ese hacer vaya más allá de la mera interacción y pase a la relación. Apostamos a que se construyan vínculos significativos que pongan en contacto a las dos generaciones, proporcionando  los mayores un medio de transmisión de la cultura y las tradiciones, y a su vez poder mejorar la manera que tienen de a percibirse a si mismos. Los jóvenes podrán adquirir experiencias y conocimientos, y se beneficiarán con el contacto de un grupo generacional mayor al suyo que podrán proporcionarles de guía, consejo, sabiduria, etc. Objetivo General: Aproximar a los miembros de ambas generaciones para que convivan en el entorno de unos y otros, y compartan actividades que les ayuden a conocerse y por lo tanto a superar estereotipos.</t>
    </r>
  </si>
  <si>
    <r>
      <rPr>
        <b/>
        <sz val="10"/>
        <rFont val="Arial Narrow"/>
        <family val="2"/>
      </rPr>
      <t>OBJETIVOS</t>
    </r>
    <r>
      <rPr>
        <sz val="10"/>
        <rFont val="Arial Narrow"/>
        <family val="2"/>
      </rPr>
      <t>: Promover el empoderamiento y la participación social. Implementar políticas sociales integradoras e integrales que  fomenten la universalidad, solidaridad e igualdad de oportunidades. Coordinar con organismos públicos y/o privados que atiendan la problemática social de los distintos grupos de la comunidad. Intervenir en forma articulada entre las distintas políticas, servicios, poderes estatales y niveles de gobierno, las familias, las instituciones sociales y la comunidad, a través de la interrelación entre el Consejo Municipal de la Mujer, Consejo de Protección y Promoción de los Niños, Adolescentes y Familias, el área Local de Protección Integral de Derechos de Niñas, Niños y Adolescentes, el Consejo Asesor de Discapacidad y Consejo Asesor de Adultos Mayores. Generar los recursos propicios para el óptimo funcionamiento administrativo de la Secretaría, brindando los insumos necesarios para asistir a las distintas coordinaciones y áreas de la Secretaría. Poner en ejecución el proyecto de Redes de Pensionados que tiene como principal objetivo la generación y multiplicación de espacios abiertos a la participación organizada de los titulares de derecho para generar ámbitos colectivos para el protagonismo de nuestros vecinos. Aplicar las medidas necesarias de asistencia e incorporación social al liberado para reducir el número de personas con riesgo de pobreza o exclusión social; e impulsar la incorporación social y laboral de aquellas personas privadas de libertad y liberadas, a través de la promoción de los Derechos Humanos y promoción del Empleo.</t>
    </r>
  </si>
  <si>
    <t>1503</t>
  </si>
  <si>
    <t>PROGRAMA: PROMOCIÓN, PROTECCIÓN, ASISTENCIA Y CONTENCIÓN A PERSONAS, FAMILIAS E INSTITUCIONES</t>
  </si>
  <si>
    <t>PROGRAMA: COORDINACIÓN DE POLÍTICAS SOBRE FAMILIA, NIÑEZ, ADOLESCENCIA Y JUVENTUD</t>
  </si>
  <si>
    <r>
      <rPr>
        <b/>
        <sz val="10"/>
        <rFont val="Arial Narrow"/>
        <family val="2"/>
      </rPr>
      <t>OBJETIVOS:</t>
    </r>
    <r>
      <rPr>
        <sz val="10"/>
        <rFont val="Arial Narrow"/>
        <family val="2"/>
      </rPr>
      <t xml:space="preserve"> Atender, promocionar y fortalecer las políticas relacionadas con los niños, niñas, adolescentes, jóvenes y su núcleo familiar, a través del desarrollo de acciones preventivas y proteccionales. Desarrollar programas especiales orientados a políticas de protección del niño y la familia. Continuar con los programas Nuevas Oportunidades, destinados a desarrollar habilidades laborales en los adolescentes que manifiestan dificultades para su integración social, a través de talleres de oficio y culturales. Existe la necesidad de comenzar a vincular nuestro trabajo con el trabajo diario de las diferentes organizaciones territoriales y generar una vinculación y trabajo mancomunado entre ellas. Se entiende por organización territorial a iglesias, comedores y toda otra organización que contemple el trabajo en el territorio sin fines de lucro; para generar un dispositivo socio cultural compuesto por diferentes talleres. Continuar con el programa de Voluntariado Joven se crea con el fin de generar un espacio de participación de las instituciones y los jóvenes para mejorar los espacios de los que son parte logrando un empoderamiento, que contribuya al desarrollo integral de los mismos.</t>
    </r>
  </si>
  <si>
    <r>
      <rPr>
        <b/>
        <sz val="10"/>
        <rFont val="Arial Narrow"/>
        <family val="2"/>
      </rPr>
      <t>OBJETIVOS:</t>
    </r>
    <r>
      <rPr>
        <sz val="10"/>
        <rFont val="Arial Narrow"/>
        <family val="2"/>
      </rPr>
      <t xml:space="preserve"> Ejecución de programas que atiendan las necesidades de personas con discapacidad de la Ciudad, con el objetivo de mejorar la calidad de vida e independencia favoreciendo la diversidad e integración bio-psico-social. Todas las áreas de Discapacidad orientan su accionar para contribuir a una sociedad más plural e inclusiva. Brindar capacitación e inclusión laboral a Jóvenes y Adultos con discapacidad que se encuentren en condiciones de insertarse al mercado laboral. Continuación del programa Iniciando Caminos. Coordinación y gestión del Centro Municipal para el desarrollo Integral del Discapacitad (CEMDI) y del Centro de Rehabilitación Enrique Elisalde, llevando adelante todas sus actividades planificadas.</t>
    </r>
  </si>
  <si>
    <r>
      <rPr>
        <b/>
        <sz val="10"/>
        <rFont val="Arial Narrow"/>
        <family val="2"/>
      </rPr>
      <t>OBJETIVOS:</t>
    </r>
    <r>
      <rPr>
        <sz val="10"/>
        <rFont val="Arial Narrow"/>
        <family val="2"/>
      </rPr>
      <t xml:space="preserve"> Implementar políticas sociales, programas y proyectos en beneficio de los Adultos Mayores de la ciudad, teniendo una mirada integral e integradora del ser humano. Atender la demanda de los adultos mayores de manera descentralizada a través de personal capacitado para disipar dudas y/o derivar a las áreas gubernamentales y no gubernamentales que corresponda, en espacios físicos estratégicos como centros vecinales, municerca, CAPS. Continuar con las actividades recreativas, las cuales aportan al fortalecimiento de los vínculos sociales, al incremento en el autoestima y lograr que el adulto mayor adopte experiencias de aprendizaje y un estilo de vida más saludable.</t>
    </r>
  </si>
  <si>
    <r>
      <rPr>
        <b/>
        <sz val="10"/>
        <rFont val="Arial Narrow"/>
        <family val="2"/>
      </rPr>
      <t>OBJETIVOS:</t>
    </r>
    <r>
      <rPr>
        <sz val="10"/>
        <rFont val="Arial Narrow"/>
        <family val="2"/>
      </rPr>
      <t xml:space="preserve"> Establecer estrategias de intervención y gestión en las unidades de producción local. Para ello se realizan las Ferias de Emprendedores, la cual es un espacio alternativo de comercialización, que tienen como finalidad la exhibición y venta de los productos de la economía social, para el mejoramiento de la calidad de vida mediante el incremento de los ingresos de cada emprendedor. Existen diferentes eventos que propician la promoción de las mismas, como ser: La Feria Navideña, la Feria de Invierno, la Feria Peñera de Villa María y el Encuentro Latinoamericano de Tejedoras. Además, persiguiendo el mismo objetivo, se financia la compra de herramientas e insumos para el fortalecimiento de aquellas unidades económicas que se han convertido en la posibidad real de un ingreso familiar. Continuar con el fortalecimiento de las Cooperativas de Trabajo en capacitaciones con la finalidad de mejorar su funcionamiento, estimular se crecimiento y desarrollo. Organizar las Ferias Francas, donde se ofrece un espacio donde se puede comprar directamente de mano de los productores en condiciones ambientales y sociales éticas. Así los productores obtienen un pago justo por su trabajo, los consumidores realizan compras responsables y la comunidad gana generando conciencia acerca de los beneficios de consumir en forma local y natural. También se implementarán Microcréditos para microemprendedores para acompañarlos en la etapa inicial de una actividad económica productiva y de autoempleo.</t>
    </r>
  </si>
  <si>
    <r>
      <rPr>
        <b/>
        <sz val="10"/>
        <rFont val="Arial Narrow"/>
        <family val="2"/>
      </rPr>
      <t>OBJETIVOS:</t>
    </r>
    <r>
      <rPr>
        <sz val="10"/>
        <rFont val="Arial Narrow"/>
        <family val="2"/>
      </rPr>
      <t xml:space="preserve"> Los Servicios Sociales conformados en la Municipalidad tienen por finalidad promover los derechos de las personas a vivir dignamente, delinear políticas publícas facilitadoras, atender las necesidades particulares y específicas de los ciudadanos y promover la transversalidad de las acciones en el territorio. Buscan la estimulación de las actividades y capacidades de las personas, y del grupo familiar, con el propósito de facilitar sus autonomías, inclusiones e integraciones sociales; sin dejar pasar la prevención y la promoción comunitaria. En busca de lograr estos objetivos, es que se crea el programa de Promoción, Protección, Asistencia y Contención el cual está enmarcado dentro de las políticas públicas siendo la persona el eje central de toda acción. Persona que que se desarrolla en un entorno familiar donde se expresan y vivencian múltiples problemáticas que requieren de intervenciones integrales, para lo que es necesario tomar a los recursos mismos como un medio y no como el fin en si mismo, promoviendo así el desarrollo humano, la prevención de riesgos y las situaciones de vulnerabilidad para mejorar la calidad de vida de los ciudadanos. Continuar con la ejecución del programa productivo familiar, el cual está orientado al autoempleo de aquellas mujeres que se encuentran desempleadas. Seguir en el acompañamiento de los espacios barriales donde se brindan Copas de Leche a los vecinos con mayor vulnerabilidad. Brindar acogida, contención y promoción a aquellas personas que se encuentran en situación de calle, pudiendo acompañarlos y contribuir a mejorar su situación de vulnerabilidad social, através de la implementación del Centro de Atención Social para Personas en Situación de Calle.</t>
    </r>
  </si>
  <si>
    <t>PROGRAMA: COORDINACIÓN DE POLÍTICAS SOBRE DERECHOS HUMANOS, DIVERSIDAD Y GÉNERO</t>
  </si>
  <si>
    <r>
      <rPr>
        <b/>
        <sz val="10"/>
        <rFont val="Arial Narrow"/>
        <family val="2"/>
      </rPr>
      <t>OBJETIVOS:</t>
    </r>
    <r>
      <rPr>
        <sz val="10"/>
        <rFont val="Arial Narrow"/>
        <family val="2"/>
      </rPr>
      <t xml:space="preserve"> Coordinar acciones vinculadas a la promoción y protección de los Derechos Humanos mediante la elaboración y ejecución de planes y programas relacionados a derechos civiles, políticos, económicos y comunitarios. Intervenir en el seguimiento de situaciones que impliquen conflictos o emergencias sociales, así como situaciones de vulnerabilidad social que requiera el auxilio del Estado. Promover los Derechos Humanos, mediante la articulación con los Colectivos de la Diversidad y la capacitación en perspectiva de Género. Reforzar la conciencia social sobre las causas y consecuencias del consumo de sustancias y otras adicciones presentes en nuestro medio.</t>
    </r>
  </si>
  <si>
    <t>PROGRAMA: ABORDAJE INTEGRAL DE LA VIOLENCIA DE GÉNERO</t>
  </si>
  <si>
    <r>
      <rPr>
        <b/>
        <sz val="10"/>
        <rFont val="Arial Narrow"/>
        <family val="2"/>
      </rPr>
      <t>OBJETIVOS:</t>
    </r>
    <r>
      <rPr>
        <sz val="10"/>
        <rFont val="Arial Narrow"/>
        <family val="2"/>
      </rPr>
      <t xml:space="preserve"> Abordar una perspectiva de género como manifestación de la desigualdad en la que se encuentra la mujer en la sociedad, siendo menester articular políticas de prevención, promoción, atención y protección. Abordar la problemática victimológica desde los niveles asistenciales y preventivos para la superación y reducción de las consecuencias de los procesos de victimización, así como la disminución en la producción de otros. Brindar alojamiento y contención profesional a mujeres vÍctimas de violencia de género que no tienen una red familiar, albergadas junto a sus hijos. Este objetivo se llevará a cabo a través y, en forma conjunta con el Gobierno de la Provincia de Córdoba, en el Polo de la Mujer.</t>
    </r>
  </si>
  <si>
    <r>
      <rPr>
        <b/>
        <sz val="10"/>
        <rFont val="Arial Narrow"/>
        <family val="2"/>
      </rPr>
      <t>OBJETIVOS:</t>
    </r>
    <r>
      <rPr>
        <sz val="10"/>
        <rFont val="Arial Narrow"/>
        <family val="2"/>
      </rPr>
      <t xml:space="preserve"> Asistir al Departamento Ejecutivo Municipal en todo lo inherente al Gobierno Político Interno como así también en lo que hace a la relación con políticas de seguridad vial y prevención comunitaria, y el poder de polícia municipal, teniendo como eje estructurador la integraciónn de las áreas. Entender en las relaciones con los Poderes del Estado Municipal, con los organismos oficiales nacionales y/o provinciales, y con las municipalidades y comunas de la Provincia de Córdoba. Entender en las políticas de desarrollo cultural en todas las formas de expresión de la misma.</t>
    </r>
  </si>
  <si>
    <t>PROGRAMA: COORDINACIÓN Y ADMINISTRACIÓN DE LA SECRETARÍA DE GOBIERNO Y VINCULACIÓN COMUNITARIA</t>
  </si>
  <si>
    <t>PROGRAMA: HABILITACIONES, CONTROL Y APLICACIONES DE NORMAS DE SEGURIDAD E HIGIENE</t>
  </si>
  <si>
    <r>
      <rPr>
        <b/>
        <sz val="10"/>
        <rFont val="Arial Narrow"/>
        <family val="2"/>
      </rPr>
      <t>OBJETIVOS:</t>
    </r>
    <r>
      <rPr>
        <sz val="10"/>
        <rFont val="Arial Narrow"/>
        <family val="2"/>
      </rPr>
      <t xml:space="preserve"> Organizar y coordinar las tareas de la Subsecretaría de Inspectoría General. Verificar el cumplimiento de las ordenanzas municipales en materia de espectáculos públicos, recreación, centros educativos, entre otros. Realizar visitas y auditorías a todas las dependencias municipales a los fines de verificar el cumplimiento de las condiciones laborales del personal como así también las condiciones edilicias. Fomentar la habilitación de los comercios e industrias dentro de las normativas regulatorias de actividades desarrolladas en la ciudad contemplando especialmente la seguridad integral de todos los habitantes. Optimizar la tarea admimistrativa vinculada al canal de comunicación con los titulares de expedientes, con el fin de acortar los tiempos en la obtención de los permisos de habilitantes para ejercer su actividad. Desarrollar un programa de muestreo de alimentos elaborados en la ciudad para realizar la vigilancia alimentaria y así proteger la salud de los ciudadanos, disminuyendo la inicendia de ETA`s (Enfermedades Transmitidas por Alimentos). Garantizar el control de calidad de los alimentos en las distintas etapas; asegurando así el cumplimiento de la normativa vigente. Sistematizar el control de ingreso de carnes y derivados a la ciudad y posterior control en puntos de venta. Realizar controles de calidad de efluentes industriales y monitoreo de los indicadores ambientales.</t>
    </r>
  </si>
  <si>
    <r>
      <t xml:space="preserve">OBJETIVOS: </t>
    </r>
    <r>
      <rPr>
        <sz val="10"/>
        <rFont val="Arial Narrow"/>
        <family val="2"/>
      </rPr>
      <t>Conformar una Inspectoría Gral. Interdisciplinaria para el asesoramiento técnico y control de obras públicas, privadas y habilitaciones en general, con acento en los controles ambientales, de saneamiento, bromatológicos, del uso y seguridad de la propiedad pública, la seguridad eléctrica, la prevención de incendios, las obras sin permiso, demoliciones, clausuras, espectáculos públicos, etc.</t>
    </r>
  </si>
  <si>
    <t>UNIDAD EJECUTORA: Subsecretaría de Inspección General.</t>
  </si>
  <si>
    <t>PROGRAMA: SALUD ANIMAL - CENTRO DE ADOPCIÓN MUNICIPAL</t>
  </si>
  <si>
    <r>
      <rPr>
        <b/>
        <sz val="10"/>
        <rFont val="Arial Narrow"/>
        <family val="2"/>
      </rPr>
      <t>OBJETIVOS</t>
    </r>
    <r>
      <rPr>
        <sz val="10"/>
        <rFont val="Arial Narrow"/>
        <family val="2"/>
      </rPr>
      <t>: Trabajar para dar respuesta definitiva a la necesidad de erradicación de canes de la vía pública. Promover y ejecutar políticas de atención sanitaria y guarda respecto de animales recogidos en la vía pública, propiciando una mayor y mejor sanidad animal. Coordinar y administrar el Centro de Adopción Municipal. Concientizar a la ciudadanía sobre la tenencia de animales. Promover y proveer la protección Integral de los Animales.</t>
    </r>
  </si>
  <si>
    <t>PROGRAMA: PREVENCIÓN COMUNITARIA Y SEGURIDAD CIUDADANA - TRÁNSITO Y TRANSPORTE - EDUCACIÓN VIAL</t>
  </si>
  <si>
    <r>
      <rPr>
        <b/>
        <sz val="10"/>
        <rFont val="Arial Narrow"/>
        <family val="2"/>
      </rPr>
      <t>OBJETIVOS:</t>
    </r>
    <r>
      <rPr>
        <sz val="10"/>
        <rFont val="Arial Narrow"/>
        <family val="2"/>
      </rPr>
      <t xml:space="preserve"> Organizar y desarrollar estrategias, planes y proyectos para la Prevención Comunitaria y la Seguridad Ciudadana. Coordinar la misma con los distintos organismos de seguridad con sede en la ciudad. Elaborar e implementar programas para la organización del tránsito de vehículos y peatones en el área urbana. Ejercer el poder de policía en materia de tránsito para el control del cumplimiento de las normas regulatorias de la circulación, estacionamiento y todas las de competencia de la materia. Realizar actividades destinadas a la educación y capacitación vial.</t>
    </r>
  </si>
  <si>
    <r>
      <rPr>
        <b/>
        <sz val="10"/>
        <rFont val="Arial Narrow"/>
        <family val="2"/>
      </rPr>
      <t xml:space="preserve">OBJETIVOS: </t>
    </r>
    <r>
      <rPr>
        <sz val="10"/>
        <rFont val="Arial Narrow"/>
        <family val="2"/>
      </rPr>
      <t>El objetivo principal es la implementación de los CUADRANTES de prevención comunitarias. Reducir el temor al delito y contribuir as mejorar la calidad de vida de los vecinos. Aumentar la capacidad de rerspuestas en áreas más pequeñas de vigilancia. Instalar unidades fijas de control de circulación terrestre ubicadas en los accesos al ejido municipal de la ciudad, equipadas con cámaras de video, cartelería led y radio comunicación aptos para operaciones conjuntas con FF.PP y FF.SS.</t>
    </r>
  </si>
  <si>
    <r>
      <rPr>
        <b/>
        <sz val="10"/>
        <rFont val="Arial Narrow"/>
        <family val="2"/>
      </rPr>
      <t>OBJETIVOS:</t>
    </r>
    <r>
      <rPr>
        <sz val="10"/>
        <rFont val="Arial Narrow"/>
        <family val="2"/>
      </rPr>
      <t xml:space="preserve"> Desarrollar las tareas inherentes a la administración de los recursos humanos y dotación del personal. Gestión y control de los contratos del personal transitorio. Entender en la definición de políticas de administración y aplicación del régimen legal y técnico del personal de la administración pública de todas las áreas del municipio. Confeccionar y actualizar los legajos de los agentes que prestan servicios en las diferentes dependencias o reparticiones de la administración municipal. Atención del personal en cuanto a la liquidación de haberes, control haberes, control de ausentismo, y toda gestión inherente ante los organismos vinculados a la seguridad social como APROSS, Caja de Jubilaciones, Pensiones y Retiros de la Provincia y otros. Procurar por la Seguridad e Higiene Laboral. Ser responsable de las relaciones con los distintos gremios y coordinar las relaciones laborales entre el municipio y el Ministerio de Trabajo. Organizar y llevar adelante el transporte o movilidad de las personas en función pública o personal municipal afectado a la función pública, como así también, el mantenimiento y cuidado de e los vehículos de dominio municipal afectados a estas tareas. Organizar y llevar a cabo el servicio de limpieza, maestranza mantenimiento de las dependencias municipales y la atención al personal Municipal y a quienes por razones circunstanciales llegan al palacio.</t>
    </r>
  </si>
  <si>
    <r>
      <rPr>
        <b/>
        <sz val="10"/>
        <rFont val="Arial Narrow"/>
        <family val="2"/>
      </rPr>
      <t xml:space="preserve">OBJETIVO: </t>
    </r>
    <r>
      <rPr>
        <sz val="10"/>
        <rFont val="Arial Narrow"/>
        <family val="2"/>
      </rPr>
      <t>Organización y dirección del Registro del Estado Civil y Capacidad de las Personas. Promover la concientización y educación, respecto a temas registrales y civiles. Acercar el Registro Civil a los barrios y a los vecinos desde la implementación de diversas acciones, como: la regularización de documentación de extranjeros, la documentación de personas privadas de su libertad, la visita del registro civil a las distintas escuelas, Servicio de Penitenciaría de Villa María. Incorporar dos equipos móviles digitales para la ciudad y zona para poder ampliar el ámbito de asitencia a personas con discapacidades, escuelas rurales y operativos barriales.</t>
    </r>
  </si>
  <si>
    <r>
      <rPr>
        <b/>
        <sz val="10"/>
        <rFont val="Arial Narrow"/>
        <family val="2"/>
      </rPr>
      <t>OBJETIVOS:</t>
    </r>
    <r>
      <rPr>
        <sz val="10"/>
        <rFont val="Arial Narrow"/>
        <family val="2"/>
      </rPr>
      <t xml:space="preserve"> Generar un espacio de participación comunitaria en todo lo referente al aspecto cultural y artístico. Coordinar los diversos programas implementados desde la dirección de cultura. Realizar espectáculos artísticos y otras manifestaciones culturales con identificación comunitaria. En el transcurso del periodo se realizará: * Villa María Circo-Experiencias Escénicas, tiene como objetivo difundir las técnicas aéreas del circo tradicional, con la nueva mirada creativa de profesores locales. Se combinan, las diferentes técnicas aéreas circenses,  danza, teatro y música. Se trabaja con una concepción completa del ser humano, tanto física como espiritual. Se busca promover el desarrollo de los alumnos y que puedan especializarse en las diferentes disciplinas aéreas. * Actividades de verano, como ser: Molinos de Arte: Consiste en actividades y talleres artísticos, favoreciendo la inclusión de los vecinos de todos los barrios de la ciudad a la cultura en todas sus expresiones. Milongas Municipales: Todos los vecinos de la ciudad puedan disfrutar, compartir y aprender sobre éste género musical y baile. El Arte por Todas Partes: Consiste en acercar el cultura y el arte a cada barrio, piletas públicas y espacios verdes de la ciudad. El arte va donde va la gente. Festival del Acordeón y Festival de Tango: Invitar a músicos de ambos géneros para que toquen en espacio público de la ciudad. *El Archivo Municipal de Historia Oral y Memorias Locales, de carácter abierto y público, esta compuesto por entrevistas a hombres y mujeres cuyas experiencias se encuentran ligadas a la vida social, laboral, politica, educativa, cultural e historica de Villa Maria. Las entrevistas agrupadas en distintas colecciones temáticas, permiten pensar los procesos historicos locales a partir del testimonio de sus protagonistas. El Archivo tiene fines pedagógicos y de investigacion, promoviendo el uso del acervo oral como herramienta de trabajo y fuente de consulta. * La orquesta Municipal de Música ciudadana posee una trayectoria de 16 años y combina músicos de varias generaciones. Está dirigida por el Sr Alberto Bacci quien ha realizado un gran aporte para la proyección de la misma. Cuenta actualmente con 20 músicos aproximadamente y cuyo objetivo es transmitir este arte a todos los ciudadanos a través de diferentes eventos locales y zonales. </t>
    </r>
  </si>
  <si>
    <t>PROGRAMA: COORDINACIÓN Y GESTIÓN DE ACTIVIDADES EN EL COMPLEJO "PARQUE DE   LA VIDA"</t>
  </si>
  <si>
    <r>
      <rPr>
        <b/>
        <sz val="10"/>
        <rFont val="Arial Narrow"/>
        <family val="2"/>
      </rPr>
      <t>OBJETIVOS:</t>
    </r>
    <r>
      <rPr>
        <sz val="10"/>
        <rFont val="Arial Narrow"/>
        <family val="2"/>
      </rPr>
      <t xml:space="preserve"> Implementar y coordinar propuestas educativas y culturales en todas sus expresiones mediante la gestión de un espacio físico urbano pensado para brindar diferentes alternativas recreativas, de esparcimiento, educativas y culturales. El mantenimiento, la renovación y mejora del espacio "Parque de la Vida" como lugar de encuentro y oportunidades. El planteamiento de propuestas integrales y/o complemetarias aprovechando y /o explotando la cercanía de los edificios Medioteca y Biblioteca Municipal y Popular Mariano Moreno, la Tecnoteca y el Centro Cultural Comunitario "Leonardo Fabio".</t>
    </r>
  </si>
  <si>
    <t xml:space="preserve">SUBPROGRAMA: PROMOCIÓN  DE ACTIVIDADES TECNOLÓGICAS Y PRODUCTIVAS </t>
  </si>
  <si>
    <r>
      <rPr>
        <b/>
        <sz val="10"/>
        <rFont val="Arial Narrow"/>
        <family val="2"/>
      </rPr>
      <t>OBJETIVOS:</t>
    </r>
    <r>
      <rPr>
        <sz val="10"/>
        <rFont val="Arial Narrow"/>
        <family val="2"/>
      </rPr>
      <t xml:space="preserve"> Promover actividades orientadas a mejorar la alfabetización científica, la formación de competencias de la sociedad en el campo científico y tecnológico así como el mejoramiento de la enseñanza de las ciencias. Promover la constante divulgación orientada a acercar a la sociedad el trabajo científico y de  investigación, el conociemiento producido y avances y aplicaciones alcanzados. Continuar con las actividades de la Radio que funciona en las instalaciones e implementar nuevos talleres para que los ciudadanos estén en mayor contacto con la misma. Como ser: Talleres de Grabación, de Iniciación Radial, de locución y oratoria, La Radio va tu barrio, La Radio va a la escuela, entre otros. En las Salas de Robótica e Informática también se realizarán distintas actividades para llegar a un público infantil interesado en la temática de lo cibernético.</t>
    </r>
  </si>
  <si>
    <r>
      <rPr>
        <b/>
        <sz val="10"/>
        <rFont val="Arial Narrow"/>
        <family val="2"/>
      </rPr>
      <t>OBJETIVOS:</t>
    </r>
    <r>
      <rPr>
        <sz val="10"/>
        <rFont val="Arial Narrow"/>
        <family val="2"/>
      </rPr>
      <t xml:space="preserve"> Satisfacer las necesidades de información de los usuarios, mediante su comprensión y entendimiento, y lograr continuidad en la concurrencia a la biblioteca y uso de sus servicios como así también la incorporación de nuevos usuarios y servicios. Promover la mejora continua de los recursos y servicios que la biblioteca ofrece a la comunidad de Villa María y región. Determinar una política de gestión y desarrollo de la colección. Evaluar e incorporar las nuevas tecnologías de la información necesarias para el desarrollo de los servicios bibliotecarios y adaptar las instalaciones y espacios físicos de acuerdo a las necesidades y demandas de los usuarios. Estudiar y evaluar las necesidades tecnológicas para el desarrollo de los servicios bibliotecarios. Realizar actividades culturales y de extensión hacia la comunidad.</t>
    </r>
  </si>
  <si>
    <t xml:space="preserve">SUBPROGRAMA: CENTRO CULTURAL COMUNITARIO "LEONARDO FAVIO"de niños y  jóvenes, eje de convocatoria para el desarrollo recreativo y turístico de la ciudad. </t>
  </si>
  <si>
    <r>
      <rPr>
        <b/>
        <sz val="10"/>
        <rFont val="Arial Narrow"/>
        <family val="2"/>
      </rPr>
      <t>OBJETIVOS:</t>
    </r>
    <r>
      <rPr>
        <sz val="10"/>
        <rFont val="Arial Narrow"/>
        <family val="2"/>
      </rPr>
      <t xml:space="preserve"> El funcionamiento en la ciudad de un Parque temático vinculado con la cultura. Las actividades a desarrollar en el Centro Cultural son: * Programa Ser Arte y Parte: Se proponen 16 diferentes Talleres, con màs de 700 Inscriptos. Se enmarca en el paradigma de arte. Que entiende al arte como lugar de expresión, de lenguaje, de comunicación procurando la transformación  social y el fortalecimiento de vínculos comunitarios e identitarios. Para este fin el Programa, asume la obligación de respetar, garantizar y promover el derecho a la cultura. * Programa Conciertos, comprende: Festival De Flauta - Disco Es-Cultura - Ciclo SiDis (Bandas Musicales Locales)- Ciclo de Violin - Ciclo de Jazz - Milongas - Peñas - Gozadera. Compuesto por el Teatro del Pueblo - Sala Jorge Bonino y el Parlamento de los Niños, lugar propicio para disertaciones. Se brindarán espectàculos libres y gratuitos, aptos para todo público, de modo que el acceso a la cultura llegue a todos/as. * Programa Capacitación - Arte y Oficios, su objetivo es potenciar las habilidades, ya sean artísticas o de oficios, lo que implica , que la comunidad disfrute de èstas prácticas y pueda tener una salida laboral. Opera Studio, espacio de accion artisitica para cantantes de opera en formación. En el Centro Cultural funciona el Espacio INCAA Villa María cuyo objetivos son: · Democratizar el acceso a la sala de cine y difundir el  Cine argentino como bien cultural para todos. · Difundir  filmografías del mundo  con el propósito de conocer otras culturas y de fomentar el intercambio. </t>
    </r>
  </si>
  <si>
    <r>
      <rPr>
        <b/>
        <sz val="10"/>
        <rFont val="Arial Narrow"/>
        <family val="2"/>
      </rPr>
      <t>OBJETIVOS:</t>
    </r>
    <r>
      <rPr>
        <sz val="10"/>
        <rFont val="Arial Narrow"/>
        <family val="2"/>
      </rPr>
      <t xml:space="preserve"> Velar por el Patrimonio Histórico de la ciudad, investigar sobre los aspectos que nos confieren identidad como pueblo, y difundir el pasado villamariense. Realización anual del Congreso Provincial de Historia. Incrementar y restaurar el Archivo Histórico Municipal, para ordenar y clasificar la documentación existente según criterios técnicos y profesionales. Mantener el Museo Histórico Municipal. Procurar y fortalecer el funcionamiento del Instituto Municipal de Historia. Promover y fomentar la realización de eventos artísticos culturales en el Museo de Bellas Artes Fernando Bonfiglioli con la participación de artistas locales y nacionales. Desarrollar actividades en forma conjunta con establecimientos educativos para llegar a un nuevo público y acercar a los niños al arte como una opción nueva donde, a través de la exploración e investigación de las artes visuales, puedan encontrar una forma de expresar sus ideas.</t>
    </r>
  </si>
  <si>
    <t>PROGRAMA: COORDINACIÓN Y ADMINISTRACIÓN DE LA SECRETARÍA DE DESARROLLO  URBANO, AMBIENTE E INFRAESTRUCTURA</t>
  </si>
  <si>
    <t>PROGRAMA: COORDINACIÓN, GESTIÓN Y ADMINISTRACIÓN DE LA DIRECCIÓN DE PROYECTOS DE OBRAS PÚBLICAS</t>
  </si>
  <si>
    <r>
      <t>OBJETIVO:</t>
    </r>
    <r>
      <rPr>
        <sz val="10"/>
        <color indexed="8"/>
        <rFont val="Arial Narrow"/>
        <family val="2"/>
      </rPr>
      <t xml:space="preserve"> Brindar asistencia técnica a la Secretaría en materia de planificación y desarrollo de Proyectos de Obras Públicas. Efectuar el relevamiento del estado de conservación de los inmuebles del dominio privado y público municipal, a fin de proyectar las mejoras, construcciones y/o refacciones que sean necesarias. Identificar y desarrollar los proyectos de  Obras Arquitectónicas que sean de alto impacto en la sociedad, elaborando la memoria y presupuestación correspondiente. Previo estudio de factibilidad técnica.</t>
    </r>
  </si>
  <si>
    <t>UNIDAD EJECUTORA: Dirección de Proyectos de Obras Públicas.</t>
  </si>
  <si>
    <t>PROGRAMA: COORDINACIÓN, GESTIÓN Y ADMINISTRACIÓN DE LA DIRECCIÓN DE ASESORÍA TÉCNICA Y PLANEAMIENTO URBANO</t>
  </si>
  <si>
    <r>
      <t xml:space="preserve">OBJETIVO: </t>
    </r>
    <r>
      <rPr>
        <sz val="10"/>
        <color indexed="8"/>
        <rFont val="Arial Narrow"/>
        <family val="2"/>
      </rPr>
      <t>Asesorar en materia del planeamiento urbano. Alcanzar un desarrollo y crecimiento de la urbanización en la ciudad enmarcado en un contexto de planificación y ordenamiento territorial.</t>
    </r>
  </si>
  <si>
    <t>UNIDAD EJECUTORA: Asesoría Técnica y Planeamiento Urbano.</t>
  </si>
  <si>
    <t>PROGRAMA: COORDINACIÓN, GESTIÓN Y ADMINISTRACIÓN DE LA DIRECCIÓN DE INFRAESTRUCTURA</t>
  </si>
  <si>
    <r>
      <t>OBJETIVO:</t>
    </r>
    <r>
      <rPr>
        <b/>
        <sz val="10"/>
        <color indexed="10"/>
        <rFont val="Arial Narrow"/>
        <family val="2"/>
      </rPr>
      <t xml:space="preserve">  </t>
    </r>
    <r>
      <rPr>
        <sz val="10"/>
        <color indexed="8"/>
        <rFont val="Arial Narrow"/>
        <family val="2"/>
      </rPr>
      <t>El relvamiento y desarrollo de los proyectos de Infraestructura Urbana. Detectando las obras faltantes por zona o sector y gestionando ante los organismos pertinentes las autorizaciones y trámites previos para su ejecución. La planificación de la infraestructura en nuevos desarrollos urbanos, y la capacidad para la provisión del suministro correspondiente.</t>
    </r>
  </si>
  <si>
    <t>UNIDAD EJECUTORA: Dirección de Infraestructura.</t>
  </si>
  <si>
    <t>Útiles y/o Insumos Técnicos -  Profesional</t>
  </si>
  <si>
    <t>PROGRAMA: COORDINACIÓN, GESTIÓN Y ADMINISTRACIÓN DE LA DIRECCIÓN DE OBRAS PRIVADAS</t>
  </si>
  <si>
    <r>
      <rPr>
        <b/>
        <sz val="10"/>
        <color indexed="8"/>
        <rFont val="Arial Narrow"/>
        <family val="2"/>
      </rPr>
      <t>OBJETIVOS:</t>
    </r>
    <r>
      <rPr>
        <sz val="10"/>
        <color indexed="8"/>
        <rFont val="Arial Narrow"/>
        <family val="2"/>
      </rPr>
      <t xml:space="preserve"> Son fines esenciales de la Dirección el  CONTROL, CONCIENTIZACIÓN Y REACAUDACIÓN DE LOS TRIBUTOS PREVISTOS EN LA ORDENANZA TARIFARIA. La mejora constante de la Base de Datos de la Contribución sobre Inmuebles, incorporando los metros contruidos que se delcaran. La realización de operativos y patrullajes permanentes para la inspección ocular de obras, detección de incumplimientos al Código de Edificación y su normalización; así como la adopción de medidas de seguridad en obras. </t>
    </r>
  </si>
  <si>
    <t>UNIDAD EJECUTORA: Dirección de Obras Privadas.</t>
  </si>
  <si>
    <t>PROGRAMA: COORDINACIÓN, GESTIÓN Y ADMINISTRACIÓN DE LA DIRECCIÓN DE CATASTRO</t>
  </si>
  <si>
    <r>
      <t xml:space="preserve">OBJETIVO: </t>
    </r>
    <r>
      <rPr>
        <sz val="10"/>
        <color indexed="8"/>
        <rFont val="Arial Narrow"/>
        <family val="2"/>
      </rPr>
      <t>Organizar, actualizar y gestionar el catastro municipal de inmuebles, en especial el control y seguimiento de las construcciones y la presentación de la planimetría correspondiente. Mejorar e implementar nuevas herramientas tecnológicas para actualizar de manera ágil y eficiente el sistema informático y base de datos. Suministrar información territorial a otras áreas municipales que lo requieran para, entre otras necesidades, la planificación de la obra pública, y privada y la adecuada implementación de políticas diferentes políticas, entre ellas territoriales y ambientales.</t>
    </r>
  </si>
  <si>
    <t>PROGRAMA: COORDINACIÓN, GESTIÓN Y ADMINISTRACIÓN DE LA DIRECCIÓN DE ESPACIOS PÚBLICOS</t>
  </si>
  <si>
    <t>UNIDAD EJECUTORA: Dirección de Espacios Públicos.</t>
  </si>
  <si>
    <r>
      <t>OBJETIVO:</t>
    </r>
    <r>
      <rPr>
        <sz val="10"/>
        <color indexed="8"/>
        <rFont val="Arial Narrow"/>
        <family val="2"/>
      </rPr>
      <t xml:space="preserve"> Llevar a cabo la planificación y control del embellecimiento urbano. Satisfacer y dar respuesta a la problemática que se plantee sobre servicios públicos (recolección, riego, barrido y mantenimiento de todos los espacios públicos), y su control. Brindar asistencia a las instituciones educativas, sociales, culturales, etc. A través de la trasnferencias de materiales y/o trabajos públicos que se demanden. </t>
    </r>
  </si>
  <si>
    <t>PROGRAMA: COORDINACIÓN, GESTIÓN Y ADMINISTRACIÓN DE LA DIRECCIÓN DE AMBIENTE Y SANEAMIENTO</t>
  </si>
  <si>
    <r>
      <rPr>
        <b/>
        <sz val="10"/>
        <rFont val="Arial Narrow"/>
        <family val="2"/>
      </rPr>
      <t>OBJETIVO</t>
    </r>
    <r>
      <rPr>
        <sz val="10"/>
        <rFont val="Arial Narrow"/>
        <family val="2"/>
      </rPr>
      <t>: Desarrollar y ejecutar acciones para optimizar las condiciones ambientales de la ciudad, garantizando una mejor calidad de vida de los vecinos. Mantenimiento y recuperación de los Inmuebles y Espacios Públicos de uso de la comunidad. Desmalezamiento, limpieza, forestación y poda de los distintos espacios verdes de la ciudad (plazas, plazoletas, canteros, boulevares, predio ferro-urbanístico) y su arbolado público. Difundir los roles que desempeñan las áreas naturales, a fin de concientizar sobre la necesidad de conservarlas, promocionando, además, los beneficios del arbolado público y su cuidado. Educar a la población en temas de saneamiento ambiental y la importancia del manejo adecuado de los desechos. Generar y formar conciencia y responsabilidad frente a las acciones que impactan al ambiente .Promocionar la adquisición de conocimientos y actitudes en el proceso de separación de los desechos domiciliarios. Desde la propuesta Separe en Casa se procura lograr el hábito de la separación domiciliaria de los RSU y disminuir el porcentaje de residuos eliminados. Erradicar los basurales clandestinos, dar tratamiento de los residuos sólidos urbanos disponiendo de los mismos en forma ambientalmente adecuada. Erradicar basurales instalados en distintos barrios de la ciudad mediante la creación de Puntos Limpios, espacios destinados para que los vecinos depositen en ellos los residuos inorgánicos en forma clasificada. Controlar las plagas urbanas que puede generar dicha actividad y garantizar un ambiente urbano saludable. Preservar el medio natural con las modificaciones imprescindibles, posibilitando el acceso del público al escenario que ofrece nuestro paisaje local, mediante actividades recreativas, educativas, de investigación y de extensión de modo sustentable. Lograr que el relleno sanitario tenga una vida útil mayor. Lograr la implementación de procesos de manejo de desechos a través de la creación de microempresas, bajo la perspectiva de generación de empleo y sostenibilidad.</t>
    </r>
  </si>
  <si>
    <t>UNIDAD EJECUTORA: Dirección de Ambiente y Saneamiento.</t>
  </si>
  <si>
    <t>1308-01</t>
  </si>
  <si>
    <t>1308-02</t>
  </si>
  <si>
    <t>1308-03</t>
  </si>
  <si>
    <t>COSTO TOTAL SUBPROGRAMA Incluido en el Programa 1308</t>
  </si>
  <si>
    <t>2.1.1.4.02.16</t>
  </si>
  <si>
    <t>Transferencias-Trabajo Público en Obras de Infraestructura por FOPOI</t>
  </si>
  <si>
    <t>PROGRAMA: COORDINACIÓN, GESTIÓN Y ADMINISTRACIÓN DE LA DIRECCIÓN DE CORRALÓN MUNICIPAL</t>
  </si>
  <si>
    <r>
      <t xml:space="preserve">OBJETIVO: </t>
    </r>
    <r>
      <rPr>
        <sz val="10"/>
        <color indexed="8"/>
        <rFont val="Arial Narrow"/>
        <family val="2"/>
      </rPr>
      <t xml:space="preserve"> Dar pronta y ágil respuesta a las demandas de servicios y tareas de la Secretaría, a fin de satisfacer en forma oportuna los requerimientos y necesidades de los vecinos. Procurar los medios y Recursos para mantener en buenas condiciones espacios y obras de nuestra ciudad, contemplando también el mantenimiento de calles de pavimento y de tierra. Coordinar y gestionar las áreas de servicios generales, tales como taller de reparaciones y carpintería. Ejecutar las actividades relacionadas con el Cementerio La Piedad. Conservación de luminarias y semáforos.</t>
    </r>
  </si>
  <si>
    <t>UNIDAD EJECUTORA: Dirección de Corralón.</t>
  </si>
  <si>
    <t>JEFE DE PROGRAMA: Sr. Omar RABAGLIO.</t>
  </si>
  <si>
    <r>
      <rPr>
        <b/>
        <sz val="10"/>
        <rFont val="Arial Narrow"/>
        <family val="2"/>
      </rPr>
      <t>OBJETIVOS:</t>
    </r>
    <r>
      <rPr>
        <sz val="10"/>
        <rFont val="Arial Narrow"/>
        <family val="2"/>
      </rPr>
      <t xml:space="preserve"> Asistir al Intendente en la articulación de todas las acciones de las Secretarías, Entes, Organismos y demás dependencias Municipales tendientes a facilitar la vinculación con los vecinos, a través del trabajo transversal y territorial. Coordinar las acciones y programas de las distintas dependencias municipales. Asistir al Intendente en todo lo referido al gobierno político y a las relaciones institucionales. Coordinar las acciones transversales de las areas municipales para llevar adelante la bajada territorial del intendente a  los Barrios de la Ciudad. De esta manera, se traslada el gabinete municipal con representantes de las distintas secretarías atendiendo a los vecinos con sus inquietudes, consultas, reclamos o sugerencias Posteriormente, se dará respuesta desde las áreas involucradas a las demandas recibidas. Esta actividad será ejecutada a través de Gabinete Descentralizado. Bajo su órbita se encuentra el funcionamiento y operativdad del Aeropuerto Municipal. </t>
    </r>
  </si>
  <si>
    <r>
      <rPr>
        <b/>
        <sz val="10"/>
        <rFont val="Arial Narrow"/>
        <family val="2"/>
      </rPr>
      <t>OBJETIVOS:</t>
    </r>
    <r>
      <rPr>
        <sz val="10"/>
        <rFont val="Arial Narrow"/>
        <family val="2"/>
      </rPr>
      <t xml:space="preserve"> Asistir al Sr. Intendente, propiciando la articulación institucional en las cuestiones legales y al despacho general de la municipalidad. Coordinar la de Mesa de Entradas, Registros y Trámites. Producir opinión legal y/o jurídica en todo asunto en que tenga intervención el Municipio, mediante decreto o resolución. Coordinar la Jefatura de Despacho y el Archivo Municipal. Entender en la edición oficial y en la compilación e información sistematizada de la legislación municipal. Confección de todo instrumento en que la Municipalidad se comprometa en obligaciones de dar, hacer o no hacer y sea requerida su documentación por escrito. Coordinar los procedimientos y expedientes Concursos, Admisiones y Sumarios. La responsabilidad sobre la legalidad y actividad judicial del municipio, por la COM, recae sobre la Asesoría Letrada,  razón por la cual se debe generar un mecanismo de control de actuaciones y generación de directivas generales, de manera tal que no existan actos individuales (de abogados) que puedan comprometer la actividad administrativa de la gestión, el patrimonio municipal y la responsabilidad personal de los titulares de la Asesoría Letrada. Se pretende tener la iniciativa de organizar reuniones periódicas con las Asesorías Letradas de los distintos municipios de la provincia.</t>
    </r>
  </si>
  <si>
    <r>
      <rPr>
        <b/>
        <sz val="10"/>
        <rFont val="Arial Narrow"/>
        <family val="2"/>
      </rPr>
      <t>OBJETIVOS:</t>
    </r>
    <r>
      <rPr>
        <sz val="10"/>
        <rFont val="Arial Narrow"/>
        <family val="2"/>
      </rPr>
      <t xml:space="preserve"> Tender puentes de comunicación, establecer vínculos y trabajo conjunto con ONG's e instituciones de diferente índole. Lograr mayor representatividad del Gobierno Municipal y una mejora en la relación de éste con la sociedad civil. Colaborar e interactuar con quienes integran el registro de entidades intermedias. Promover y potenciar el trabajo asociativo. Utilizar para el logro de objetivos distintas herramientas como: mesas de diálogos, debates, foros, talleres de capacitación, intercambios de experiencia, conferencias.</t>
    </r>
  </si>
  <si>
    <t>PROGRAMA: CONSEJO MUNICIPAL PARA LA PREVENCIÓN DE LAS ADICCIONES Y U.I.S.P.</t>
  </si>
  <si>
    <r>
      <t xml:space="preserve">OBJETIVOS:  </t>
    </r>
    <r>
      <rPr>
        <sz val="10"/>
        <rFont val="Arial Narrow"/>
        <family val="2"/>
      </rPr>
      <t xml:space="preserve">Procurar el diseño participativo y la gestión asociada de políticas, programas y cursos de acción que permitan implementar un eje y estrategias de abordaje intersectorial y de conjunto tendiente a lograr resultados satisfactorios en la promoción de la salud y prevención contra el flagelo del uso indebido de sustancias Psicoactivas (U.I.S.P) y las adicciones de cualquier tipo. Firmar convenios de cooperación técnica y profesional con instituciones y organismos provinciales, nacionales e internacionales. Fomentar la creación de espacios de inclusión, participación, deportivos, culturales, lúdicos, laborales que colaboren con los proyectos de vida de niños, jóvenes y adolescentes de nuestra ciudad.  Promover y favorecer la capacitación de equipos de salud y comunidad en general.  Facilitar y promover la capacitación para la formación de jóvenes monitores en los distintos ámbitos, escuela, clubes etc.  Brindar contención y asesoramiento para padres y familias afectadas por la problemática. Fomentar la creación de centros de prevención barriales, escolares, deportivos, iglesias, etc. </t>
    </r>
  </si>
  <si>
    <t>PROGRAMA: CONSEJOS MUNICIPALES DE PARTIDOS POLÍTICOS, DE VALORES HUMANOS Y DE RESPONSABILIDAD SOCIAL</t>
  </si>
  <si>
    <r>
      <t xml:space="preserve">OBJETIVOS: </t>
    </r>
    <r>
      <rPr>
        <sz val="10"/>
        <rFont val="Arial Narrow"/>
        <family val="2"/>
      </rPr>
      <t xml:space="preserve"> Asesorar a los poderes Ejecutivo y Legislativo en temas referidos al regimen electoral y de Partidos Politicos, o bien sobre aquellos que  asi se le requieran. Contribuir a la formulacion de coincidencias entre las distintas correintes politicas sobre temas de relvancia.  Fomentar la intervencion de los Partidos Políticos en los asuntos de interés general, la formación y capacitación de los cuadros  dirigentes de los mismos y la fluída participación partidaria. Crear en la sociedad una conciencia creciente acerca de los valores y los problemas éticos.  Contribuir a un mayor conocimiento acerca del desarrollo de valores humanos en nuestra cultura contemporánea.  Identificar desafíos actuales en materia ética de la sociedad y discutir posibles respuestas. Promover que los diferentes sectores de la sociedad se integren a este debate. Promover el desarrollo sustentable, contribuir a un nuevo paradigma en la Responsabilidad Social, en donde el Estado asume el rol fundamental de planificar los lineamientos estrategicos en esta materia. Profundizar el compromiso, la participación y el protagonismo ciudadano. Consensuar una idea de bien común, generar sinergias y lenguajes compartidos entre los distintos sectores; teniendo como objetivo una sociedad mas justa.  Fomentar el desarrollo de actividades, tendientes a la formacion y capacitacion sobre responsabilidad social, así como generar programas especificos de acompañamiento a las organizaciones. </t>
    </r>
  </si>
  <si>
    <r>
      <t>OBJETIVOS:</t>
    </r>
    <r>
      <rPr>
        <sz val="10"/>
        <rFont val="Arial Narrow"/>
        <family val="2"/>
      </rPr>
      <t xml:space="preserve"> Promover, planificar y gestionar la vinculación técnica y financiera con organismos y organizaciones internacionales, estableciendo convenios, acuerdos y alianzas que contribuyan con los prog. prioritarios y proyectos estratégicos del Municipio. Posicionar a la ciudad de Villa María como protagonista de los cambios y agendas a escala internacional en materia  de educación, de desarrollo sostenible, seguridad.</t>
    </r>
  </si>
  <si>
    <r>
      <rPr>
        <b/>
        <sz val="10"/>
        <rFont val="Arial Narrow"/>
        <family val="2"/>
      </rPr>
      <t xml:space="preserve">OBJETIVOS: </t>
    </r>
    <r>
      <rPr>
        <sz val="10"/>
        <rFont val="Arial Narrow"/>
        <family val="2"/>
      </rPr>
      <t>Contribuir en la definición e implementación d eplanes estratégicos en materia de innovación, modernización y desarrollo tecnológico de la administración pública local. Confeccionar y gestionar proyectos en tecnologías de la información y comunicaciones. Asesorar a las areas del Municipio en implementacion de base tecnológica. Planificar y coordinar el desarrollo y/o implementación de las tecnologías de información y comunicaciones en el gobierno.</t>
    </r>
  </si>
  <si>
    <r>
      <rPr>
        <b/>
        <sz val="10"/>
        <rFont val="Arial Narrow"/>
        <family val="2"/>
      </rPr>
      <t>OBJETIVOS:</t>
    </r>
    <r>
      <rPr>
        <sz val="10"/>
        <rFont val="Arial Narrow"/>
        <family val="2"/>
      </rPr>
      <t xml:space="preserve"> Orientar, informar y gestionar la solución de problemas, conflictos y denuncias realizadas por los ciudadanos. Establecer una comunicación dinámica entre la Municipalidad de Villa María y los Vecinos.Brindar una mayor celeridad en los plazos de cumplimiento del reclamo, dinamizando la interrelación con las distintas áreas municipales mediante el seguimiento a través de la red informática. Coordinación de acciones de información y gestión con el área de Tránsito, Defensa Civil, Sistemas de Urgencias y Emergencias del área Salud y Bomberos Voluntarios. Desde el servicio de Mediación Comunitaria mejorar la convivencia vecinal y capacitar a la Comunidad Educativa en la prevención y resolución de conflictos dentro de su ámbito.</t>
    </r>
  </si>
  <si>
    <t>PROGRAMA: COORDINACIÓN DE POLÍTICAS DE VINCULACIÓN COMUNITARIA  Y PARTICIPACIÓN VECINAL</t>
  </si>
  <si>
    <r>
      <rPr>
        <u/>
        <sz val="9"/>
        <rFont val="Arial Narrow"/>
        <family val="2"/>
      </rPr>
      <t>DURACIÓN ESTIMADA:</t>
    </r>
    <r>
      <rPr>
        <sz val="9"/>
        <rFont val="Arial Narrow"/>
        <family val="2"/>
      </rPr>
      <t xml:space="preserve"> 12 meses.</t>
    </r>
  </si>
  <si>
    <t>PROGRAMA: COORDINACIÓN DE POLÍTICAS DE EMPLEO</t>
  </si>
  <si>
    <t>1111</t>
  </si>
  <si>
    <r>
      <rPr>
        <b/>
        <sz val="10"/>
        <rFont val="Arial Narrow"/>
        <family val="2"/>
      </rPr>
      <t>OBJETIVOS</t>
    </r>
    <r>
      <rPr>
        <sz val="10"/>
        <rFont val="Arial Narrow"/>
        <family val="2"/>
      </rPr>
      <t>: El objetivo principal radica en lograr una proximidad territorial con la comunidad a través  de acciones que tiendan a cambiar y mejorar la realidad y la vida de las personas del barrio. Lograr una presencia permanente del Estado Municipal con políticas públicas que son diagramadas a partir de las demandas del sector, a través de la participación ciudadana, lo que genera una decisión retro alimentada entre lo que el vecino planifica y el Estado les otorga como ciudadanos. Continuar con el trabajo conjunto entre el municipio e instituciones barriales en la recuperación y revalorización de aquellos espacios de uso común que lo ameritaban, en una jornada laboral de día completo. Con dicha iniciativa se pretende atender este problema puntual y ademas fortalecer los vínculos con el Consejo Barrial y los Vecinos, compartir una jornada de trabajo comunitario y revalorizar estos espacios que ellos mismos recuperan y posteriormente cuidan.</t>
    </r>
  </si>
  <si>
    <t>PROGRAMA: COORDINACIÓN DE POLÍTICAS DE DESCENTRALIZACIÓN Y ABORDAJE TERRITORIAL E IDENTIDAD</t>
  </si>
  <si>
    <r>
      <rPr>
        <b/>
        <sz val="10"/>
        <rFont val="Arial Narrow"/>
        <family val="2"/>
      </rPr>
      <t>OBJETIVOS:</t>
    </r>
    <r>
      <rPr>
        <sz val="10"/>
        <rFont val="Arial Narrow"/>
        <family val="2"/>
      </rPr>
      <t xml:space="preserve"> Planificar, evaluar y ejecutar las políticas implementadas por el Ejecutivo Municipal. Administrar los bienes municipales, realizar las obras públicas y prestar los servicios públicos de naturaleza e interés municipal. Definir estrategias y ejercer el poder decisorio, a fin de conducir las acciones conjuntas de las áreas hacia el logro de los objetivos planteados en la Plataforma de Gobierno. Dar respuestas a las demandas ciudadanas y de las instituciones planteadas en los observatorios, con observancia  de las recomendaciones de  la Jefatura de Asesores.</t>
    </r>
  </si>
  <si>
    <r>
      <rPr>
        <b/>
        <sz val="10"/>
        <rFont val="Arial Narrow"/>
        <family val="2"/>
      </rPr>
      <t>OBJETIVOS:</t>
    </r>
    <r>
      <rPr>
        <sz val="10"/>
        <rFont val="Arial Narrow"/>
        <family val="2"/>
      </rPr>
      <t xml:space="preserve"> Controlar la legalidad y motivación de los gastos, visando u observando las órdenes de pago. Intervenir en todos los actos administrativos que dispongan gastos, en forma previa a la realización de éstos y al solo efecto del control de la legalidad de la erogación. Resolver sobre las Ejecuciones Presupuestarias Timestrales. Dictaminar sobre el Balance General del Estado Municipal, Inst. Municipal de la Vivienda, Inst. Municipal de Inversión y Escuela Granja los Amigos. Presidir en el seno del Tribunal de Cuentas, las aperturas de sobres de las ofertas en concursos de precios y licitaciones privadas.</t>
    </r>
  </si>
  <si>
    <t>SUBPROGRAMA: ORGANIZACIÓN DE EVENTOS, CEREMONIAL  Y PROTOCOLO</t>
  </si>
  <si>
    <r>
      <rPr>
        <b/>
        <sz val="10"/>
        <rFont val="Arial Narrow"/>
        <family val="2"/>
      </rPr>
      <t>OBJETIVO:</t>
    </r>
    <r>
      <rPr>
        <sz val="10"/>
        <rFont val="Arial Narrow"/>
        <family val="2"/>
      </rPr>
      <t xml:space="preserve"> Instrumentar los mecanismos correspondientes al ceremonial y protocolo municipal, y la organización de eventos.</t>
    </r>
  </si>
  <si>
    <r>
      <rPr>
        <b/>
        <sz val="10"/>
        <rFont val="Arial Narrow"/>
        <family val="2"/>
      </rPr>
      <t>OBJETIVO:</t>
    </r>
    <r>
      <rPr>
        <sz val="10"/>
        <rFont val="Arial Narrow"/>
        <family val="2"/>
      </rPr>
      <t xml:space="preserve"> Las políticas públicas destinadas a la población juvenil de nuestra ciudad deben promover las condiciones para la participación libre y eficaz de la juventud en el desarrollo político, socioeconómico y cultural. Es necesario desarrollar herramientas y técnicas para la investigación, acción-participación para la definición y diseño de las políticas de juventud, garantizando la unidad de criterios con las realidades en que está inmerso el contexto social. El deporte y los espacios de recreación son herramientas de inclusión social como así también una forma de generar identidad con la comunidad, destacando la importancia de los valores educativos y de participación.</t>
    </r>
  </si>
  <si>
    <r>
      <rPr>
        <b/>
        <sz val="10"/>
        <rFont val="Arial Narrow"/>
        <family val="2"/>
      </rPr>
      <t>OBJETIVOS:</t>
    </r>
    <r>
      <rPr>
        <sz val="10"/>
        <rFont val="Arial Narrow"/>
        <family val="2"/>
      </rPr>
      <t xml:space="preserve"> Instrumentar los mecanismos correspondientes al ceremonial y protocolo municipal, y la organización de eventos. Fortalecer el crecimiento conjunto de la comunidad, a través de la promoción de la creatividad artística y la cultura. Ampliar el proyecto Feria del Libro Villa María, diseñando un festival más amplio, trascendiendo la cultura del libro, expandiendo las más variadas producciones culturales. Diseñar espacios variados específicamente construidos para la presentación de muestras interactivas, instalaciones sonoras, exposiciones de  arte y fotografía, espectáculos  teatrales, de humor y musicales. Visitas y conferencias de figuras representativas de la ciudad, de la provincia  y el país. Desarrollar actividades didácticas, interactivas y sensoriales; que apunten al disfrute y a la ampliación del conocimiento a través de la propia experiencia. Ensamblar actividades que se relacionan de una manera más directa con la cultura del libro: ilustración, poesía, narración, historieta. Sumar un espacio de variadas ofertas gastronómicas a disposición de participantes y visitantes durante todos los días del Festival. Posicionar a la ciudad de Villa María, como Ciudad del Aprendizaje. Promover la permanencia y continuidad del Festival como un hito educativo, cultural y turístico de la ciudad; con el cual los vecinos puedan identificarse y replicar sus experiencias, que promueva la participación y profundice la inclusión.</t>
    </r>
  </si>
  <si>
    <r>
      <rPr>
        <b/>
        <sz val="10"/>
        <rFont val="Arial Narrow"/>
        <family val="2"/>
      </rPr>
      <t>OBJETIVOS:</t>
    </r>
    <r>
      <rPr>
        <sz val="10"/>
        <rFont val="Arial Narrow"/>
        <family val="2"/>
      </rPr>
      <t xml:space="preserve"> Planificar, dirigir e instrumentar los programas de medios, difundiendo las acciones del las áreas que lo componen. Desarrollar las campañas sobre políticas públicas de acuerdo a los objetivos y prioridades que determine el DEM. La coordinación y realización de las impresiones y reproducciones de uso interno del Municipio y sus dependencias.</t>
    </r>
  </si>
  <si>
    <r>
      <rPr>
        <b/>
        <sz val="10"/>
        <rFont val="Arial Narrow"/>
        <family val="2"/>
      </rPr>
      <t>OBJETIVO:</t>
    </r>
    <r>
      <rPr>
        <sz val="10"/>
        <rFont val="Arial Narrow"/>
        <family val="2"/>
      </rPr>
      <t xml:space="preserve"> Fortalecer el vínculo comunicacional con los vecinos, informando a los ciudadanos acerca de actos, acciones e instrumentación de programas de gobierno.</t>
    </r>
  </si>
  <si>
    <t>PROGRAMA: INNOVACIÓN DEL ESTADO Y TRANSPARENCIA - GOBIERNO ABIERTO - CIUDAD INTELIGENTE</t>
  </si>
  <si>
    <r>
      <t xml:space="preserve">OBJETIVOS: </t>
    </r>
    <r>
      <rPr>
        <sz val="10"/>
        <rFont val="Arial Narrow"/>
        <family val="2"/>
      </rPr>
      <t>Se ejecutarán políticas de transformación en la Ciudad mediante proyectos orientados al desarrollo  innovador de activos estratégicos para el desarrollo institucional, la generación de empleo, educación e inclusión social; enfocándose a una gestión de gobierno transparente, abierto, buscando la mejora en la atención al ciudadano.</t>
    </r>
  </si>
  <si>
    <t>1005</t>
  </si>
  <si>
    <t>PROGRAMA: PLAN DE METAS Y LABORATORIO SOCIAL</t>
  </si>
  <si>
    <r>
      <t xml:space="preserve">OBJETIVOS:  </t>
    </r>
    <r>
      <rPr>
        <sz val="10"/>
        <rFont val="Arial Narrow"/>
        <family val="2"/>
      </rPr>
      <t xml:space="preserve">Fomentar espacios de cocreación y colaboración que generen proyectos e iniciativas de innovación y promuevan cambios positivos deben ser prioridad de la política pública local. Por ello, en los laboratorios de innovación social de manera conjunta, todos los actores sociales construyen productos, servicios o métodos que les permitan a las comunides solucionar sus necesidades. </t>
    </r>
  </si>
  <si>
    <r>
      <rPr>
        <b/>
        <sz val="10"/>
        <rFont val="Arial Narrow"/>
        <family val="2"/>
      </rPr>
      <t>OBJETIVOS:</t>
    </r>
    <r>
      <rPr>
        <sz val="10"/>
        <rFont val="Arial Narrow"/>
        <family val="2"/>
      </rPr>
      <t xml:space="preserve"> Dirigir el accionar en casos de desastres naturales o provocados por el hombre, así como la instrucción y prevención a la población. Receptar inquietudes de los vecinos en situación de emergencia y actuar como nexo comunicacional para la mejor atención y resolución de las mismas por parte de las instituciones involucradas. Coordinar la Defensa Civil con otros organismos de similar desempeño en distintos estamentos estatales como, la Dirección de Defensa Civil de la Provincia de Córdoba y la Secretaría de Protección Civil y Abordaje Integral de Emergencias y Catástrofes.</t>
    </r>
  </si>
  <si>
    <r>
      <rPr>
        <b/>
        <sz val="10"/>
        <rFont val="Arial Narrow"/>
        <family val="2"/>
      </rPr>
      <t>OBJETIVOS:</t>
    </r>
    <r>
      <rPr>
        <sz val="10"/>
        <rFont val="Arial Narrow"/>
        <family val="2"/>
      </rPr>
      <t xml:space="preserve"> Diseño y fomento de programas y espacios necesarios que ayuden a innovar en políticas públicas destinadas a satisfacer demandas de los tiempos actuales. Crear espacios en donde el trabajo colaborativo arroje resultados de participación  ciudadana de los diferentes sectores profesionales que cntribuyan a buscar soluciones integrales. La creación de espacios de innovación contribuye a que el estado pueda adaptarse a los avances tecnológicos y sociales que se producen, con el objetivo de lograr gestiones en todos sus ámbitos.</t>
    </r>
  </si>
  <si>
    <t>PROGRAMA: ASISTENCIA A INSTITUCIONES Y PERSONAS. VINCULACIÓN CON LOS ENTES Y SOCIEDADES CON PARTICIPACION ESTATAL</t>
  </si>
  <si>
    <r>
      <rPr>
        <b/>
        <sz val="10"/>
        <rFont val="Arial Narrow"/>
        <family val="2"/>
      </rPr>
      <t>OBJETIVO:</t>
    </r>
    <r>
      <rPr>
        <sz val="10"/>
        <rFont val="Arial Narrow"/>
        <family val="2"/>
      </rPr>
      <t xml:space="preserve"> Desarrollar un trabajo conjunto con las Instituciones y Personas de la ciudad, con el fin de promover programas y proyectos que tienen por objetivo mejorar y transformar  la calidad de vida de los ciudadanos villamarienses.</t>
    </r>
  </si>
  <si>
    <t>2.3.1.1.02.10</t>
  </si>
  <si>
    <t>Fondo de Asist. Fciera. para Municipios y Comunas</t>
  </si>
  <si>
    <t>autóctonas.</t>
  </si>
  <si>
    <t>FECHA DE INICIO: 01/01/2020.</t>
  </si>
  <si>
    <t>JEFE DE PROGRAMA: A designar.</t>
  </si>
  <si>
    <r>
      <rPr>
        <b/>
        <sz val="10"/>
        <rFont val="Arial Narrow"/>
        <family val="2"/>
      </rPr>
      <t>OBJETIVOS</t>
    </r>
    <r>
      <rPr>
        <sz val="10"/>
        <rFont val="Arial Narrow"/>
        <family val="2"/>
      </rPr>
      <t>: Lograr la mayor participación ciudadana a partir de mejorar la comunicación y difusión externa de las ctividades institucionales con el uso de nuevas tecnologías y la programación de actividades comunicacionales con los medios de prensa locales y actores sociales.</t>
    </r>
  </si>
  <si>
    <r>
      <rPr>
        <b/>
        <sz val="10"/>
        <rFont val="Arial Narrow"/>
        <family val="2"/>
      </rPr>
      <t xml:space="preserve">OBJETIVOS: </t>
    </r>
    <r>
      <rPr>
        <sz val="10"/>
        <rFont val="Arial Narrow"/>
        <family val="2"/>
      </rPr>
      <t>Coordinar y garantizar el funcionamiento de las diferentes áreas que conforman el Concejo Deliberante, para su mejor desempeño. Desarrollo eficiente de la gestión administrativa interna y externa garantizando el acceso a los recursos disponibles. Desarrollo eficaz en la comunicación interna con el uso de tecnología. Seguimiento de los trámites, presentaciones de documentos públicos, con la utilización de nueva tecnología.</t>
    </r>
  </si>
  <si>
    <t>JEFE DE PROGRAMA: Ab. Mauro Gabriel BELTRAMI.</t>
  </si>
  <si>
    <r>
      <rPr>
        <b/>
        <sz val="10"/>
        <rFont val="Arial Narrow"/>
        <family val="2"/>
      </rPr>
      <t>OBJETIVO:</t>
    </r>
    <r>
      <rPr>
        <sz val="10"/>
        <rFont val="Arial Narrow"/>
        <family val="2"/>
      </rPr>
      <t xml:space="preserve"> Participación activa en los Municercas, Centros Vecinales y de Jubilados con el fin de recepcionar las inquietudes de los vecinos y dar prontas respuestas. Promover la defensa y protección de los derechos de niños, niñas y adolescentes, en especial en aquellos casos de violencia, abusos, explotación sexual y trabajo infantil. Organizción de cursos y talleres con instituciones para trabajar en los problemas de violencia y prevención de adicciones. Intervenir en los conflictos escolares a través de mediaciones. Poner en marcha el Programa "Transitando Calles, nos Cuidamos". Realizar una Campaña con ACOVIM, AERCA y demás instituciones, para tomar conocimiento de derechos y obligaciones del consumidor. Viabilizar la gestión de reclamos de los diferentes clubes deportivos de la Ciudad, con respecto a los impedimentos que se les presentan para acceder  a los programas nacionales y/o provinciales. Gestionar articuladamente con la Defensoría de la Nación y la Defensoría de la Pcia. de Córdoba.</t>
    </r>
  </si>
  <si>
    <r>
      <rPr>
        <b/>
        <sz val="10"/>
        <rFont val="Arial Narrow"/>
        <family val="2"/>
      </rPr>
      <t>OBJETIVOS:</t>
    </r>
    <r>
      <rPr>
        <sz val="10"/>
        <rFont val="Arial Narrow"/>
        <family val="2"/>
      </rPr>
      <t xml:space="preserve"> Brindar información y asesoramiento a los órganos del gobierno municipal respecto de temas socioeconómicos de la comunidad. Asistir a las audiencias públicas, presentar proyectos o planes de obras, servicios o trabajos, e integrar los organismos que la Carta Orgánica Municipal, u Ordenanzas, así lo prevean. </t>
    </r>
  </si>
  <si>
    <t>FECHA INICIO: 01/01/2020.</t>
  </si>
  <si>
    <t>JEFE DE SUBPROGRAMA: Juez PASCHETTO Héctor Hugo.</t>
  </si>
  <si>
    <t>JEFE DE PROGRAMA: Juez PASCHETTO Héctor Hugo - Juez ALICIARDI Julio César.</t>
  </si>
  <si>
    <t>JEFE DE SUBPROGRAMA: Juez ALICIARDI Julio César.</t>
  </si>
  <si>
    <t>JEFE DE PROGRAMA: A definir.</t>
  </si>
  <si>
    <t xml:space="preserve">JEFE DE PROGRAMA: A definir. </t>
  </si>
  <si>
    <t>JEFE DE PROGRAMA:  A definir.</t>
  </si>
  <si>
    <r>
      <t xml:space="preserve">OBJETIVO: </t>
    </r>
    <r>
      <rPr>
        <sz val="10"/>
        <rFont val="Arial Narrow"/>
        <family val="2"/>
      </rPr>
      <t>Gestión integral para el manejo de los recursos hídricos de la cuenca del Ctalamochita. Monitoreo</t>
    </r>
  </si>
  <si>
    <t>FECHA DE INICIO: 01/01/2019</t>
  </si>
  <si>
    <t>1310-01</t>
  </si>
  <si>
    <t>1310-02</t>
  </si>
  <si>
    <t>1310-03</t>
  </si>
  <si>
    <t>Ciclovías</t>
  </si>
  <si>
    <t>FECHA DE INICIO: 01/01/2020</t>
  </si>
  <si>
    <t>MANTENIMIENTO Y REVALORIZACION DE INMUEBLES MUNICIPALES</t>
  </si>
  <si>
    <t>2.2.1.2.01.18</t>
  </si>
  <si>
    <t>Ampliación y/o Mejora de Inmuebles Municipal</t>
  </si>
  <si>
    <t>CICLOVÍA (TRAMO BV. SARMIENTO - PARQUE PEREYRA Y DOMINGUEZ)</t>
  </si>
  <si>
    <t>2.2.1.2.02.10</t>
  </si>
  <si>
    <t>2.2.1.2.02.11</t>
  </si>
  <si>
    <t>Puentes, Pasos, Nexos y Obras Similares</t>
  </si>
  <si>
    <t xml:space="preserve">SUBRPOGRAMA:  PAVIMENTACION Y REPAVIMENTACION - OBRAS </t>
  </si>
  <si>
    <t>CORDÓN CUNETA</t>
  </si>
  <si>
    <t>SUBRPOGRAMA:  OBRAS DE INFRAESTRUCTURA BÁSICA</t>
  </si>
  <si>
    <t>NUEVA ESTACIÓN DE TRENES UNIÓN PEATONAL ENTRE CASCO CÉNTRICO Y</t>
  </si>
  <si>
    <t>PARQUE DE LA VIDA A TRAVÉS DE LA REFUNCIONALIZACIÓN DEL TÚNEL HERMANO SECCO</t>
  </si>
  <si>
    <t>EXTENCIÓN PEATONAL</t>
  </si>
  <si>
    <t>CENTRO COMERCIAL A CIELO ABIERTO MÁSTER PLAN ÁREA COMERCIAL -</t>
  </si>
  <si>
    <t>JEFE DE SUBPROGRAMA: A definir.</t>
  </si>
  <si>
    <r>
      <rPr>
        <b/>
        <sz val="10"/>
        <rFont val="Arial Narrow"/>
        <family val="2"/>
      </rPr>
      <t>OBJETIVOS:</t>
    </r>
    <r>
      <rPr>
        <sz val="10"/>
        <rFont val="Arial Narrow"/>
        <family val="2"/>
      </rPr>
      <t xml:space="preserve"> Realizar capacitaciones y cursos de formaciones en formulación de proyectos y promocion territorial. Esta dirijido a personal administrativo y dirijentes barriales o referentes, ligados a las instituciones del barrio  mas representativas del sector. Estas capacitaciones apuntarán a profundizar y desarrollar las habilidades personales de modo que aporten a la vida comunitaria del barrio y del Municerca. Continuar con el dictado de talleres, cuyo objetivo principal es brindar herramientas para el abordaje de los niños  generando un acercamiento que permita conocer su  realidad y desarrollar aquellas aptitudes en las que se muestren mas predispuesto.</t>
    </r>
  </si>
  <si>
    <r>
      <rPr>
        <b/>
        <sz val="10"/>
        <rFont val="Arial Narrow"/>
        <family val="2"/>
      </rPr>
      <t xml:space="preserve">OBJETIVOS: </t>
    </r>
    <r>
      <rPr>
        <sz val="10"/>
        <rFont val="Arial Narrow"/>
        <family val="2"/>
      </rPr>
      <t>Enteder en las relaciones con los Centros Vecinales y Organizaciones de Participación Ciudadana, promoviéndola activamente. Elaborar y ejecutar planes y programas para la promoción de los derechos civiles, políticos, económicos y comunitarios. Generar conciencia de fortalecimiento personal e institucional. Organizar la Fiesta del Día del Vecinalista.</t>
    </r>
  </si>
  <si>
    <r>
      <rPr>
        <b/>
        <sz val="10"/>
        <rFont val="Arial Narrow"/>
        <family val="2"/>
      </rPr>
      <t xml:space="preserve">OBJETIVOS: </t>
    </r>
    <r>
      <rPr>
        <sz val="10"/>
        <rFont val="Arial Narrow"/>
        <family val="2"/>
      </rPr>
      <t>Enteder en las relaciones entre la oferta y la demanda laborar que se presente en la ciudad de Villa María. Realizar los talleres de capacitación de jóvenes y adultos para su inserción laboral. Participar en la difusición y ser miembros partícipes en los programas nacionales y provinciales referidos al ámbito laboral, y ser colaboradoeres directo en los mismos.</t>
    </r>
  </si>
  <si>
    <t>1.</t>
  </si>
  <si>
    <t>RECURSOS</t>
  </si>
  <si>
    <t>INGRESOS CORRIENTES</t>
  </si>
  <si>
    <t>INGRESOS DE JURISDICCION MUNICIPAL</t>
  </si>
  <si>
    <t>INGRESOS TRIBUTARIOS</t>
  </si>
  <si>
    <t>01.</t>
  </si>
  <si>
    <t>Contribución sobre los Inmuebles</t>
  </si>
  <si>
    <t>Contribución sobre los Inmuebles del Ejercicio</t>
  </si>
  <si>
    <t>02.</t>
  </si>
  <si>
    <t>Contribución sobre los Inmuebles de Ejercicios Anteriores</t>
  </si>
  <si>
    <t>Impuesto sobre los Automotores, Acoplados y Similares</t>
  </si>
  <si>
    <t>Impuesto sobre los Automotores, Acoplados y Similares del Ejercicio</t>
  </si>
  <si>
    <t>Impuesto sobre los Automotores, Acoplados y Similares de Ejercicios Anteriores</t>
  </si>
  <si>
    <t>03.</t>
  </si>
  <si>
    <t>Contribución sobre la Actividad Comercial, Industrial y de Servicios</t>
  </si>
  <si>
    <t>Contribución sobre la Actividad Comercial, Industrial y de Servicios del Ejercicio</t>
  </si>
  <si>
    <t>Contribución sobre la Actividad Comercial, Industrial y de Servicios de Ejercicios Anteriores</t>
  </si>
  <si>
    <t>04.</t>
  </si>
  <si>
    <t>Tasa por Habilitación y Control de Antenas</t>
  </si>
  <si>
    <t>05.</t>
  </si>
  <si>
    <t>Contribución sobre Diversiones y Espectáculos Públicos</t>
  </si>
  <si>
    <t>06.</t>
  </si>
  <si>
    <t>Contribución sobre la Ocupación o Utilización de Espacios Públicos o de Uso Público</t>
  </si>
  <si>
    <t>07.</t>
  </si>
  <si>
    <t>Contribución Espacio Dominio Público</t>
  </si>
  <si>
    <t>08.</t>
  </si>
  <si>
    <t>Contribución sobre Ferias y Remates de Hacienda</t>
  </si>
  <si>
    <t>09.</t>
  </si>
  <si>
    <t>Contribución sobre los Cementerios</t>
  </si>
  <si>
    <t>10.</t>
  </si>
  <si>
    <t>Contribución sobre la Publicidad y Propaganda</t>
  </si>
  <si>
    <t>11.</t>
  </si>
  <si>
    <t>Contribución sobre Obras Privadas</t>
  </si>
  <si>
    <t>12.</t>
  </si>
  <si>
    <t>Contribución sobre Inspección Eléctrica y Mecánica y Suministro de Energía Eléctrica</t>
  </si>
  <si>
    <t>Por Consumo de Energía Eléctrica</t>
  </si>
  <si>
    <t>Por Inspección Eléctrica y Mecánica</t>
  </si>
  <si>
    <t>13.</t>
  </si>
  <si>
    <t>Derechos de Oficina</t>
  </si>
  <si>
    <t>14.</t>
  </si>
  <si>
    <t>Tasa Servicio Registro Civil</t>
  </si>
  <si>
    <t>15.</t>
  </si>
  <si>
    <t>Contribución por Mejoras</t>
  </si>
  <si>
    <t>Pavimento Construcción/Reconstrucción</t>
  </si>
  <si>
    <t>Pavimento Ejercicios Anteriores</t>
  </si>
  <si>
    <t>Gas por Redes</t>
  </si>
  <si>
    <t>Gas por Redes Ejercicios Anteriores</t>
  </si>
  <si>
    <t xml:space="preserve">Cordón Cuneta </t>
  </si>
  <si>
    <t>Cordón Cuneta Ejercicios Anteriores</t>
  </si>
  <si>
    <t>Iluminación/Alumbrado Público</t>
  </si>
  <si>
    <t>Iluminación/Alumbrado Público Ejercicios Anteriores</t>
  </si>
  <si>
    <t>Otras Contribuciones por Mejoras</t>
  </si>
  <si>
    <t>16.</t>
  </si>
  <si>
    <t>Inspección Sanitaria, Veterinaria, Bromatológica</t>
  </si>
  <si>
    <t>17.</t>
  </si>
  <si>
    <t>Otros Tributos</t>
  </si>
  <si>
    <t>Percepción Coop. 15 de Mayo por T.S.P.</t>
  </si>
  <si>
    <t>Contribución para el Financiamiento del Servicios de Salud Municipal</t>
  </si>
  <si>
    <t>Fondo p/Financiamiento de Obras Pcas. y Servicios Pcos. - FFOPSP</t>
  </si>
  <si>
    <t>Otros Tributos o Contribuciones</t>
  </si>
  <si>
    <t>2.</t>
  </si>
  <si>
    <t>OTROS INGRESOS NO TRIBUTARIOS</t>
  </si>
  <si>
    <t xml:space="preserve">Derechos </t>
  </si>
  <si>
    <t>Multas</t>
  </si>
  <si>
    <t>Multas de Tránsito</t>
  </si>
  <si>
    <t>Multas por Estacionamiento Medido</t>
  </si>
  <si>
    <t>Multas Varias por Servicios Bibliotecarios -  Biblioteca Municipal M. M.</t>
  </si>
  <si>
    <t>Multas Varias por Servicios Licitados y Concesionados</t>
  </si>
  <si>
    <t>Otras Multas</t>
  </si>
  <si>
    <t>Intereses y Recargos</t>
  </si>
  <si>
    <t>Intereses por Depósitos</t>
  </si>
  <si>
    <t>Intereses por Préstamos</t>
  </si>
  <si>
    <t>Intereses por Pago Fuera de Término (surge de multas-tributarias a la OGI)</t>
  </si>
  <si>
    <t xml:space="preserve">Otros Intereses Ganados </t>
  </si>
  <si>
    <t>Rentas del Patrimonio Municipal</t>
  </si>
  <si>
    <t>Cementerio Ampliación y Concesión</t>
  </si>
  <si>
    <t>Venta de Pliegos y otros</t>
  </si>
  <si>
    <t>Lo agregamos o no?</t>
  </si>
  <si>
    <t>Alquiler de Inmuebles</t>
  </si>
  <si>
    <t xml:space="preserve">Otras Rentas del Patrimonio Municipal </t>
  </si>
  <si>
    <t>Recuperos Varios</t>
  </si>
  <si>
    <t>Reintegros de Viáticos</t>
  </si>
  <si>
    <t>Reintegros O.S., A.R.T. y  similares</t>
  </si>
  <si>
    <t>Reintegros por Convenio Sistema GPRS</t>
  </si>
  <si>
    <t>Otros Reintegros Varios</t>
  </si>
  <si>
    <t>Otros Ingresos</t>
  </si>
  <si>
    <t>Eventuales e Imprevistos</t>
  </si>
  <si>
    <t>Aportes Fondo Permanente para Obras de Infraestructura - Fo.P.O.I</t>
  </si>
  <si>
    <t>Fondo para Reinversión Comunitaria</t>
  </si>
  <si>
    <t>Ingresos por Regímenes de Ordenanzas Varias</t>
  </si>
  <si>
    <t>Ingresos por Convenios Específicos- Ej. 4% que pago Villanueva</t>
  </si>
  <si>
    <t>Otros Ingresos no Tributarios</t>
  </si>
  <si>
    <t>Ingresos por Servicios de Estacionamiento Tarifado</t>
  </si>
  <si>
    <t>INGRESOS DE OTRAS JURISDICCIONES</t>
  </si>
  <si>
    <t>TRANSFERENCIAS CORRIENTES</t>
  </si>
  <si>
    <t>Transferencias desde el Sector Público Nacional, Provincial y Municipal</t>
  </si>
  <si>
    <t>PAMI</t>
  </si>
  <si>
    <t>Prog. Permanente Atención al Niño y la Flia.</t>
  </si>
  <si>
    <t>Ley 7077 Atención Permanente al Anciano</t>
  </si>
  <si>
    <t>Recursos Juegos de Azar</t>
  </si>
  <si>
    <t>Subsidios p/Organismos Diversos de Asistencia Social</t>
  </si>
  <si>
    <t>FO.VI.COR.</t>
  </si>
  <si>
    <t xml:space="preserve">Transferencias de la Provincia </t>
  </si>
  <si>
    <t>Transferencias de la Nación</t>
  </si>
  <si>
    <t xml:space="preserve">Otras Transferencias desde el Sector Público </t>
  </si>
  <si>
    <t>Trasferencias desde el Sector Privado</t>
  </si>
  <si>
    <t>Transferencias del Exterior</t>
  </si>
  <si>
    <t>PARTICIPACIÓN EN IMPUESTOS NACIONALES/PROVINCIALES</t>
  </si>
  <si>
    <t>Coparticipación Impositiva</t>
  </si>
  <si>
    <t>Fondo Federal Solidario</t>
  </si>
  <si>
    <t>FO.FIN.DES.</t>
  </si>
  <si>
    <t>Otras Participaciones en Impuestos</t>
  </si>
  <si>
    <t>INGRESOS DE CAPITAL</t>
  </si>
  <si>
    <t>INGRESOS PROPIOS DE CAPITAL</t>
  </si>
  <si>
    <t>VENTA DE BIENES PATRIMONIABLES</t>
  </si>
  <si>
    <t>Venta de Bienes Muebles Varios</t>
  </si>
  <si>
    <t>Venta de Bienes Inmuebles de Propiedad Municipal</t>
  </si>
  <si>
    <t xml:space="preserve">Venta de Tierras </t>
  </si>
  <si>
    <t xml:space="preserve">TRANSFERENCIAS </t>
  </si>
  <si>
    <t>TRANSFERENCIAS DE CAPITAL</t>
  </si>
  <si>
    <t>Transferencias desde la Provincia</t>
  </si>
  <si>
    <t>Transferencias desde la Nación</t>
  </si>
  <si>
    <t>3.</t>
  </si>
  <si>
    <t>FUENTES FINANCIERAS</t>
  </si>
  <si>
    <t>USO DEL CRÉDITO</t>
  </si>
  <si>
    <t>CRÉDITOS CON INSTITUCIONES BANCARIAS Y FINANCIERAS</t>
  </si>
  <si>
    <t>Créditos con Instituciones Bancarias y Financieras</t>
  </si>
  <si>
    <t>CRÉDITOS CON ORGANISMOS PÚBLICOS NACIONALES, PCIALES., MUNICIPALES</t>
  </si>
  <si>
    <t>Créditos con Organismos Nacionales</t>
  </si>
  <si>
    <t>Créditos con Organismos Provinciales</t>
  </si>
  <si>
    <t>Créditos con otros Organimos Pcos.</t>
  </si>
  <si>
    <t>CRÉDITOS CON ORGANISMOS INTERNACIONALES</t>
  </si>
  <si>
    <t>Créditos con Organismos Internacionales</t>
  </si>
  <si>
    <t>4.</t>
  </si>
  <si>
    <t>CRÉDITOS CON EL SECTOR PRIVADO</t>
  </si>
  <si>
    <t>Créditos con el Sector Privado</t>
  </si>
  <si>
    <t>5.</t>
  </si>
  <si>
    <t>COLOCACIÓN DE DEUDA / OTRO USO DEL CRÉDITO</t>
  </si>
  <si>
    <t>Colocación de Deuda</t>
  </si>
  <si>
    <t>Otro Uso del Crédito</t>
  </si>
  <si>
    <t xml:space="preserve">RECUPERO DE INVERSIONES Y PRÉSTAMOS </t>
  </si>
  <si>
    <t>DEL SECTOR PÚBLICO</t>
  </si>
  <si>
    <t>Recupero de Asistencia a Municipios y Entes Comunales</t>
  </si>
  <si>
    <t>Otros Recuperos de Préstamos o Aportes Econ. Reintegrables</t>
  </si>
  <si>
    <t>Recupero de Títulos y Valores del Sector Público</t>
  </si>
  <si>
    <t>DEL SECTOR PRIVADO</t>
  </si>
  <si>
    <t>Recupero de Préstamos o Asistencias Varias</t>
  </si>
  <si>
    <t>Recupero de Títulos y Valores del Sector Privado</t>
  </si>
  <si>
    <t>PLAN HABITACIONAL B° SAN MARTÍN (400 viviendas)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</si>
</sst>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0" formatCode="_ &quot;$&quot;\ * #,##0.00_ ;_ &quot;$&quot;\ * \-#,##0.00_ ;_ &quot;$&quot;\ * &quot;-&quot;??_ ;_ @_ "/>
    <numFmt numFmtId="171" formatCode="_ * #,##0.00_ ;_ * \-#,##0.00_ ;_ * &quot;-&quot;??_ ;_ @_ "/>
    <numFmt numFmtId="178" formatCode="_-* #,##0.00\ &quot;€&quot;_-;\-* #,##0.00\ &quot;€&quot;_-;_-* &quot;-&quot;??\ &quot;€&quot;_-;_-@_-"/>
    <numFmt numFmtId="179" formatCode="_-* #,##0.00\ _€_-;\-* #,##0.00\ _€_-;_-* &quot;-&quot;??\ _€_-;_-@_-"/>
    <numFmt numFmtId="186" formatCode="&quot;$&quot;\ #,##0.00"/>
    <numFmt numFmtId="187" formatCode="&quot;$&quot;#,##0.00"/>
    <numFmt numFmtId="188" formatCode="_ [$$-2C0A]\ * #,##0.00_ ;_ [$$-2C0A]\ * \-#,##0.00_ ;_ [$$-2C0A]\ * &quot;-&quot;??_ ;_ @_ "/>
    <numFmt numFmtId="189" formatCode="[$$-2C0A]\ #,##0.00"/>
    <numFmt numFmtId="190" formatCode="[$$-2C0A]\ #,##0.00;[$$-2C0A]\ \-#,##0.00"/>
    <numFmt numFmtId="191" formatCode="[$$-2C0A]\ #,##0"/>
    <numFmt numFmtId="194" formatCode="#,##0.00\ _€"/>
    <numFmt numFmtId="195" formatCode="[$$-2C0A]\ #,##0.000"/>
    <numFmt numFmtId="196" formatCode="#,##0.0"/>
    <numFmt numFmtId="198" formatCode="_(* #,##0.00_);_(* \(#,##0.00\);_(* &quot;-&quot;??_);_(@_)"/>
  </numFmts>
  <fonts count="79" x14ac:knownFonts="1">
    <font>
      <sz val="10"/>
      <name val="Arial"/>
    </font>
    <font>
      <sz val="10"/>
      <name val="Arial"/>
    </font>
    <font>
      <sz val="10"/>
      <name val="Arial Narrow"/>
      <family val="2"/>
    </font>
    <font>
      <b/>
      <sz val="10"/>
      <name val="Arial Narrow"/>
      <family val="2"/>
    </font>
    <font>
      <b/>
      <i/>
      <u/>
      <sz val="10"/>
      <name val="Arial Narrow"/>
      <family val="2"/>
    </font>
    <font>
      <u/>
      <sz val="10"/>
      <name val="Arial Narrow"/>
      <family val="2"/>
    </font>
    <font>
      <sz val="9"/>
      <name val="Arial Narrow"/>
      <family val="2"/>
    </font>
    <font>
      <b/>
      <sz val="9"/>
      <name val="Arial Narrow"/>
      <family val="2"/>
    </font>
    <font>
      <i/>
      <u/>
      <sz val="10"/>
      <name val="Arial Narrow"/>
      <family val="2"/>
    </font>
    <font>
      <sz val="10"/>
      <name val="Arial"/>
      <family val="2"/>
    </font>
    <font>
      <sz val="9"/>
      <color indexed="8"/>
      <name val="Arial Narrow"/>
      <family val="2"/>
    </font>
    <font>
      <b/>
      <sz val="9"/>
      <color indexed="8"/>
      <name val="Arial Narrow"/>
      <family val="2"/>
    </font>
    <font>
      <b/>
      <u/>
      <sz val="9"/>
      <name val="Arial Narrow"/>
      <family val="2"/>
    </font>
    <font>
      <sz val="8"/>
      <name val="Arial Narrow"/>
      <family val="2"/>
    </font>
    <font>
      <sz val="7"/>
      <name val="Arial Narrow"/>
      <family val="2"/>
    </font>
    <font>
      <sz val="8"/>
      <name val="Arial"/>
      <family val="2"/>
    </font>
    <font>
      <sz val="9"/>
      <name val="Arial"/>
      <family val="2"/>
    </font>
    <font>
      <sz val="10"/>
      <color indexed="8"/>
      <name val="Arial Narrow"/>
      <family val="2"/>
    </font>
    <font>
      <b/>
      <i/>
      <u/>
      <sz val="9"/>
      <name val="Arial Narrow"/>
      <family val="2"/>
    </font>
    <font>
      <b/>
      <sz val="8"/>
      <name val="Arial"/>
      <family val="2"/>
    </font>
    <font>
      <b/>
      <i/>
      <u/>
      <sz val="8"/>
      <name val="Arial"/>
      <family val="2"/>
    </font>
    <font>
      <b/>
      <i/>
      <u/>
      <sz val="10"/>
      <name val="Arial"/>
      <family val="2"/>
    </font>
    <font>
      <sz val="7"/>
      <name val="Arial"/>
      <family val="2"/>
    </font>
    <font>
      <b/>
      <sz val="9"/>
      <color indexed="10"/>
      <name val="Arial Narrow"/>
      <family val="2"/>
    </font>
    <font>
      <i/>
      <sz val="10"/>
      <name val="Arial Narrow"/>
      <family val="2"/>
    </font>
    <font>
      <sz val="9"/>
      <name val="Courier New"/>
      <family val="3"/>
    </font>
    <font>
      <b/>
      <i/>
      <sz val="9"/>
      <color indexed="18"/>
      <name val="Courier New"/>
      <family val="3"/>
    </font>
    <font>
      <sz val="8"/>
      <name val="Courier New"/>
      <family val="3"/>
    </font>
    <font>
      <sz val="10"/>
      <name val="Courier New"/>
      <family val="3"/>
    </font>
    <font>
      <b/>
      <i/>
      <sz val="8"/>
      <color indexed="18"/>
      <name val="Courier New"/>
      <family val="3"/>
    </font>
    <font>
      <sz val="8"/>
      <name val="Copperplate Gothic Light"/>
      <family val="2"/>
    </font>
    <font>
      <b/>
      <i/>
      <sz val="8"/>
      <color indexed="18"/>
      <name val="Copperplate Gothic Light"/>
      <family val="2"/>
    </font>
    <font>
      <b/>
      <u/>
      <sz val="10"/>
      <color indexed="8"/>
      <name val="Arial Narrow"/>
      <family val="2"/>
    </font>
    <font>
      <b/>
      <u/>
      <sz val="9"/>
      <color indexed="8"/>
      <name val="Arial Narrow"/>
      <family val="2"/>
    </font>
    <font>
      <b/>
      <u/>
      <sz val="8"/>
      <name val="Copperplate Gothic Bold"/>
      <family val="2"/>
    </font>
    <font>
      <b/>
      <sz val="8"/>
      <name val="Copperplate Gothic Bold"/>
      <family val="2"/>
    </font>
    <font>
      <sz val="7"/>
      <name val="Copperplate Gothic Light"/>
      <family val="2"/>
    </font>
    <font>
      <b/>
      <sz val="7"/>
      <name val="Copperplate Gothic Light"/>
      <family val="2"/>
    </font>
    <font>
      <sz val="12"/>
      <color indexed="10"/>
      <name val="Times New Roman"/>
      <family val="1"/>
    </font>
    <font>
      <b/>
      <sz val="10"/>
      <name val="Arial"/>
      <family val="2"/>
    </font>
    <font>
      <u/>
      <sz val="9"/>
      <name val="Arial Narrow"/>
      <family val="2"/>
    </font>
    <font>
      <b/>
      <u/>
      <sz val="8"/>
      <name val="Arial Narrow"/>
      <family val="2"/>
    </font>
    <font>
      <b/>
      <i/>
      <u/>
      <sz val="8"/>
      <name val="Arial Narrow"/>
      <family val="2"/>
    </font>
    <font>
      <b/>
      <sz val="8"/>
      <name val="Arial Narrow"/>
      <family val="2"/>
    </font>
    <font>
      <b/>
      <i/>
      <sz val="8"/>
      <color indexed="18"/>
      <name val="Arial Narrow"/>
      <family val="2"/>
    </font>
    <font>
      <u val="singleAccounting"/>
      <sz val="10"/>
      <name val="Arial Narrow"/>
      <family val="2"/>
    </font>
    <font>
      <b/>
      <i/>
      <sz val="10"/>
      <color indexed="18"/>
      <name val="Arial Narrow"/>
      <family val="2"/>
    </font>
    <font>
      <b/>
      <i/>
      <sz val="9"/>
      <color indexed="18"/>
      <name val="Arial Narrow"/>
      <family val="2"/>
    </font>
    <font>
      <sz val="14"/>
      <name val="Arial"/>
      <family val="2"/>
    </font>
    <font>
      <sz val="10.5"/>
      <name val="Arial Narrow"/>
      <family val="2"/>
    </font>
    <font>
      <b/>
      <sz val="10.5"/>
      <name val="Arial Narrow"/>
      <family val="2"/>
    </font>
    <font>
      <b/>
      <sz val="10"/>
      <color indexed="8"/>
      <name val="Arial Narrow"/>
      <family val="2"/>
    </font>
    <font>
      <b/>
      <sz val="10"/>
      <color indexed="10"/>
      <name val="Arial Narrow"/>
      <family val="2"/>
    </font>
    <font>
      <b/>
      <u/>
      <sz val="10"/>
      <name val="Arial Narrow"/>
      <family val="2"/>
    </font>
    <font>
      <sz val="10"/>
      <color indexed="8"/>
      <name val="Arial Narrow"/>
      <family val="2"/>
    </font>
    <font>
      <sz val="10"/>
      <color indexed="8"/>
      <name val="Arial Narrow"/>
      <family val="2"/>
    </font>
    <font>
      <b/>
      <sz val="8"/>
      <color indexed="9"/>
      <name val="Arial Narrow"/>
      <family val="2"/>
    </font>
    <font>
      <sz val="10"/>
      <name val="Arial"/>
    </font>
    <font>
      <sz val="11"/>
      <color theme="1"/>
      <name val="Arial Narrow"/>
      <family val="2"/>
    </font>
    <font>
      <b/>
      <sz val="10"/>
      <color rgb="FFFF0000"/>
      <name val="Arial Narrow"/>
      <family val="2"/>
    </font>
    <font>
      <b/>
      <sz val="10"/>
      <color theme="0"/>
      <name val="Arial Narrow"/>
      <family val="2"/>
    </font>
    <font>
      <sz val="7"/>
      <color theme="1"/>
      <name val="Arial Narrow"/>
      <family val="2"/>
    </font>
    <font>
      <b/>
      <sz val="9"/>
      <color rgb="FFC00000"/>
      <name val="Arial Narrow"/>
      <family val="2"/>
    </font>
    <font>
      <b/>
      <sz val="10"/>
      <color rgb="FFC00000"/>
      <name val="Arial Narrow"/>
      <family val="2"/>
    </font>
    <font>
      <b/>
      <sz val="7"/>
      <color rgb="FFC00000"/>
      <name val="Arial Narrow"/>
      <family val="2"/>
    </font>
    <font>
      <b/>
      <sz val="8"/>
      <color rgb="FFC00000"/>
      <name val="Copperplate Gothic Bold"/>
      <family val="2"/>
    </font>
    <font>
      <sz val="9"/>
      <color theme="1"/>
      <name val="Arial Narrow"/>
      <family val="2"/>
    </font>
    <font>
      <b/>
      <sz val="9"/>
      <color theme="0"/>
      <name val="Arial Narrow"/>
      <family val="2"/>
    </font>
    <font>
      <sz val="10"/>
      <color theme="1"/>
      <name val="Arial Narrow"/>
      <family val="2"/>
    </font>
    <font>
      <b/>
      <sz val="9"/>
      <color theme="1"/>
      <name val="Arial Narrow"/>
      <family val="2"/>
    </font>
    <font>
      <b/>
      <sz val="11"/>
      <color theme="0"/>
      <name val="Arial Narrow"/>
      <family val="2"/>
    </font>
    <font>
      <b/>
      <sz val="8"/>
      <color theme="0"/>
      <name val="Arial Narrow"/>
      <family val="2"/>
    </font>
    <font>
      <sz val="10"/>
      <color theme="0"/>
      <name val="Arial Narrow"/>
      <family val="2"/>
    </font>
    <font>
      <b/>
      <sz val="8"/>
      <color theme="0"/>
      <name val="Arial"/>
      <family val="2"/>
    </font>
    <font>
      <sz val="9"/>
      <color theme="0"/>
      <name val="Arial Narrow"/>
      <family val="2"/>
    </font>
    <font>
      <b/>
      <sz val="10"/>
      <color theme="1"/>
      <name val="Arial Narrow"/>
      <family val="2"/>
    </font>
    <font>
      <sz val="8"/>
      <color theme="0"/>
      <name val="Arial Narrow"/>
      <family val="2"/>
    </font>
    <font>
      <b/>
      <sz val="8"/>
      <color theme="1"/>
      <name val="Arial Narrow"/>
      <family val="2"/>
    </font>
    <font>
      <sz val="8"/>
      <color theme="1"/>
      <name val="Arial Narrow"/>
      <family val="2"/>
    </font>
  </fonts>
  <fills count="2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6"/>
        <bgColor indexed="64"/>
      </patternFill>
    </fill>
    <fill>
      <patternFill patternType="solid">
        <fgColor indexed="50"/>
        <bgColor indexed="64"/>
      </patternFill>
    </fill>
    <fill>
      <patternFill patternType="solid">
        <fgColor indexed="4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1" tint="0.499984740745262"/>
        <bgColor indexed="64"/>
      </patternFill>
    </fill>
    <fill>
      <patternFill patternType="solid">
        <fgColor rgb="FF003366"/>
        <bgColor indexed="64"/>
      </patternFill>
    </fill>
    <fill>
      <patternFill patternType="solid">
        <fgColor rgb="FF800000"/>
        <bgColor indexed="64"/>
      </patternFill>
    </fill>
    <fill>
      <patternFill patternType="solid">
        <fgColor rgb="FFFF6600"/>
        <bgColor indexed="64"/>
      </patternFill>
    </fill>
    <fill>
      <patternFill patternType="solid">
        <fgColor rgb="FF003300"/>
        <bgColor indexed="64"/>
      </patternFill>
    </fill>
    <fill>
      <patternFill patternType="solid">
        <fgColor rgb="FF006666"/>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theme="7" tint="-0.249977111117893"/>
        <bgColor indexed="64"/>
      </patternFill>
    </fill>
    <fill>
      <patternFill patternType="solid">
        <fgColor rgb="FF254061"/>
        <bgColor indexed="64"/>
      </patternFill>
    </fill>
    <fill>
      <patternFill patternType="solid">
        <fgColor rgb="FF5A5A5A"/>
        <bgColor indexed="64"/>
      </patternFill>
    </fill>
    <fill>
      <patternFill patternType="solid">
        <fgColor theme="5" tint="-0.49998474074526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rgb="FF339966"/>
        <bgColor indexed="64"/>
      </patternFill>
    </fill>
    <fill>
      <patternFill patternType="solid">
        <fgColor theme="3" tint="0.59999389629810485"/>
        <bgColor indexed="64"/>
      </patternFill>
    </fill>
    <fill>
      <patternFill patternType="solid">
        <fgColor rgb="FF92D050"/>
        <bgColor indexed="64"/>
      </patternFill>
    </fill>
    <fill>
      <patternFill patternType="solid">
        <fgColor rgb="FF003399"/>
        <bgColor indexed="64"/>
      </patternFill>
    </fill>
  </fills>
  <borders count="17">
    <border>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top/>
      <bottom/>
      <diagonal/>
    </border>
  </borders>
  <cellStyleXfs count="9">
    <xf numFmtId="0" fontId="0" fillId="0" borderId="0"/>
    <xf numFmtId="179" fontId="1" fillId="0" borderId="0" applyFont="0" applyFill="0" applyBorder="0" applyAlignment="0" applyProtection="0"/>
    <xf numFmtId="171" fontId="9" fillId="0" borderId="0" applyFont="0" applyFill="0" applyBorder="0" applyAlignment="0" applyProtection="0"/>
    <xf numFmtId="179" fontId="57" fillId="0" borderId="0" applyFont="0" applyFill="0" applyBorder="0" applyAlignment="0" applyProtection="0"/>
    <xf numFmtId="178" fontId="1" fillId="0" borderId="0" applyFont="0" applyFill="0" applyBorder="0" applyAlignment="0" applyProtection="0"/>
    <xf numFmtId="0" fontId="9" fillId="0" borderId="0"/>
    <xf numFmtId="9" fontId="1" fillId="0" borderId="0" applyFont="0" applyFill="0" applyBorder="0" applyAlignment="0" applyProtection="0"/>
    <xf numFmtId="9" fontId="9" fillId="0" borderId="0" applyFont="0" applyFill="0" applyBorder="0" applyAlignment="0" applyProtection="0"/>
    <xf numFmtId="9" fontId="57" fillId="0" borderId="0" applyFont="0" applyFill="0" applyBorder="0" applyAlignment="0" applyProtection="0"/>
  </cellStyleXfs>
  <cellXfs count="1264">
    <xf numFmtId="0" fontId="0" fillId="0" borderId="0" xfId="0"/>
    <xf numFmtId="0" fontId="2" fillId="0" borderId="0" xfId="0" applyFont="1" applyFill="1" applyAlignment="1">
      <alignment vertical="center"/>
    </xf>
    <xf numFmtId="0" fontId="4" fillId="0" borderId="0" xfId="0" applyFont="1" applyFill="1"/>
    <xf numFmtId="0" fontId="2" fillId="0" borderId="0" xfId="0" applyFont="1" applyAlignment="1">
      <alignment vertical="center"/>
    </xf>
    <xf numFmtId="0" fontId="2" fillId="0" borderId="0" xfId="0" applyFont="1"/>
    <xf numFmtId="0" fontId="2" fillId="0" borderId="0" xfId="0" applyFont="1" applyBorder="1" applyAlignment="1">
      <alignment vertical="center"/>
    </xf>
    <xf numFmtId="0" fontId="6" fillId="0" borderId="0" xfId="0" applyFont="1"/>
    <xf numFmtId="0" fontId="7" fillId="0" borderId="0" xfId="0" applyFont="1"/>
    <xf numFmtId="0" fontId="6" fillId="0" borderId="0" xfId="0" applyFont="1" applyBorder="1"/>
    <xf numFmtId="186" fontId="6" fillId="0" borderId="0" xfId="0" applyNumberFormat="1" applyFont="1" applyBorder="1"/>
    <xf numFmtId="0" fontId="6" fillId="0" borderId="0" xfId="0" applyFont="1" applyAlignment="1">
      <alignment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xf numFmtId="189" fontId="2" fillId="0" borderId="0" xfId="0" applyNumberFormat="1" applyFont="1" applyFill="1" applyAlignment="1">
      <alignment vertical="center"/>
    </xf>
    <xf numFmtId="189" fontId="2" fillId="0" borderId="0" xfId="0" applyNumberFormat="1" applyFont="1" applyFill="1" applyAlignment="1">
      <alignment horizontal="right" vertical="center"/>
    </xf>
    <xf numFmtId="189" fontId="3" fillId="0" borderId="0" xfId="0" applyNumberFormat="1" applyFont="1" applyFill="1" applyAlignment="1">
      <alignment vertical="center"/>
    </xf>
    <xf numFmtId="189" fontId="4" fillId="0" borderId="0" xfId="0" applyNumberFormat="1" applyFont="1" applyFill="1" applyAlignment="1">
      <alignment vertical="center"/>
    </xf>
    <xf numFmtId="189" fontId="2" fillId="0" borderId="0" xfId="0" applyNumberFormat="1" applyFont="1" applyAlignment="1">
      <alignment vertical="center"/>
    </xf>
    <xf numFmtId="189" fontId="2" fillId="0" borderId="0" xfId="0" applyNumberFormat="1" applyFont="1" applyAlignment="1">
      <alignment horizontal="right" vertical="center"/>
    </xf>
    <xf numFmtId="189" fontId="3" fillId="0" borderId="0" xfId="0" applyNumberFormat="1" applyFont="1" applyAlignment="1">
      <alignment vertical="center"/>
    </xf>
    <xf numFmtId="189" fontId="2" fillId="0" borderId="0" xfId="0" applyNumberFormat="1" applyFont="1" applyBorder="1" applyAlignment="1">
      <alignment vertical="center"/>
    </xf>
    <xf numFmtId="189" fontId="6" fillId="0" borderId="0" xfId="0" applyNumberFormat="1" applyFont="1" applyFill="1" applyBorder="1" applyAlignment="1">
      <alignment horizontal="right" vertical="center"/>
    </xf>
    <xf numFmtId="189" fontId="6" fillId="0" borderId="0" xfId="0" applyNumberFormat="1" applyFont="1" applyBorder="1" applyAlignment="1">
      <alignment vertical="center"/>
    </xf>
    <xf numFmtId="189" fontId="6" fillId="0" borderId="0" xfId="0" applyNumberFormat="1" applyFont="1" applyFill="1" applyBorder="1" applyAlignment="1">
      <alignment vertical="center"/>
    </xf>
    <xf numFmtId="189" fontId="7" fillId="0" borderId="0" xfId="0" applyNumberFormat="1" applyFont="1" applyBorder="1" applyAlignment="1">
      <alignment vertical="center"/>
    </xf>
    <xf numFmtId="189" fontId="6" fillId="0" borderId="0" xfId="0" applyNumberFormat="1" applyFont="1" applyAlignment="1">
      <alignment horizontal="right" vertical="center"/>
    </xf>
    <xf numFmtId="189" fontId="7" fillId="0" borderId="0" xfId="0" applyNumberFormat="1" applyFont="1" applyAlignment="1">
      <alignment vertical="center"/>
    </xf>
    <xf numFmtId="189" fontId="6" fillId="0" borderId="0" xfId="0" applyNumberFormat="1" applyFont="1" applyAlignment="1">
      <alignment vertical="center"/>
    </xf>
    <xf numFmtId="189" fontId="6" fillId="0" borderId="0" xfId="0" applyNumberFormat="1" applyFont="1"/>
    <xf numFmtId="189" fontId="6" fillId="0" borderId="0" xfId="0" applyNumberFormat="1" applyFont="1" applyAlignment="1">
      <alignment horizontal="right"/>
    </xf>
    <xf numFmtId="189"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89" fontId="7" fillId="0" borderId="0" xfId="0" applyNumberFormat="1" applyFont="1"/>
    <xf numFmtId="189" fontId="2" fillId="0" borderId="0" xfId="0" applyNumberFormat="1" applyFont="1"/>
    <xf numFmtId="189" fontId="2" fillId="0" borderId="0" xfId="0" applyNumberFormat="1" applyFont="1" applyAlignment="1">
      <alignment horizontal="right"/>
    </xf>
    <xf numFmtId="189" fontId="3" fillId="0" borderId="0" xfId="0" applyNumberFormat="1" applyFont="1"/>
    <xf numFmtId="0" fontId="2" fillId="0" borderId="1" xfId="0" applyFont="1" applyFill="1" applyBorder="1" applyAlignment="1">
      <alignment vertical="center"/>
    </xf>
    <xf numFmtId="189" fontId="3" fillId="0" borderId="0" xfId="0" applyNumberFormat="1" applyFont="1" applyFill="1" applyBorder="1" applyAlignment="1">
      <alignment vertical="center"/>
    </xf>
    <xf numFmtId="189" fontId="3" fillId="0" borderId="0" xfId="0" applyNumberFormat="1" applyFont="1" applyFill="1" applyBorder="1" applyAlignment="1">
      <alignment horizontal="right" vertical="center"/>
    </xf>
    <xf numFmtId="0" fontId="2" fillId="0" borderId="2" xfId="0" applyFont="1" applyFill="1" applyBorder="1" applyAlignment="1">
      <alignment vertical="center"/>
    </xf>
    <xf numFmtId="0" fontId="6" fillId="0" borderId="1" xfId="0" applyFont="1" applyFill="1" applyBorder="1" applyAlignment="1">
      <alignment vertical="center"/>
    </xf>
    <xf numFmtId="189" fontId="7" fillId="0" borderId="3" xfId="0" applyNumberFormat="1" applyFont="1" applyFill="1" applyBorder="1" applyAlignment="1">
      <alignment vertical="center"/>
    </xf>
    <xf numFmtId="0" fontId="6" fillId="0" borderId="0" xfId="0" applyFont="1" applyFill="1" applyBorder="1"/>
    <xf numFmtId="9" fontId="3" fillId="0" borderId="0" xfId="0" applyNumberFormat="1" applyFont="1" applyAlignment="1">
      <alignment horizontal="center" vertical="center"/>
    </xf>
    <xf numFmtId="9" fontId="7" fillId="0" borderId="0" xfId="0" applyNumberFormat="1" applyFont="1" applyAlignment="1">
      <alignment horizontal="center"/>
    </xf>
    <xf numFmtId="189" fontId="6" fillId="0" borderId="1" xfId="0" applyNumberFormat="1" applyFont="1" applyFill="1" applyBorder="1" applyAlignment="1">
      <alignment vertical="center"/>
    </xf>
    <xf numFmtId="189" fontId="6" fillId="0" borderId="2" xfId="0" applyNumberFormat="1" applyFont="1" applyFill="1" applyBorder="1" applyAlignment="1">
      <alignment vertical="center"/>
    </xf>
    <xf numFmtId="189" fontId="7" fillId="0" borderId="4" xfId="0" applyNumberFormat="1" applyFont="1" applyFill="1" applyBorder="1" applyAlignment="1">
      <alignment vertical="center"/>
    </xf>
    <xf numFmtId="189" fontId="7" fillId="0" borderId="4" xfId="0" applyNumberFormat="1" applyFont="1" applyFill="1" applyBorder="1" applyAlignment="1">
      <alignment horizontal="right" vertical="center"/>
    </xf>
    <xf numFmtId="0" fontId="2" fillId="0" borderId="5" xfId="0" applyFont="1" applyFill="1" applyBorder="1" applyAlignment="1">
      <alignment vertical="center"/>
    </xf>
    <xf numFmtId="189" fontId="2" fillId="0" borderId="6" xfId="0" applyNumberFormat="1" applyFont="1" applyFill="1" applyBorder="1" applyAlignment="1">
      <alignment vertical="center"/>
    </xf>
    <xf numFmtId="0" fontId="2" fillId="0" borderId="0" xfId="0" applyFont="1" applyAlignment="1"/>
    <xf numFmtId="0" fontId="10" fillId="0" borderId="0" xfId="0" applyFont="1" applyFill="1" applyBorder="1" applyAlignment="1">
      <alignment vertical="center"/>
    </xf>
    <xf numFmtId="189" fontId="2" fillId="0" borderId="0" xfId="0" applyNumberFormat="1" applyFont="1" applyFill="1" applyBorder="1"/>
    <xf numFmtId="189" fontId="6" fillId="0" borderId="0" xfId="0" applyNumberFormat="1" applyFont="1" applyFill="1" applyBorder="1"/>
    <xf numFmtId="0" fontId="2" fillId="0" borderId="0" xfId="0" applyFont="1" applyFill="1" applyBorder="1" applyAlignment="1"/>
    <xf numFmtId="189" fontId="2" fillId="0" borderId="0" xfId="0" applyNumberFormat="1" applyFont="1" applyFill="1" applyBorder="1" applyAlignment="1"/>
    <xf numFmtId="0" fontId="6" fillId="0" borderId="1" xfId="0" applyFont="1" applyFill="1" applyBorder="1" applyAlignment="1"/>
    <xf numFmtId="0" fontId="6" fillId="0" borderId="0" xfId="0" applyFont="1" applyFill="1" applyBorder="1" applyAlignment="1"/>
    <xf numFmtId="189" fontId="6" fillId="0" borderId="0" xfId="0" applyNumberFormat="1" applyFont="1" applyFill="1" applyBorder="1" applyAlignment="1"/>
    <xf numFmtId="189" fontId="6" fillId="0" borderId="3" xfId="0" applyNumberFormat="1" applyFont="1" applyFill="1" applyBorder="1" applyAlignment="1"/>
    <xf numFmtId="189" fontId="2" fillId="0" borderId="0" xfId="0" applyNumberFormat="1" applyFont="1" applyAlignment="1"/>
    <xf numFmtId="0" fontId="7" fillId="0" borderId="0" xfId="0" applyFont="1" applyFill="1" applyBorder="1" applyAlignment="1"/>
    <xf numFmtId="189" fontId="7" fillId="0" borderId="0" xfId="0" applyNumberFormat="1" applyFont="1" applyFill="1" applyBorder="1" applyAlignment="1"/>
    <xf numFmtId="189" fontId="2" fillId="0" borderId="0" xfId="0" applyNumberFormat="1" applyFont="1" applyFill="1" applyAlignment="1"/>
    <xf numFmtId="0" fontId="2" fillId="0" borderId="0" xfId="0" applyFont="1" applyBorder="1" applyAlignment="1"/>
    <xf numFmtId="189" fontId="6" fillId="0" borderId="0" xfId="0" applyNumberFormat="1" applyFont="1" applyBorder="1" applyAlignment="1"/>
    <xf numFmtId="189" fontId="2" fillId="0" borderId="0" xfId="0" applyNumberFormat="1" applyFont="1" applyBorder="1" applyAlignment="1"/>
    <xf numFmtId="0" fontId="2" fillId="0" borderId="0" xfId="0" applyFont="1" applyFill="1" applyAlignment="1"/>
    <xf numFmtId="0" fontId="6" fillId="0" borderId="0" xfId="0" applyFont="1" applyBorder="1" applyAlignment="1"/>
    <xf numFmtId="186" fontId="6" fillId="0" borderId="0" xfId="0" applyNumberFormat="1" applyFont="1" applyFill="1" applyBorder="1" applyAlignment="1">
      <alignment vertical="center"/>
    </xf>
    <xf numFmtId="0" fontId="6" fillId="0" borderId="0" xfId="0" applyFont="1" applyBorder="1" applyAlignment="1">
      <alignment vertical="center"/>
    </xf>
    <xf numFmtId="186" fontId="6" fillId="0" borderId="0" xfId="0" applyNumberFormat="1" applyFont="1" applyFill="1" applyBorder="1"/>
    <xf numFmtId="0" fontId="0" fillId="0" borderId="0" xfId="0" applyFill="1" applyBorder="1"/>
    <xf numFmtId="0" fontId="5" fillId="0" borderId="0" xfId="0" applyFont="1" applyAlignment="1">
      <alignment vertical="center"/>
    </xf>
    <xf numFmtId="0" fontId="6" fillId="0" borderId="2" xfId="0" applyFont="1" applyFill="1" applyBorder="1" applyAlignment="1">
      <alignment vertical="center"/>
    </xf>
    <xf numFmtId="189" fontId="7" fillId="0" borderId="7" xfId="0" applyNumberFormat="1" applyFont="1" applyFill="1" applyBorder="1" applyAlignment="1">
      <alignment vertical="center"/>
    </xf>
    <xf numFmtId="189" fontId="6" fillId="0" borderId="0" xfId="0" applyNumberFormat="1" applyFont="1" applyBorder="1" applyAlignment="1">
      <alignment horizontal="right" vertical="center"/>
    </xf>
    <xf numFmtId="189" fontId="6" fillId="0" borderId="0" xfId="0" applyNumberFormat="1" applyFont="1" applyBorder="1" applyAlignment="1">
      <alignment horizontal="left" vertical="center"/>
    </xf>
    <xf numFmtId="170" fontId="10" fillId="0" borderId="0" xfId="0" applyNumberFormat="1" applyFont="1" applyFill="1" applyBorder="1" applyAlignment="1">
      <alignment vertical="center"/>
    </xf>
    <xf numFmtId="170" fontId="10" fillId="0" borderId="0" xfId="0" applyNumberFormat="1" applyFont="1" applyFill="1" applyBorder="1" applyAlignment="1">
      <alignment horizontal="center" vertical="center"/>
    </xf>
    <xf numFmtId="189" fontId="2" fillId="0" borderId="4" xfId="0" applyNumberFormat="1" applyFont="1" applyFill="1" applyBorder="1" applyAlignment="1">
      <alignment vertical="center"/>
    </xf>
    <xf numFmtId="189" fontId="6" fillId="0" borderId="0" xfId="0" applyNumberFormat="1" applyFont="1" applyBorder="1"/>
    <xf numFmtId="189" fontId="6" fillId="0" borderId="0" xfId="0" applyNumberFormat="1" applyFont="1" applyBorder="1" applyAlignment="1">
      <alignment horizontal="left"/>
    </xf>
    <xf numFmtId="189" fontId="7" fillId="0" borderId="0" xfId="0" applyNumberFormat="1" applyFont="1" applyFill="1" applyBorder="1"/>
    <xf numFmtId="189" fontId="7" fillId="0" borderId="0" xfId="0" applyNumberFormat="1" applyFont="1" applyBorder="1"/>
    <xf numFmtId="186" fontId="10" fillId="0" borderId="0" xfId="0" applyNumberFormat="1" applyFont="1" applyFill="1" applyBorder="1" applyAlignment="1">
      <alignment vertical="center"/>
    </xf>
    <xf numFmtId="189" fontId="2" fillId="0" borderId="0" xfId="0" applyNumberFormat="1" applyFont="1" applyAlignment="1">
      <alignment horizontal="left" vertical="center"/>
    </xf>
    <xf numFmtId="189" fontId="2" fillId="0" borderId="0" xfId="0" applyNumberFormat="1" applyFont="1" applyAlignment="1">
      <alignment horizontal="left"/>
    </xf>
    <xf numFmtId="189" fontId="2" fillId="0" borderId="0" xfId="0" applyNumberFormat="1" applyFont="1" applyFill="1" applyAlignment="1">
      <alignment horizontal="left"/>
    </xf>
    <xf numFmtId="189" fontId="8" fillId="0" borderId="0" xfId="0" applyNumberFormat="1" applyFont="1" applyFill="1" applyAlignment="1">
      <alignment horizontal="left"/>
    </xf>
    <xf numFmtId="189" fontId="2" fillId="0" borderId="0" xfId="0" applyNumberFormat="1" applyFont="1" applyBorder="1" applyAlignment="1">
      <alignment horizontal="left"/>
    </xf>
    <xf numFmtId="189" fontId="2" fillId="0" borderId="0" xfId="0" applyNumberFormat="1" applyFont="1" applyBorder="1"/>
    <xf numFmtId="189" fontId="3" fillId="0" borderId="0" xfId="0" applyNumberFormat="1" applyFont="1" applyFill="1" applyBorder="1" applyAlignment="1">
      <alignment horizontal="left"/>
    </xf>
    <xf numFmtId="189" fontId="2" fillId="0" borderId="0" xfId="0" applyNumberFormat="1" applyFont="1" applyFill="1" applyBorder="1" applyAlignment="1">
      <alignment horizontal="left"/>
    </xf>
    <xf numFmtId="189" fontId="6" fillId="0" borderId="0" xfId="0" applyNumberFormat="1" applyFont="1" applyFill="1" applyBorder="1" applyAlignment="1">
      <alignment horizontal="left" vertical="center"/>
    </xf>
    <xf numFmtId="189" fontId="7" fillId="0" borderId="0" xfId="0" applyNumberFormat="1" applyFont="1" applyBorder="1" applyAlignment="1">
      <alignment horizontal="right" vertical="center"/>
    </xf>
    <xf numFmtId="170" fontId="11" fillId="0" borderId="0" xfId="0" applyNumberFormat="1" applyFont="1" applyFill="1" applyBorder="1" applyAlignment="1">
      <alignment vertical="center"/>
    </xf>
    <xf numFmtId="0" fontId="6" fillId="0" borderId="0" xfId="0" applyFont="1" applyFill="1" applyBorder="1" applyAlignment="1">
      <alignment horizontal="left"/>
    </xf>
    <xf numFmtId="189" fontId="6" fillId="0" borderId="0" xfId="0" applyNumberFormat="1" applyFont="1" applyFill="1"/>
    <xf numFmtId="0" fontId="6" fillId="0" borderId="0" xfId="0" applyFont="1" applyFill="1" applyBorder="1" applyAlignment="1">
      <alignment horizontal="left" vertical="center"/>
    </xf>
    <xf numFmtId="190" fontId="10" fillId="0" borderId="0" xfId="0" applyNumberFormat="1" applyFont="1" applyFill="1" applyBorder="1" applyAlignment="1">
      <alignment vertical="center"/>
    </xf>
    <xf numFmtId="189" fontId="7" fillId="0" borderId="0" xfId="0" applyNumberFormat="1" applyFont="1" applyFill="1" applyAlignment="1">
      <alignment horizontal="left" vertical="center"/>
    </xf>
    <xf numFmtId="170" fontId="11" fillId="0" borderId="0" xfId="0" applyNumberFormat="1" applyFont="1" applyFill="1" applyBorder="1" applyAlignment="1">
      <alignment horizontal="center" vertical="center"/>
    </xf>
    <xf numFmtId="189" fontId="3" fillId="0" borderId="0" xfId="0" applyNumberFormat="1" applyFont="1" applyFill="1" applyBorder="1" applyAlignment="1">
      <alignment horizontal="center"/>
    </xf>
    <xf numFmtId="189" fontId="3" fillId="0" borderId="0" xfId="0" applyNumberFormat="1" applyFont="1" applyFill="1" applyBorder="1" applyAlignment="1">
      <alignment horizontal="center" vertical="center"/>
    </xf>
    <xf numFmtId="178" fontId="6" fillId="0" borderId="0" xfId="4" applyFont="1" applyFill="1" applyBorder="1"/>
    <xf numFmtId="9" fontId="6" fillId="0" borderId="0" xfId="6" applyFont="1" applyBorder="1" applyAlignment="1">
      <alignment vertical="center"/>
    </xf>
    <xf numFmtId="9" fontId="2" fillId="0" borderId="0" xfId="6" applyFont="1" applyBorder="1" applyAlignment="1"/>
    <xf numFmtId="189" fontId="14" fillId="0" borderId="0" xfId="0" applyNumberFormat="1" applyFont="1" applyFill="1" applyBorder="1" applyAlignment="1"/>
    <xf numFmtId="189" fontId="2" fillId="0" borderId="0" xfId="0" applyNumberFormat="1" applyFont="1" applyBorder="1" applyAlignment="1">
      <alignment horizontal="left" vertical="center"/>
    </xf>
    <xf numFmtId="0" fontId="2" fillId="0" borderId="0" xfId="0" applyFont="1" applyBorder="1"/>
    <xf numFmtId="189" fontId="6" fillId="0" borderId="0" xfId="0" applyNumberFormat="1" applyFont="1" applyBorder="1" applyAlignment="1">
      <alignment horizontal="right"/>
    </xf>
    <xf numFmtId="189" fontId="6" fillId="0" borderId="0" xfId="0" applyNumberFormat="1" applyFont="1" applyFill="1" applyBorder="1" applyAlignment="1">
      <alignment horizontal="right"/>
    </xf>
    <xf numFmtId="189" fontId="7" fillId="0" borderId="8" xfId="0" applyNumberFormat="1" applyFont="1" applyFill="1" applyBorder="1" applyAlignment="1">
      <alignment vertical="center"/>
    </xf>
    <xf numFmtId="189" fontId="7" fillId="0" borderId="6" xfId="0" applyNumberFormat="1" applyFont="1" applyFill="1" applyBorder="1" applyAlignment="1">
      <alignment horizontal="right" vertical="center"/>
    </xf>
    <xf numFmtId="189" fontId="6" fillId="0" borderId="6" xfId="0" applyNumberFormat="1" applyFont="1" applyFill="1" applyBorder="1"/>
    <xf numFmtId="189" fontId="6" fillId="0" borderId="5" xfId="0" applyNumberFormat="1" applyFont="1" applyFill="1" applyBorder="1" applyAlignment="1">
      <alignment vertical="center"/>
    </xf>
    <xf numFmtId="0" fontId="6" fillId="0" borderId="5" xfId="0" applyFont="1" applyFill="1" applyBorder="1" applyAlignment="1">
      <alignment vertical="center"/>
    </xf>
    <xf numFmtId="189" fontId="2" fillId="0" borderId="0" xfId="0" applyNumberFormat="1" applyFont="1" applyFill="1" applyBorder="1" applyAlignment="1">
      <alignment vertical="center"/>
    </xf>
    <xf numFmtId="0" fontId="9" fillId="0" borderId="0" xfId="0" applyFont="1"/>
    <xf numFmtId="0" fontId="0" fillId="0" borderId="0" xfId="0" applyFill="1" applyBorder="1" applyAlignment="1">
      <alignment vertical="center"/>
    </xf>
    <xf numFmtId="0" fontId="15" fillId="0" borderId="0" xfId="0" applyFont="1" applyFill="1" applyBorder="1" applyAlignment="1">
      <alignment vertical="center"/>
    </xf>
    <xf numFmtId="0" fontId="9" fillId="0" borderId="0" xfId="0" applyFont="1" applyFill="1" applyBorder="1" applyAlignment="1">
      <alignment horizontal="left" vertical="center"/>
    </xf>
    <xf numFmtId="0" fontId="15" fillId="0" borderId="0" xfId="0" applyFont="1" applyFill="1" applyBorder="1" applyAlignment="1">
      <alignment horizontal="left" vertical="center"/>
    </xf>
    <xf numFmtId="186" fontId="6"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186" fontId="6" fillId="0" borderId="0" xfId="0" applyNumberFormat="1" applyFont="1" applyBorder="1" applyAlignment="1">
      <alignment vertical="center"/>
    </xf>
    <xf numFmtId="9" fontId="6" fillId="0" borderId="0" xfId="6" applyFont="1" applyFill="1" applyBorder="1" applyAlignment="1">
      <alignment horizontal="left" vertical="center"/>
    </xf>
    <xf numFmtId="9" fontId="6" fillId="0" borderId="0" xfId="6" applyFont="1" applyFill="1" applyBorder="1" applyAlignment="1">
      <alignment vertical="center"/>
    </xf>
    <xf numFmtId="0" fontId="0" fillId="0" borderId="0" xfId="0" applyAlignment="1">
      <alignment vertical="center"/>
    </xf>
    <xf numFmtId="0" fontId="15" fillId="0" borderId="0" xfId="0" applyFont="1" applyAlignment="1">
      <alignment vertical="center"/>
    </xf>
    <xf numFmtId="186" fontId="6" fillId="0" borderId="0" xfId="0" applyNumberFormat="1" applyFont="1" applyAlignment="1">
      <alignment vertical="center"/>
    </xf>
    <xf numFmtId="0" fontId="12" fillId="0" borderId="0" xfId="0" applyFont="1" applyBorder="1" applyAlignment="1">
      <alignment vertical="center"/>
    </xf>
    <xf numFmtId="0" fontId="6" fillId="0" borderId="7" xfId="0" applyFont="1" applyFill="1" applyBorder="1" applyAlignment="1">
      <alignment vertical="center"/>
    </xf>
    <xf numFmtId="187" fontId="6" fillId="0" borderId="4" xfId="0" applyNumberFormat="1" applyFont="1" applyFill="1" applyBorder="1" applyAlignment="1">
      <alignment vertical="center"/>
    </xf>
    <xf numFmtId="170" fontId="6" fillId="0" borderId="4" xfId="0" applyNumberFormat="1" applyFont="1" applyFill="1" applyBorder="1" applyAlignment="1">
      <alignment vertical="center"/>
    </xf>
    <xf numFmtId="0" fontId="6" fillId="0" borderId="4" xfId="0" applyFont="1" applyFill="1" applyBorder="1" applyAlignment="1">
      <alignment vertical="center"/>
    </xf>
    <xf numFmtId="0" fontId="6" fillId="0" borderId="3" xfId="0" applyFont="1" applyFill="1" applyBorder="1" applyAlignment="1">
      <alignment vertical="center"/>
    </xf>
    <xf numFmtId="187" fontId="6" fillId="0" borderId="0" xfId="0" applyNumberFormat="1" applyFont="1" applyFill="1" applyBorder="1" applyAlignment="1">
      <alignment vertical="center"/>
    </xf>
    <xf numFmtId="170" fontId="6" fillId="0" borderId="0" xfId="0" applyNumberFormat="1" applyFont="1" applyFill="1" applyBorder="1" applyAlignment="1">
      <alignment vertical="center"/>
    </xf>
    <xf numFmtId="0" fontId="0" fillId="0" borderId="0" xfId="0" applyFill="1" applyAlignment="1">
      <alignment vertical="center"/>
    </xf>
    <xf numFmtId="0" fontId="15" fillId="0" borderId="0" xfId="0" applyFont="1" applyFill="1" applyAlignment="1">
      <alignment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3" xfId="0" applyFont="1" applyFill="1" applyBorder="1" applyAlignment="1">
      <alignment vertical="center"/>
    </xf>
    <xf numFmtId="0" fontId="2" fillId="0" borderId="6" xfId="0" applyFont="1" applyFill="1" applyBorder="1" applyAlignment="1">
      <alignment vertical="center"/>
    </xf>
    <xf numFmtId="0" fontId="0" fillId="0" borderId="0" xfId="0" applyBorder="1"/>
    <xf numFmtId="0" fontId="15" fillId="0" borderId="0" xfId="0" applyFont="1" applyBorder="1"/>
    <xf numFmtId="0" fontId="9" fillId="0" borderId="0" xfId="0" applyFont="1" applyFill="1" applyBorder="1" applyAlignment="1">
      <alignment horizontal="left"/>
    </xf>
    <xf numFmtId="0" fontId="15" fillId="0" borderId="0" xfId="0" applyFont="1" applyFill="1" applyBorder="1" applyAlignment="1">
      <alignment horizontal="left"/>
    </xf>
    <xf numFmtId="186" fontId="6" fillId="0" borderId="0" xfId="0" applyNumberFormat="1" applyFont="1" applyFill="1" applyBorder="1" applyAlignment="1">
      <alignment horizontal="left"/>
    </xf>
    <xf numFmtId="0" fontId="15" fillId="0" borderId="0" xfId="0" applyFont="1"/>
    <xf numFmtId="186" fontId="6" fillId="0" borderId="0" xfId="0" applyNumberFormat="1" applyFont="1"/>
    <xf numFmtId="186" fontId="15" fillId="0" borderId="0" xfId="0" applyNumberFormat="1" applyFont="1"/>
    <xf numFmtId="0" fontId="2" fillId="0" borderId="7" xfId="0" applyFont="1" applyFill="1" applyBorder="1" applyAlignment="1">
      <alignment vertical="center"/>
    </xf>
    <xf numFmtId="186" fontId="9" fillId="0" borderId="0" xfId="0" applyNumberFormat="1" applyFont="1"/>
    <xf numFmtId="0" fontId="7" fillId="0" borderId="0" xfId="0" applyFont="1" applyAlignment="1">
      <alignment vertical="center"/>
    </xf>
    <xf numFmtId="186" fontId="7" fillId="0" borderId="0" xfId="0" applyNumberFormat="1" applyFont="1" applyAlignment="1">
      <alignment vertical="center"/>
    </xf>
    <xf numFmtId="170" fontId="7" fillId="0" borderId="0" xfId="0" applyNumberFormat="1" applyFont="1" applyAlignment="1">
      <alignment vertical="center"/>
    </xf>
    <xf numFmtId="189" fontId="6" fillId="0" borderId="7" xfId="0" applyNumberFormat="1" applyFont="1" applyFill="1" applyBorder="1" applyAlignment="1"/>
    <xf numFmtId="189" fontId="6" fillId="0" borderId="4" xfId="0" applyNumberFormat="1" applyFont="1" applyFill="1" applyBorder="1" applyAlignment="1"/>
    <xf numFmtId="0" fontId="6" fillId="0" borderId="4" xfId="0" applyFont="1" applyFill="1" applyBorder="1" applyAlignment="1"/>
    <xf numFmtId="0" fontId="6" fillId="0" borderId="2" xfId="0" applyFont="1" applyFill="1" applyBorder="1" applyAlignment="1"/>
    <xf numFmtId="189" fontId="6" fillId="0" borderId="8" xfId="0" applyNumberFormat="1" applyFont="1" applyFill="1" applyBorder="1" applyAlignment="1"/>
    <xf numFmtId="189" fontId="6" fillId="0" borderId="6" xfId="0" applyNumberFormat="1" applyFont="1" applyFill="1" applyBorder="1" applyAlignment="1"/>
    <xf numFmtId="0" fontId="6" fillId="0" borderId="6" xfId="0" applyFont="1" applyFill="1" applyBorder="1" applyAlignment="1"/>
    <xf numFmtId="0" fontId="6" fillId="0" borderId="8" xfId="0" applyFont="1" applyFill="1" applyBorder="1" applyAlignment="1">
      <alignment vertical="center"/>
    </xf>
    <xf numFmtId="187" fontId="6" fillId="0" borderId="6" xfId="0" applyNumberFormat="1" applyFont="1" applyFill="1" applyBorder="1" applyAlignment="1">
      <alignment vertical="center"/>
    </xf>
    <xf numFmtId="170" fontId="6" fillId="0" borderId="6" xfId="0" applyNumberFormat="1" applyFont="1" applyFill="1" applyBorder="1" applyAlignment="1">
      <alignment vertical="center"/>
    </xf>
    <xf numFmtId="0" fontId="6" fillId="0" borderId="6" xfId="0" applyFont="1" applyFill="1" applyBorder="1" applyAlignment="1">
      <alignment vertical="center"/>
    </xf>
    <xf numFmtId="170" fontId="7" fillId="0" borderId="0" xfId="0" applyNumberFormat="1" applyFont="1" applyFill="1" applyBorder="1" applyAlignment="1">
      <alignment vertical="center"/>
    </xf>
    <xf numFmtId="170" fontId="6" fillId="0" borderId="0" xfId="0" applyNumberFormat="1" applyFont="1" applyAlignment="1">
      <alignment vertical="center"/>
    </xf>
    <xf numFmtId="0" fontId="15" fillId="0" borderId="0" xfId="0" applyFont="1" applyFill="1" applyBorder="1"/>
    <xf numFmtId="189" fontId="9" fillId="0" borderId="0" xfId="0" applyNumberFormat="1" applyFont="1" applyFill="1" applyBorder="1"/>
    <xf numFmtId="189" fontId="9" fillId="0" borderId="0" xfId="0" applyNumberFormat="1" applyFont="1" applyBorder="1"/>
    <xf numFmtId="189" fontId="6" fillId="0" borderId="0" xfId="0" applyNumberFormat="1" applyFont="1" applyFill="1" applyBorder="1" applyAlignment="1">
      <alignment horizontal="left"/>
    </xf>
    <xf numFmtId="186" fontId="6" fillId="0" borderId="0" xfId="0" applyNumberFormat="1" applyFont="1" applyBorder="1" applyAlignment="1">
      <alignment horizontal="right" vertical="center"/>
    </xf>
    <xf numFmtId="170" fontId="6" fillId="0" borderId="0" xfId="0" applyNumberFormat="1" applyFont="1" applyBorder="1" applyAlignment="1">
      <alignment vertical="center"/>
    </xf>
    <xf numFmtId="0" fontId="0" fillId="0" borderId="0" xfId="0" applyFill="1"/>
    <xf numFmtId="0" fontId="15" fillId="0" borderId="0" xfId="0" applyFont="1" applyFill="1"/>
    <xf numFmtId="189" fontId="9" fillId="0" borderId="0" xfId="0" applyNumberFormat="1" applyFont="1" applyFill="1"/>
    <xf numFmtId="10" fontId="6" fillId="0" borderId="0" xfId="6" applyNumberFormat="1" applyFont="1" applyFill="1" applyBorder="1" applyAlignment="1"/>
    <xf numFmtId="0" fontId="9" fillId="0" borderId="0" xfId="0" applyFont="1" applyFill="1"/>
    <xf numFmtId="189" fontId="9" fillId="0" borderId="0" xfId="0" applyNumberFormat="1" applyFont="1"/>
    <xf numFmtId="170" fontId="12" fillId="0" borderId="0" xfId="0" applyNumberFormat="1" applyFont="1" applyFill="1" applyBorder="1" applyAlignment="1">
      <alignment vertical="center"/>
    </xf>
    <xf numFmtId="186" fontId="12" fillId="0" borderId="0" xfId="0" applyNumberFormat="1" applyFont="1" applyFill="1" applyBorder="1" applyAlignment="1">
      <alignment vertical="center"/>
    </xf>
    <xf numFmtId="0" fontId="12" fillId="0" borderId="0" xfId="0" applyFont="1" applyFill="1" applyBorder="1" applyAlignment="1">
      <alignment vertical="center"/>
    </xf>
    <xf numFmtId="186" fontId="18" fillId="0" borderId="0" xfId="0" applyNumberFormat="1" applyFont="1" applyFill="1" applyBorder="1"/>
    <xf numFmtId="0" fontId="19" fillId="0" borderId="0" xfId="0" applyFont="1" applyFill="1" applyBorder="1"/>
    <xf numFmtId="0" fontId="20" fillId="0" borderId="0" xfId="0" applyFont="1" applyFill="1" applyBorder="1"/>
    <xf numFmtId="0" fontId="21" fillId="0" borderId="0" xfId="0" applyFont="1" applyFill="1" applyBorder="1"/>
    <xf numFmtId="0" fontId="6" fillId="0" borderId="0" xfId="0" applyFont="1" applyFill="1" applyAlignment="1">
      <alignment vertical="center"/>
    </xf>
    <xf numFmtId="186" fontId="6" fillId="0" borderId="0" xfId="0" applyNumberFormat="1" applyFont="1" applyFill="1"/>
    <xf numFmtId="186" fontId="6" fillId="0" borderId="0" xfId="0" applyNumberFormat="1" applyFont="1" applyBorder="1" applyAlignment="1">
      <alignment horizontal="center"/>
    </xf>
    <xf numFmtId="0" fontId="9" fillId="0" borderId="0" xfId="0" applyFont="1" applyBorder="1" applyAlignment="1">
      <alignment horizontal="center"/>
    </xf>
    <xf numFmtId="0" fontId="9" fillId="0" borderId="0" xfId="0" applyFont="1" applyBorder="1"/>
    <xf numFmtId="10" fontId="6" fillId="0" borderId="0" xfId="6" applyNumberFormat="1" applyFont="1" applyFill="1" applyBorder="1" applyAlignment="1">
      <alignment vertical="center"/>
    </xf>
    <xf numFmtId="186" fontId="15" fillId="0" borderId="0" xfId="0" applyNumberFormat="1" applyFont="1" applyFill="1"/>
    <xf numFmtId="0" fontId="22" fillId="0" borderId="0" xfId="0" applyFont="1" applyBorder="1"/>
    <xf numFmtId="0" fontId="6" fillId="0" borderId="0" xfId="0" applyFont="1" applyBorder="1" applyAlignment="1">
      <alignment horizontal="left"/>
    </xf>
    <xf numFmtId="186" fontId="6" fillId="0" borderId="0" xfId="0" applyNumberFormat="1" applyFont="1" applyBorder="1" applyAlignment="1">
      <alignment horizontal="left"/>
    </xf>
    <xf numFmtId="9" fontId="6" fillId="0" borderId="0" xfId="6" applyNumberFormat="1" applyFont="1" applyFill="1" applyBorder="1" applyAlignment="1">
      <alignment vertical="center"/>
    </xf>
    <xf numFmtId="170" fontId="15" fillId="0" borderId="0" xfId="0" applyNumberFormat="1" applyFont="1" applyBorder="1"/>
    <xf numFmtId="9" fontId="6" fillId="0" borderId="0" xfId="6" applyNumberFormat="1" applyFont="1" applyFill="1" applyBorder="1" applyAlignment="1">
      <alignment horizontal="left" vertical="center"/>
    </xf>
    <xf numFmtId="170" fontId="15" fillId="0" borderId="0" xfId="0" applyNumberFormat="1" applyFont="1" applyFill="1" applyBorder="1" applyAlignment="1">
      <alignment horizontal="left"/>
    </xf>
    <xf numFmtId="0" fontId="22" fillId="0" borderId="0" xfId="0" applyFont="1" applyFill="1" applyBorder="1" applyAlignment="1">
      <alignment horizontal="left"/>
    </xf>
    <xf numFmtId="0" fontId="7" fillId="0" borderId="0" xfId="0" applyFont="1" applyFill="1" applyBorder="1" applyAlignment="1">
      <alignment horizontal="left"/>
    </xf>
    <xf numFmtId="0" fontId="2" fillId="0" borderId="0" xfId="0" applyFont="1" applyFill="1" applyBorder="1"/>
    <xf numFmtId="189" fontId="3" fillId="0" borderId="0" xfId="0" applyNumberFormat="1" applyFont="1" applyFill="1" applyBorder="1" applyAlignment="1"/>
    <xf numFmtId="0" fontId="22" fillId="0" borderId="0" xfId="0" applyFont="1" applyFill="1" applyBorder="1"/>
    <xf numFmtId="186" fontId="15" fillId="0" borderId="0" xfId="0" applyNumberFormat="1" applyFont="1" applyFill="1" applyBorder="1"/>
    <xf numFmtId="186" fontId="15" fillId="0" borderId="0" xfId="0" applyNumberFormat="1" applyFont="1" applyFill="1" applyBorder="1" applyAlignment="1">
      <alignment horizontal="left"/>
    </xf>
    <xf numFmtId="0" fontId="22" fillId="0" borderId="0" xfId="0" applyFont="1"/>
    <xf numFmtId="0" fontId="22" fillId="0" borderId="0" xfId="0" applyFont="1" applyFill="1"/>
    <xf numFmtId="186" fontId="15" fillId="0" borderId="0" xfId="0" applyNumberFormat="1" applyFont="1" applyBorder="1"/>
    <xf numFmtId="189" fontId="23" fillId="0" borderId="0" xfId="0" applyNumberFormat="1" applyFont="1" applyBorder="1" applyAlignment="1">
      <alignment vertical="center"/>
    </xf>
    <xf numFmtId="189" fontId="6" fillId="0" borderId="0" xfId="0" applyNumberFormat="1" applyFont="1" applyFill="1" applyAlignment="1">
      <alignment vertical="center"/>
    </xf>
    <xf numFmtId="0" fontId="7" fillId="0" borderId="0" xfId="0" applyFont="1" applyFill="1" applyAlignment="1">
      <alignment horizontal="right" vertical="center"/>
    </xf>
    <xf numFmtId="0" fontId="6" fillId="0" borderId="0" xfId="0" applyFont="1" applyAlignment="1">
      <alignment horizontal="left"/>
    </xf>
    <xf numFmtId="0" fontId="6" fillId="0" borderId="0" xfId="0" applyFont="1" applyFill="1" applyAlignment="1">
      <alignment horizontal="left"/>
    </xf>
    <xf numFmtId="0" fontId="2" fillId="0" borderId="0" xfId="0" applyFont="1" applyFill="1"/>
    <xf numFmtId="0" fontId="2" fillId="0" borderId="0" xfId="0" applyFont="1" applyFill="1" applyAlignment="1">
      <alignment horizontal="left"/>
    </xf>
    <xf numFmtId="0" fontId="6" fillId="0" borderId="0" xfId="0" applyFont="1" applyFill="1" applyBorder="1" applyAlignment="1">
      <alignment horizontal="right" vertical="center"/>
    </xf>
    <xf numFmtId="186" fontId="6" fillId="0" borderId="0" xfId="0" applyNumberFormat="1" applyFont="1" applyFill="1" applyAlignment="1">
      <alignment horizontal="left"/>
    </xf>
    <xf numFmtId="9" fontId="6" fillId="0" borderId="0" xfId="6" applyFont="1"/>
    <xf numFmtId="9" fontId="6" fillId="0" borderId="0" xfId="6" applyFont="1" applyFill="1" applyAlignment="1">
      <alignment horizontal="left"/>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0" xfId="0" applyFont="1" applyAlignment="1">
      <alignment horizontal="right" vertical="center"/>
    </xf>
    <xf numFmtId="0" fontId="6" fillId="0" borderId="0" xfId="0" applyFont="1" applyFill="1" applyAlignment="1"/>
    <xf numFmtId="189" fontId="6" fillId="0" borderId="0" xfId="0" applyNumberFormat="1" applyFont="1" applyFill="1" applyAlignment="1">
      <alignment horizontal="left"/>
    </xf>
    <xf numFmtId="9" fontId="7" fillId="0" borderId="0" xfId="0" applyNumberFormat="1" applyFont="1" applyFill="1" applyBorder="1" applyAlignment="1">
      <alignment horizontal="center"/>
    </xf>
    <xf numFmtId="189" fontId="2" fillId="0" borderId="0" xfId="0" applyNumberFormat="1" applyFont="1" applyFill="1" applyBorder="1" applyAlignment="1">
      <alignment horizontal="left" vertical="center"/>
    </xf>
    <xf numFmtId="9" fontId="2" fillId="0" borderId="0" xfId="6" applyFont="1" applyFill="1" applyBorder="1" applyAlignment="1">
      <alignment horizontal="left"/>
    </xf>
    <xf numFmtId="0" fontId="2" fillId="0" borderId="0" xfId="0" applyFont="1" applyFill="1" applyBorder="1" applyAlignment="1">
      <alignment horizontal="left"/>
    </xf>
    <xf numFmtId="189" fontId="3" fillId="0" borderId="0" xfId="0" applyNumberFormat="1" applyFont="1" applyBorder="1" applyAlignment="1"/>
    <xf numFmtId="189" fontId="7" fillId="0" borderId="0" xfId="0" applyNumberFormat="1" applyFont="1" applyBorder="1" applyAlignment="1">
      <alignment horizontal="center"/>
    </xf>
    <xf numFmtId="189" fontId="6" fillId="0" borderId="0" xfId="0" applyNumberFormat="1" applyFont="1" applyAlignment="1"/>
    <xf numFmtId="0" fontId="25" fillId="0" borderId="0" xfId="0" applyFont="1"/>
    <xf numFmtId="9" fontId="2" fillId="0" borderId="0" xfId="6" applyFont="1" applyAlignment="1"/>
    <xf numFmtId="0" fontId="25" fillId="0" borderId="0" xfId="0" applyFont="1" applyAlignment="1">
      <alignment vertical="center"/>
    </xf>
    <xf numFmtId="170" fontId="25" fillId="0" borderId="0" xfId="0" applyNumberFormat="1" applyFont="1" applyAlignment="1">
      <alignment vertical="center"/>
    </xf>
    <xf numFmtId="0" fontId="26" fillId="0" borderId="0" xfId="0" applyFont="1" applyAlignment="1">
      <alignment vertical="center"/>
    </xf>
    <xf numFmtId="0" fontId="7" fillId="0" borderId="0" xfId="0" applyFont="1" applyBorder="1" applyAlignment="1">
      <alignment horizontal="right" vertical="center"/>
    </xf>
    <xf numFmtId="0" fontId="27" fillId="0" borderId="0" xfId="0" applyFont="1"/>
    <xf numFmtId="0" fontId="28" fillId="0" borderId="0" xfId="0" applyFont="1"/>
    <xf numFmtId="0" fontId="27" fillId="0" borderId="0" xfId="0" applyFont="1" applyAlignment="1">
      <alignment vertical="center"/>
    </xf>
    <xf numFmtId="170" fontId="27" fillId="0" borderId="0" xfId="0" applyNumberFormat="1" applyFont="1" applyAlignment="1">
      <alignment vertical="center"/>
    </xf>
    <xf numFmtId="0" fontId="29" fillId="0" borderId="0" xfId="0" applyFont="1" applyAlignment="1">
      <alignment vertical="center"/>
    </xf>
    <xf numFmtId="0" fontId="30" fillId="0" borderId="0" xfId="0" applyFont="1" applyAlignment="1">
      <alignment vertical="center"/>
    </xf>
    <xf numFmtId="170" fontId="30" fillId="0" borderId="0" xfId="0" applyNumberFormat="1" applyFont="1" applyAlignment="1">
      <alignment vertical="center"/>
    </xf>
    <xf numFmtId="0" fontId="31" fillId="0" borderId="0" xfId="0" applyFont="1" applyAlignment="1">
      <alignment vertical="center"/>
    </xf>
    <xf numFmtId="170" fontId="32" fillId="0" borderId="0" xfId="0" applyNumberFormat="1" applyFont="1" applyFill="1" applyBorder="1" applyAlignment="1">
      <alignment vertical="center"/>
    </xf>
    <xf numFmtId="170" fontId="33" fillId="0" borderId="0" xfId="0" applyNumberFormat="1" applyFont="1" applyFill="1" applyBorder="1" applyAlignment="1">
      <alignment horizontal="center" vertical="center"/>
    </xf>
    <xf numFmtId="170" fontId="33" fillId="0" borderId="0" xfId="0" applyNumberFormat="1" applyFont="1" applyFill="1" applyBorder="1" applyAlignment="1">
      <alignment vertical="center"/>
    </xf>
    <xf numFmtId="0" fontId="34" fillId="0" borderId="0" xfId="0" applyFont="1" applyFill="1" applyBorder="1" applyAlignment="1">
      <alignment vertical="center"/>
    </xf>
    <xf numFmtId="178" fontId="34" fillId="0" borderId="0" xfId="4" applyFont="1" applyFill="1" applyBorder="1" applyAlignment="1">
      <alignment vertical="center"/>
    </xf>
    <xf numFmtId="0" fontId="11" fillId="0" borderId="0" xfId="0" applyFont="1" applyBorder="1" applyAlignment="1">
      <alignment vertical="center"/>
    </xf>
    <xf numFmtId="170" fontId="11" fillId="0" borderId="0" xfId="0" applyNumberFormat="1" applyFont="1" applyBorder="1" applyAlignment="1">
      <alignment vertical="center"/>
    </xf>
    <xf numFmtId="170" fontId="11" fillId="0" borderId="0" xfId="0" applyNumberFormat="1" applyFont="1" applyBorder="1" applyAlignment="1">
      <alignment horizontal="center" vertical="center"/>
    </xf>
    <xf numFmtId="0" fontId="7" fillId="0" borderId="0" xfId="0" applyFont="1" applyBorder="1" applyAlignment="1">
      <alignment vertical="center"/>
    </xf>
    <xf numFmtId="0" fontId="35" fillId="0" borderId="0" xfId="0" applyFont="1" applyBorder="1" applyAlignment="1">
      <alignment vertical="center"/>
    </xf>
    <xf numFmtId="178" fontId="35" fillId="0" borderId="0" xfId="4" applyFont="1" applyBorder="1" applyAlignment="1">
      <alignment vertical="center"/>
    </xf>
    <xf numFmtId="0" fontId="10" fillId="0" borderId="1" xfId="0" applyFont="1" applyFill="1" applyBorder="1" applyAlignment="1">
      <alignment vertical="center"/>
    </xf>
    <xf numFmtId="170" fontId="10" fillId="0" borderId="3" xfId="0" applyNumberFormat="1" applyFont="1" applyFill="1" applyBorder="1" applyAlignment="1">
      <alignment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189" fontId="11" fillId="0" borderId="10" xfId="0" applyNumberFormat="1" applyFont="1" applyFill="1" applyBorder="1" applyAlignment="1">
      <alignment vertical="center"/>
    </xf>
    <xf numFmtId="0" fontId="10" fillId="0" borderId="0" xfId="0" applyFont="1" applyBorder="1" applyAlignment="1">
      <alignment vertical="center"/>
    </xf>
    <xf numFmtId="189" fontId="10" fillId="0" borderId="0" xfId="0" applyNumberFormat="1" applyFont="1" applyBorder="1" applyAlignment="1">
      <alignment vertical="center"/>
    </xf>
    <xf numFmtId="189" fontId="10" fillId="0" borderId="0" xfId="0" applyNumberFormat="1" applyFont="1" applyBorder="1" applyAlignment="1">
      <alignment horizontal="center" vertical="center"/>
    </xf>
    <xf numFmtId="178" fontId="0" fillId="0" borderId="0" xfId="4" applyFont="1" applyBorder="1" applyAlignment="1">
      <alignment vertical="center"/>
    </xf>
    <xf numFmtId="189" fontId="10" fillId="0" borderId="0" xfId="0" applyNumberFormat="1" applyFont="1" applyFill="1" applyBorder="1" applyAlignment="1">
      <alignment horizontal="center" vertical="center"/>
    </xf>
    <xf numFmtId="10" fontId="10" fillId="0" borderId="0" xfId="6" applyNumberFormat="1" applyFont="1" applyFill="1" applyBorder="1" applyAlignment="1">
      <alignment vertical="center"/>
    </xf>
    <xf numFmtId="0" fontId="36" fillId="0" borderId="0" xfId="0" applyFont="1" applyBorder="1" applyAlignment="1">
      <alignment vertical="center"/>
    </xf>
    <xf numFmtId="178" fontId="36" fillId="0" borderId="0" xfId="4" applyFont="1" applyBorder="1" applyAlignment="1">
      <alignment vertical="center"/>
    </xf>
    <xf numFmtId="178" fontId="15" fillId="0" borderId="0" xfId="4" applyFont="1" applyFill="1" applyAlignment="1">
      <alignment vertical="center"/>
    </xf>
    <xf numFmtId="178" fontId="6" fillId="0" borderId="0" xfId="4" applyFont="1" applyBorder="1" applyAlignment="1">
      <alignment vertical="center"/>
    </xf>
    <xf numFmtId="189" fontId="6" fillId="0" borderId="0" xfId="0" applyNumberFormat="1" applyFont="1" applyFill="1" applyBorder="1" applyAlignment="1">
      <alignment horizontal="center" vertical="center"/>
    </xf>
    <xf numFmtId="186" fontId="7" fillId="0" borderId="0" xfId="0" applyNumberFormat="1" applyFont="1" applyBorder="1" applyAlignment="1">
      <alignment vertical="center"/>
    </xf>
    <xf numFmtId="186" fontId="15" fillId="0" borderId="0" xfId="0" applyNumberFormat="1" applyFont="1" applyBorder="1" applyAlignment="1">
      <alignment vertical="center"/>
    </xf>
    <xf numFmtId="178" fontId="15" fillId="0" borderId="0" xfId="4" applyFont="1" applyBorder="1" applyAlignment="1">
      <alignment vertical="center"/>
    </xf>
    <xf numFmtId="186" fontId="22" fillId="0" borderId="0" xfId="0" applyNumberFormat="1" applyFont="1" applyBorder="1" applyAlignment="1">
      <alignment vertical="center"/>
    </xf>
    <xf numFmtId="189" fontId="11" fillId="2" borderId="11" xfId="0" applyNumberFormat="1" applyFont="1" applyFill="1" applyBorder="1" applyAlignment="1">
      <alignment vertical="center"/>
    </xf>
    <xf numFmtId="189" fontId="11" fillId="0" borderId="0" xfId="0" applyNumberFormat="1" applyFont="1" applyBorder="1" applyAlignment="1">
      <alignment horizontal="center" vertical="center"/>
    </xf>
    <xf numFmtId="189" fontId="11" fillId="0" borderId="0" xfId="0" applyNumberFormat="1" applyFont="1" applyBorder="1" applyAlignment="1">
      <alignment vertical="center"/>
    </xf>
    <xf numFmtId="0" fontId="37" fillId="0" borderId="0" xfId="0" applyFont="1" applyBorder="1" applyAlignment="1">
      <alignment vertical="center"/>
    </xf>
    <xf numFmtId="178" fontId="37" fillId="0" borderId="0" xfId="4" applyFont="1" applyBorder="1" applyAlignment="1">
      <alignment vertical="center"/>
    </xf>
    <xf numFmtId="189" fontId="10" fillId="0" borderId="0" xfId="0" applyNumberFormat="1" applyFont="1" applyFill="1" applyBorder="1" applyAlignment="1">
      <alignment horizontal="left" vertical="center"/>
    </xf>
    <xf numFmtId="0" fontId="36" fillId="0" borderId="0" xfId="0" applyFont="1" applyFill="1" applyBorder="1" applyAlignment="1">
      <alignment horizontal="left" vertical="center"/>
    </xf>
    <xf numFmtId="178" fontId="36" fillId="0" borderId="0" xfId="4" applyFont="1" applyFill="1" applyBorder="1" applyAlignment="1">
      <alignment horizontal="left" vertical="center"/>
    </xf>
    <xf numFmtId="178" fontId="6" fillId="0" borderId="0" xfId="4" applyFont="1" applyFill="1" applyBorder="1" applyAlignment="1">
      <alignment vertical="center"/>
    </xf>
    <xf numFmtId="178" fontId="2" fillId="0" borderId="0" xfId="4" applyFont="1" applyBorder="1" applyAlignment="1">
      <alignment vertical="center"/>
    </xf>
    <xf numFmtId="0" fontId="7" fillId="0" borderId="0" xfId="0" applyFont="1" applyFill="1" applyBorder="1" applyAlignment="1">
      <alignment horizontal="left" vertical="center"/>
    </xf>
    <xf numFmtId="189" fontId="11" fillId="3" borderId="11" xfId="0" applyNumberFormat="1" applyFont="1" applyFill="1" applyBorder="1" applyAlignment="1">
      <alignment vertical="center"/>
    </xf>
    <xf numFmtId="189" fontId="11" fillId="0" borderId="0" xfId="0" applyNumberFormat="1" applyFont="1" applyFill="1" applyBorder="1" applyAlignment="1">
      <alignment vertical="center"/>
    </xf>
    <xf numFmtId="178" fontId="2" fillId="0" borderId="0" xfId="4" applyFont="1" applyFill="1" applyBorder="1" applyAlignment="1">
      <alignment vertical="center"/>
    </xf>
    <xf numFmtId="189" fontId="11" fillId="0" borderId="0" xfId="0" applyNumberFormat="1" applyFont="1" applyFill="1" applyBorder="1" applyAlignment="1">
      <alignment horizontal="center" vertical="center"/>
    </xf>
    <xf numFmtId="189" fontId="10" fillId="0" borderId="0" xfId="0" applyNumberFormat="1" applyFont="1" applyFill="1" applyBorder="1" applyAlignment="1">
      <alignment vertical="center"/>
    </xf>
    <xf numFmtId="0" fontId="38" fillId="0" borderId="0" xfId="0" applyFont="1" applyAlignment="1">
      <alignment vertical="center"/>
    </xf>
    <xf numFmtId="189" fontId="10" fillId="0" borderId="3" xfId="0" applyNumberFormat="1" applyFont="1" applyFill="1" applyBorder="1" applyAlignment="1">
      <alignment vertical="center"/>
    </xf>
    <xf numFmtId="0" fontId="39" fillId="0" borderId="0" xfId="0" applyFont="1" applyBorder="1" applyAlignment="1">
      <alignment vertical="center"/>
    </xf>
    <xf numFmtId="178" fontId="39" fillId="0" borderId="0" xfId="4" applyFont="1" applyBorder="1" applyAlignment="1">
      <alignment vertical="center"/>
    </xf>
    <xf numFmtId="178" fontId="9" fillId="0" borderId="0" xfId="4" applyFont="1" applyFill="1" applyBorder="1" applyAlignment="1">
      <alignment horizontal="left" vertical="center"/>
    </xf>
    <xf numFmtId="189" fontId="13" fillId="0" borderId="0" xfId="0" applyNumberFormat="1" applyFont="1" applyBorder="1" applyAlignment="1">
      <alignment vertical="center"/>
    </xf>
    <xf numFmtId="0" fontId="22" fillId="0" borderId="0" xfId="0" applyFont="1" applyBorder="1" applyAlignment="1">
      <alignment vertical="center"/>
    </xf>
    <xf numFmtId="178" fontId="22" fillId="0" borderId="0" xfId="4" applyFont="1" applyBorder="1" applyAlignment="1">
      <alignment vertical="center"/>
    </xf>
    <xf numFmtId="189" fontId="10" fillId="0" borderId="0" xfId="0" applyNumberFormat="1" applyFont="1" applyBorder="1" applyAlignment="1">
      <alignment horizontal="left" vertical="center"/>
    </xf>
    <xf numFmtId="189" fontId="11" fillId="0" borderId="0" xfId="0" applyNumberFormat="1" applyFont="1" applyBorder="1" applyAlignment="1">
      <alignment horizontal="left" vertical="center"/>
    </xf>
    <xf numFmtId="189" fontId="0" fillId="0" borderId="0" xfId="0" applyNumberFormat="1" applyBorder="1" applyAlignment="1">
      <alignment vertical="center"/>
    </xf>
    <xf numFmtId="0" fontId="16" fillId="0" borderId="0" xfId="0" applyFont="1" applyBorder="1" applyAlignment="1">
      <alignment vertical="center"/>
    </xf>
    <xf numFmtId="189" fontId="2" fillId="0" borderId="8" xfId="0" applyNumberFormat="1" applyFont="1" applyFill="1" applyBorder="1" applyAlignment="1">
      <alignment vertical="center"/>
    </xf>
    <xf numFmtId="189" fontId="2" fillId="0" borderId="3" xfId="0" applyNumberFormat="1" applyFont="1" applyFill="1" applyBorder="1" applyAlignment="1">
      <alignment vertical="center"/>
    </xf>
    <xf numFmtId="178" fontId="0" fillId="0" borderId="0" xfId="4" applyFont="1" applyFill="1" applyBorder="1" applyAlignment="1">
      <alignment vertical="center"/>
    </xf>
    <xf numFmtId="189" fontId="2" fillId="0" borderId="7" xfId="0" applyNumberFormat="1" applyFont="1" applyFill="1" applyBorder="1" applyAlignment="1">
      <alignment vertical="center"/>
    </xf>
    <xf numFmtId="189" fontId="6" fillId="0" borderId="3" xfId="0" applyNumberFormat="1" applyFont="1" applyFill="1" applyBorder="1" applyAlignment="1">
      <alignment vertical="center"/>
    </xf>
    <xf numFmtId="0" fontId="10" fillId="0" borderId="2" xfId="0" applyFont="1" applyFill="1" applyBorder="1" applyAlignment="1">
      <alignment vertical="center"/>
    </xf>
    <xf numFmtId="186" fontId="0" fillId="0" borderId="0" xfId="0" applyNumberFormat="1" applyFill="1" applyBorder="1" applyAlignment="1">
      <alignment vertical="center"/>
    </xf>
    <xf numFmtId="189" fontId="0" fillId="0" borderId="0" xfId="0" applyNumberFormat="1" applyFill="1" applyBorder="1" applyAlignment="1">
      <alignment vertical="center"/>
    </xf>
    <xf numFmtId="189" fontId="14" fillId="0" borderId="0" xfId="0" applyNumberFormat="1" applyFont="1" applyFill="1" applyBorder="1" applyAlignment="1">
      <alignment vertical="center"/>
    </xf>
    <xf numFmtId="189" fontId="9" fillId="0" borderId="0" xfId="0" applyNumberFormat="1" applyFont="1" applyFill="1" applyBorder="1" applyAlignment="1">
      <alignment horizontal="left" vertical="center"/>
    </xf>
    <xf numFmtId="189" fontId="39" fillId="0" borderId="0" xfId="0" applyNumberFormat="1" applyFont="1" applyFill="1" applyBorder="1" applyAlignment="1">
      <alignment vertical="center"/>
    </xf>
    <xf numFmtId="0" fontId="10" fillId="0" borderId="0" xfId="0" applyFont="1" applyAlignment="1">
      <alignment vertical="center"/>
    </xf>
    <xf numFmtId="0" fontId="19" fillId="0" borderId="0" xfId="0" applyFont="1" applyBorder="1" applyAlignment="1">
      <alignment vertical="center"/>
    </xf>
    <xf numFmtId="178" fontId="19" fillId="0" borderId="0" xfId="4" applyFont="1" applyBorder="1" applyAlignment="1">
      <alignment vertical="center"/>
    </xf>
    <xf numFmtId="189" fontId="10" fillId="0" borderId="4" xfId="0" applyNumberFormat="1" applyFont="1" applyFill="1" applyBorder="1" applyAlignment="1">
      <alignment vertical="center"/>
    </xf>
    <xf numFmtId="0" fontId="11" fillId="0" borderId="0" xfId="0" applyFont="1" applyFill="1" applyAlignment="1">
      <alignment vertical="center"/>
    </xf>
    <xf numFmtId="189" fontId="11" fillId="0" borderId="0" xfId="0" applyNumberFormat="1" applyFont="1" applyFill="1" applyAlignment="1">
      <alignment vertical="center"/>
    </xf>
    <xf numFmtId="189" fontId="11" fillId="0" borderId="0" xfId="0" applyNumberFormat="1" applyFont="1" applyFill="1" applyAlignment="1">
      <alignment horizontal="right" vertical="center"/>
    </xf>
    <xf numFmtId="189" fontId="10" fillId="0" borderId="0" xfId="0" applyNumberFormat="1" applyFont="1" applyFill="1" applyAlignment="1">
      <alignment vertical="center"/>
    </xf>
    <xf numFmtId="189" fontId="11" fillId="0" borderId="0" xfId="0" applyNumberFormat="1" applyFont="1" applyFill="1" applyBorder="1" applyAlignment="1">
      <alignment horizontal="right" vertical="center"/>
    </xf>
    <xf numFmtId="0" fontId="11" fillId="0" borderId="0" xfId="0" applyFont="1" applyFill="1" applyBorder="1" applyAlignment="1">
      <alignment vertical="center"/>
    </xf>
    <xf numFmtId="0" fontId="7" fillId="0" borderId="0" xfId="0" applyFont="1" applyFill="1" applyAlignment="1">
      <alignment vertical="center"/>
    </xf>
    <xf numFmtId="170" fontId="10" fillId="0" borderId="0" xfId="0" applyNumberFormat="1" applyFont="1" applyAlignment="1">
      <alignment horizontal="center" vertical="center"/>
    </xf>
    <xf numFmtId="178" fontId="0" fillId="0" borderId="0" xfId="4" applyFont="1" applyAlignment="1">
      <alignment vertical="center"/>
    </xf>
    <xf numFmtId="170" fontId="10" fillId="0" borderId="0" xfId="0" applyNumberFormat="1" applyFont="1" applyAlignment="1">
      <alignment vertical="center"/>
    </xf>
    <xf numFmtId="0" fontId="2" fillId="0" borderId="0" xfId="0" applyFont="1" applyAlignment="1">
      <alignment horizontal="left" vertical="center"/>
    </xf>
    <xf numFmtId="0" fontId="6" fillId="0" borderId="0" xfId="0" applyFont="1" applyAlignment="1">
      <alignment horizontal="left" vertical="center"/>
    </xf>
    <xf numFmtId="189" fontId="6" fillId="0" borderId="0" xfId="0" applyNumberFormat="1" applyFont="1" applyAlignment="1">
      <alignment horizontal="left" vertical="center"/>
    </xf>
    <xf numFmtId="9" fontId="6" fillId="0" borderId="0" xfId="0" applyNumberFormat="1" applyFont="1" applyFill="1" applyBorder="1" applyAlignment="1">
      <alignment horizontal="right" vertical="center"/>
    </xf>
    <xf numFmtId="0" fontId="6" fillId="0" borderId="0" xfId="0" applyFont="1" applyFill="1" applyAlignment="1">
      <alignment horizontal="left" vertical="center"/>
    </xf>
    <xf numFmtId="9" fontId="6" fillId="0" borderId="0" xfId="0" applyNumberFormat="1" applyFont="1" applyBorder="1" applyAlignment="1">
      <alignment horizontal="right" vertical="center"/>
    </xf>
    <xf numFmtId="186" fontId="6" fillId="0" borderId="0" xfId="0" applyNumberFormat="1" applyFont="1" applyBorder="1" applyAlignment="1">
      <alignment horizontal="left" vertical="center"/>
    </xf>
    <xf numFmtId="189" fontId="2" fillId="0" borderId="0" xfId="0" applyNumberFormat="1" applyFont="1" applyFill="1" applyAlignment="1">
      <alignment horizontal="left" vertical="center"/>
    </xf>
    <xf numFmtId="0" fontId="2" fillId="0" borderId="0" xfId="0" applyFont="1" applyFill="1" applyAlignment="1">
      <alignment horizontal="left"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4" fontId="2"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3" fillId="0" borderId="0" xfId="0" applyNumberFormat="1" applyFont="1" applyBorder="1" applyAlignment="1">
      <alignment horizontal="right" vertical="center"/>
    </xf>
    <xf numFmtId="9" fontId="7" fillId="0" borderId="0" xfId="0" applyNumberFormat="1" applyFont="1" applyBorder="1" applyAlignment="1">
      <alignment vertical="center"/>
    </xf>
    <xf numFmtId="4" fontId="13" fillId="0" borderId="0" xfId="0" applyNumberFormat="1" applyFont="1" applyFill="1" applyBorder="1" applyAlignment="1">
      <alignment horizontal="left" vertical="center"/>
    </xf>
    <xf numFmtId="4" fontId="2" fillId="0" borderId="0" xfId="0" applyNumberFormat="1" applyFont="1" applyFill="1" applyBorder="1" applyAlignment="1">
      <alignment horizontal="left" vertical="center"/>
    </xf>
    <xf numFmtId="9" fontId="6" fillId="0" borderId="0" xfId="0" applyNumberFormat="1" applyFont="1" applyFill="1" applyBorder="1" applyAlignment="1">
      <alignment horizontal="left" vertical="center"/>
    </xf>
    <xf numFmtId="189" fontId="13" fillId="0" borderId="0" xfId="0" applyNumberFormat="1" applyFont="1" applyFill="1" applyBorder="1" applyAlignment="1">
      <alignment horizontal="left" vertical="center"/>
    </xf>
    <xf numFmtId="186" fontId="6" fillId="0" borderId="0" xfId="0" applyNumberFormat="1" applyFont="1" applyFill="1" applyBorder="1" applyAlignment="1">
      <alignment horizontal="right" vertical="center"/>
    </xf>
    <xf numFmtId="9" fontId="6" fillId="0" borderId="0" xfId="0" applyNumberFormat="1" applyFont="1" applyFill="1" applyBorder="1" applyAlignment="1">
      <alignment vertical="center"/>
    </xf>
    <xf numFmtId="0" fontId="13" fillId="0" borderId="0" xfId="0" applyFont="1" applyBorder="1"/>
    <xf numFmtId="9" fontId="6" fillId="0" borderId="0" xfId="0" applyNumberFormat="1" applyFont="1" applyBorder="1" applyAlignment="1">
      <alignment vertical="center"/>
    </xf>
    <xf numFmtId="189" fontId="13" fillId="0" borderId="0" xfId="0" applyNumberFormat="1" applyFont="1" applyFill="1" applyAlignment="1">
      <alignment vertical="center"/>
    </xf>
    <xf numFmtId="9" fontId="2" fillId="0" borderId="0" xfId="0" applyNumberFormat="1" applyFont="1" applyAlignment="1">
      <alignment vertical="center"/>
    </xf>
    <xf numFmtId="9" fontId="6" fillId="0" borderId="0" xfId="0" applyNumberFormat="1" applyFont="1" applyAlignment="1">
      <alignment horizontal="left" vertical="center"/>
    </xf>
    <xf numFmtId="9" fontId="2" fillId="0" borderId="0" xfId="0" applyNumberFormat="1" applyFont="1" applyFill="1" applyAlignment="1">
      <alignment horizontal="left" vertical="center"/>
    </xf>
    <xf numFmtId="9" fontId="7" fillId="0" borderId="0" xfId="0" applyNumberFormat="1" applyFont="1" applyFill="1" applyBorder="1" applyAlignment="1">
      <alignment vertical="center"/>
    </xf>
    <xf numFmtId="9" fontId="13" fillId="0" borderId="0" xfId="0" applyNumberFormat="1" applyFont="1" applyFill="1" applyBorder="1" applyAlignment="1">
      <alignment vertical="center"/>
    </xf>
    <xf numFmtId="189" fontId="14" fillId="0" borderId="0" xfId="0" applyNumberFormat="1" applyFont="1" applyFill="1" applyAlignment="1">
      <alignment vertical="center"/>
    </xf>
    <xf numFmtId="0" fontId="13" fillId="0" borderId="0" xfId="0" applyFont="1" applyFill="1" applyAlignment="1">
      <alignment vertical="center"/>
    </xf>
    <xf numFmtId="4" fontId="13" fillId="0" borderId="0" xfId="0" applyNumberFormat="1" applyFont="1" applyFill="1" applyAlignment="1">
      <alignment horizontal="center" vertical="center"/>
    </xf>
    <xf numFmtId="186" fontId="14" fillId="0" borderId="0" xfId="0" applyNumberFormat="1" applyFont="1" applyFill="1" applyBorder="1" applyAlignment="1">
      <alignment vertical="center"/>
    </xf>
    <xf numFmtId="4" fontId="13" fillId="0" borderId="0" xfId="0" applyNumberFormat="1" applyFont="1" applyFill="1" applyBorder="1" applyAlignment="1">
      <alignment horizontal="center" vertical="center"/>
    </xf>
    <xf numFmtId="189" fontId="6" fillId="0" borderId="0" xfId="0" applyNumberFormat="1" applyFont="1" applyFill="1" applyAlignment="1">
      <alignment horizontal="left" vertical="center"/>
    </xf>
    <xf numFmtId="189" fontId="13" fillId="0" borderId="0" xfId="0" applyNumberFormat="1" applyFont="1" applyFill="1" applyAlignment="1">
      <alignment horizontal="left" vertical="center"/>
    </xf>
    <xf numFmtId="189" fontId="6" fillId="0" borderId="4" xfId="0" applyNumberFormat="1" applyFont="1" applyFill="1" applyBorder="1" applyAlignment="1">
      <alignment vertical="center"/>
    </xf>
    <xf numFmtId="189" fontId="6" fillId="0" borderId="7" xfId="0" applyNumberFormat="1" applyFont="1" applyFill="1" applyBorder="1" applyAlignment="1">
      <alignment vertical="center"/>
    </xf>
    <xf numFmtId="189" fontId="23" fillId="0" borderId="0" xfId="0" applyNumberFormat="1" applyFont="1" applyFill="1" applyBorder="1" applyAlignment="1">
      <alignment vertical="center"/>
    </xf>
    <xf numFmtId="9" fontId="2" fillId="0" borderId="0" xfId="6" applyFont="1" applyAlignment="1">
      <alignment vertical="center"/>
    </xf>
    <xf numFmtId="9" fontId="2" fillId="0" borderId="0" xfId="6" applyFont="1" applyFill="1" applyAlignment="1">
      <alignment vertical="center"/>
    </xf>
    <xf numFmtId="189" fontId="7" fillId="4" borderId="11" xfId="0" applyNumberFormat="1" applyFont="1" applyFill="1" applyBorder="1" applyAlignment="1">
      <alignment vertical="center"/>
    </xf>
    <xf numFmtId="189" fontId="7" fillId="5" borderId="11" xfId="0" applyNumberFormat="1" applyFont="1" applyFill="1" applyBorder="1" applyAlignment="1">
      <alignment vertical="center"/>
    </xf>
    <xf numFmtId="189" fontId="14" fillId="0" borderId="0" xfId="0" applyNumberFormat="1" applyFont="1" applyBorder="1" applyAlignment="1">
      <alignment vertical="center"/>
    </xf>
    <xf numFmtId="0" fontId="14" fillId="0" borderId="0" xfId="0" applyFont="1" applyBorder="1" applyAlignment="1">
      <alignment vertical="center"/>
    </xf>
    <xf numFmtId="189" fontId="14" fillId="0" borderId="0" xfId="0" applyNumberFormat="1" applyFont="1" applyAlignment="1">
      <alignment vertical="center"/>
    </xf>
    <xf numFmtId="0" fontId="13" fillId="0" borderId="0" xfId="0" applyFont="1" applyAlignment="1">
      <alignment vertical="center"/>
    </xf>
    <xf numFmtId="189" fontId="3" fillId="0" borderId="0" xfId="0" applyNumberFormat="1" applyFont="1" applyBorder="1" applyAlignment="1">
      <alignment vertical="center"/>
    </xf>
    <xf numFmtId="0" fontId="40" fillId="0" borderId="0" xfId="0" applyFont="1" applyFill="1" applyBorder="1" applyAlignment="1">
      <alignment vertical="center"/>
    </xf>
    <xf numFmtId="189" fontId="40" fillId="0" borderId="0" xfId="0" applyNumberFormat="1" applyFont="1" applyFill="1" applyBorder="1" applyAlignment="1">
      <alignment vertical="center"/>
    </xf>
    <xf numFmtId="189" fontId="40" fillId="0" borderId="0" xfId="0" applyNumberFormat="1" applyFont="1" applyFill="1" applyBorder="1" applyAlignment="1">
      <alignment horizontal="right" vertical="center"/>
    </xf>
    <xf numFmtId="0" fontId="40" fillId="0" borderId="0" xfId="0" applyFont="1" applyFill="1" applyBorder="1" applyAlignment="1">
      <alignment horizontal="right" vertical="center"/>
    </xf>
    <xf numFmtId="9" fontId="40" fillId="0" borderId="0" xfId="0" applyNumberFormat="1" applyFont="1" applyFill="1" applyBorder="1" applyAlignment="1">
      <alignment vertical="center"/>
    </xf>
    <xf numFmtId="9" fontId="2" fillId="0" borderId="0" xfId="0" applyNumberFormat="1" applyFont="1" applyFill="1" applyBorder="1" applyAlignment="1">
      <alignment vertical="center"/>
    </xf>
    <xf numFmtId="189" fontId="2" fillId="0" borderId="0" xfId="0" applyNumberFormat="1" applyFont="1" applyFill="1" applyBorder="1" applyAlignment="1">
      <alignment horizontal="right" vertical="center"/>
    </xf>
    <xf numFmtId="189" fontId="6" fillId="0" borderId="4" xfId="0" applyNumberFormat="1" applyFont="1" applyFill="1" applyBorder="1" applyAlignment="1">
      <alignment horizontal="right" vertical="center"/>
    </xf>
    <xf numFmtId="4" fontId="6" fillId="0" borderId="0" xfId="0" applyNumberFormat="1" applyFont="1" applyFill="1" applyBorder="1" applyAlignment="1">
      <alignment vertical="center"/>
    </xf>
    <xf numFmtId="4" fontId="6" fillId="0" borderId="0" xfId="0" applyNumberFormat="1" applyFont="1" applyFill="1" applyBorder="1" applyAlignment="1">
      <alignment horizontal="right" vertical="center"/>
    </xf>
    <xf numFmtId="4" fontId="7" fillId="0" borderId="0" xfId="0" applyNumberFormat="1" applyFont="1" applyFill="1" applyBorder="1" applyAlignment="1">
      <alignment horizontal="right" vertical="center"/>
    </xf>
    <xf numFmtId="4" fontId="7" fillId="0" borderId="0" xfId="0" applyNumberFormat="1" applyFont="1" applyBorder="1" applyAlignment="1">
      <alignment horizontal="right" vertical="center"/>
    </xf>
    <xf numFmtId="4" fontId="6" fillId="0" borderId="0" xfId="0" applyNumberFormat="1" applyFont="1" applyBorder="1" applyAlignment="1">
      <alignment horizontal="right" vertical="center"/>
    </xf>
    <xf numFmtId="4" fontId="3" fillId="0" borderId="0" xfId="0" applyNumberFormat="1" applyFont="1" applyFill="1" applyBorder="1" applyAlignment="1">
      <alignment horizontal="right" vertical="center"/>
    </xf>
    <xf numFmtId="4" fontId="6" fillId="0" borderId="0" xfId="0" applyNumberFormat="1" applyFont="1" applyFill="1" applyBorder="1" applyAlignment="1">
      <alignment horizontal="left" vertical="center"/>
    </xf>
    <xf numFmtId="4" fontId="2" fillId="0" borderId="0" xfId="0" applyNumberFormat="1" applyFont="1" applyFill="1" applyAlignment="1">
      <alignment horizontal="right" vertical="center"/>
    </xf>
    <xf numFmtId="9" fontId="2" fillId="0" borderId="0" xfId="0" applyNumberFormat="1" applyFont="1" applyFill="1" applyAlignment="1">
      <alignment vertical="center"/>
    </xf>
    <xf numFmtId="4" fontId="2" fillId="0" borderId="0" xfId="0" applyNumberFormat="1" applyFont="1" applyFill="1" applyAlignment="1">
      <alignment horizontal="left" vertical="center"/>
    </xf>
    <xf numFmtId="9" fontId="6" fillId="0" borderId="0" xfId="0" applyNumberFormat="1" applyFont="1" applyFill="1" applyBorder="1" applyAlignment="1">
      <alignment horizontal="center" vertical="center"/>
    </xf>
    <xf numFmtId="0" fontId="3" fillId="0" borderId="0" xfId="0" applyFont="1" applyBorder="1"/>
    <xf numFmtId="4" fontId="3" fillId="0" borderId="0" xfId="0" applyNumberFormat="1" applyFont="1" applyBorder="1" applyAlignment="1">
      <alignment horizontal="left" vertical="center"/>
    </xf>
    <xf numFmtId="9" fontId="2" fillId="0" borderId="0" xfId="0" applyNumberFormat="1" applyFont="1" applyBorder="1" applyAlignment="1">
      <alignment vertical="center"/>
    </xf>
    <xf numFmtId="189" fontId="6" fillId="0" borderId="0" xfId="0" applyNumberFormat="1" applyFont="1" applyFill="1" applyAlignment="1">
      <alignment horizontal="center" vertical="center"/>
    </xf>
    <xf numFmtId="4" fontId="2" fillId="0" borderId="0" xfId="0" applyNumberFormat="1" applyFont="1" applyAlignment="1">
      <alignment horizontal="right" vertical="center"/>
    </xf>
    <xf numFmtId="0" fontId="13" fillId="0" borderId="0" xfId="0" applyFont="1" applyFill="1" applyBorder="1" applyAlignment="1">
      <alignment vertical="center"/>
    </xf>
    <xf numFmtId="189" fontId="13" fillId="0" borderId="0" xfId="0" applyNumberFormat="1" applyFont="1" applyFill="1" applyBorder="1" applyAlignment="1">
      <alignment vertical="center"/>
    </xf>
    <xf numFmtId="0" fontId="40" fillId="0" borderId="0" xfId="0" applyFont="1" applyBorder="1" applyAlignment="1">
      <alignment vertical="center"/>
    </xf>
    <xf numFmtId="4" fontId="6" fillId="0" borderId="0" xfId="0" applyNumberFormat="1" applyFont="1" applyAlignment="1">
      <alignment horizontal="right" vertical="center"/>
    </xf>
    <xf numFmtId="4" fontId="6" fillId="0" borderId="0" xfId="0" applyNumberFormat="1" applyFont="1" applyFill="1" applyAlignment="1">
      <alignment horizontal="right" vertical="center"/>
    </xf>
    <xf numFmtId="9" fontId="6" fillId="0" borderId="0" xfId="0" applyNumberFormat="1" applyFont="1" applyAlignment="1">
      <alignment vertical="center"/>
    </xf>
    <xf numFmtId="0" fontId="2" fillId="0" borderId="0" xfId="0" applyFont="1" applyFill="1" applyAlignment="1">
      <alignment horizontal="right" vertical="center"/>
    </xf>
    <xf numFmtId="189" fontId="6" fillId="0" borderId="6" xfId="0" applyNumberFormat="1" applyFont="1" applyFill="1" applyBorder="1" applyAlignment="1">
      <alignment vertical="center"/>
    </xf>
    <xf numFmtId="189" fontId="6" fillId="0" borderId="6" xfId="0" applyNumberFormat="1" applyFont="1" applyFill="1" applyBorder="1" applyAlignment="1">
      <alignment horizontal="right" vertical="center"/>
    </xf>
    <xf numFmtId="189" fontId="6" fillId="0" borderId="8" xfId="0" applyNumberFormat="1" applyFont="1" applyFill="1" applyBorder="1" applyAlignment="1">
      <alignment vertical="center"/>
    </xf>
    <xf numFmtId="194" fontId="2" fillId="0" borderId="0" xfId="0" applyNumberFormat="1" applyFont="1" applyBorder="1" applyAlignment="1">
      <alignment vertical="center"/>
    </xf>
    <xf numFmtId="0" fontId="13" fillId="0" borderId="0" xfId="0" applyFont="1" applyBorder="1" applyAlignment="1">
      <alignment vertical="center"/>
    </xf>
    <xf numFmtId="0" fontId="6" fillId="0" borderId="0" xfId="0" applyFont="1" applyFill="1" applyBorder="1" applyAlignment="1">
      <alignment horizontal="center" vertical="center"/>
    </xf>
    <xf numFmtId="195" fontId="6" fillId="0" borderId="0" xfId="0" applyNumberFormat="1" applyFont="1" applyBorder="1" applyAlignment="1">
      <alignment vertical="center"/>
    </xf>
    <xf numFmtId="4" fontId="2" fillId="0" borderId="0" xfId="0" applyNumberFormat="1" applyFont="1" applyFill="1" applyBorder="1" applyAlignment="1">
      <alignment vertical="center"/>
    </xf>
    <xf numFmtId="0" fontId="6" fillId="0" borderId="0" xfId="0" applyFont="1" applyFill="1" applyAlignment="1">
      <alignment horizontal="right" vertical="center"/>
    </xf>
    <xf numFmtId="9" fontId="6" fillId="0" borderId="0" xfId="0" applyNumberFormat="1" applyFont="1" applyFill="1" applyAlignment="1">
      <alignment vertical="center"/>
    </xf>
    <xf numFmtId="189" fontId="6" fillId="0" borderId="0" xfId="0" applyNumberFormat="1" applyFont="1" applyFill="1" applyAlignment="1">
      <alignment horizontal="right" vertical="center"/>
    </xf>
    <xf numFmtId="9" fontId="7" fillId="0" borderId="0" xfId="0" applyNumberFormat="1" applyFont="1" applyFill="1" applyAlignment="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189" fontId="7" fillId="0" borderId="6" xfId="0" applyNumberFormat="1" applyFont="1" applyFill="1" applyBorder="1" applyAlignment="1">
      <alignment vertical="center"/>
    </xf>
    <xf numFmtId="9" fontId="2" fillId="0" borderId="0" xfId="0" applyNumberFormat="1" applyFont="1" applyFill="1" applyBorder="1" applyAlignment="1">
      <alignment horizontal="right" vertical="center"/>
    </xf>
    <xf numFmtId="9" fontId="2" fillId="0" borderId="0" xfId="0" applyNumberFormat="1" applyFont="1" applyFill="1" applyBorder="1" applyAlignment="1">
      <alignment horizontal="left" vertical="center"/>
    </xf>
    <xf numFmtId="0" fontId="7" fillId="0" borderId="0" xfId="0" applyFont="1" applyAlignment="1">
      <alignment horizontal="right" vertical="center"/>
    </xf>
    <xf numFmtId="9" fontId="7" fillId="0" borderId="0" xfId="0" applyNumberFormat="1" applyFont="1" applyAlignment="1">
      <alignment vertical="center"/>
    </xf>
    <xf numFmtId="9" fontId="6" fillId="0" borderId="0" xfId="0" applyNumberFormat="1" applyFont="1" applyFill="1" applyAlignment="1">
      <alignment horizontal="left" vertical="center"/>
    </xf>
    <xf numFmtId="9" fontId="7" fillId="0" borderId="0" xfId="0" applyNumberFormat="1" applyFont="1" applyFill="1" applyBorder="1" applyAlignment="1">
      <alignment horizontal="center" vertical="center"/>
    </xf>
    <xf numFmtId="189" fontId="6" fillId="0" borderId="0" xfId="4" applyNumberFormat="1" applyFont="1" applyFill="1" applyAlignment="1">
      <alignment horizontal="right" vertical="center"/>
    </xf>
    <xf numFmtId="4" fontId="6" fillId="0" borderId="0" xfId="0" applyNumberFormat="1" applyFont="1" applyBorder="1" applyAlignment="1">
      <alignment horizontal="left" vertical="center"/>
    </xf>
    <xf numFmtId="9" fontId="2" fillId="0" borderId="0" xfId="0" applyNumberFormat="1" applyFont="1" applyBorder="1" applyAlignment="1">
      <alignment horizontal="right" vertical="center"/>
    </xf>
    <xf numFmtId="9" fontId="3" fillId="0" borderId="0" xfId="0" applyNumberFormat="1" applyFont="1" applyBorder="1" applyAlignment="1">
      <alignment horizontal="right" vertical="center"/>
    </xf>
    <xf numFmtId="195" fontId="13" fillId="0" borderId="0" xfId="0" applyNumberFormat="1" applyFont="1" applyBorder="1" applyAlignment="1">
      <alignment vertical="center"/>
    </xf>
    <xf numFmtId="4" fontId="7" fillId="0" borderId="0" xfId="0" applyNumberFormat="1" applyFont="1" applyBorder="1" applyAlignment="1">
      <alignment vertical="center"/>
    </xf>
    <xf numFmtId="186" fontId="6" fillId="0" borderId="4" xfId="0" applyNumberFormat="1" applyFont="1" applyFill="1" applyBorder="1" applyAlignment="1">
      <alignment vertical="center"/>
    </xf>
    <xf numFmtId="189" fontId="0" fillId="0" borderId="0" xfId="0" applyNumberFormat="1"/>
    <xf numFmtId="0" fontId="58" fillId="0" borderId="0" xfId="0" applyFont="1" applyFill="1"/>
    <xf numFmtId="3" fontId="6" fillId="0" borderId="0" xfId="0" applyNumberFormat="1" applyFont="1" applyBorder="1" applyAlignment="1">
      <alignment vertical="center"/>
    </xf>
    <xf numFmtId="0" fontId="7"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5" fillId="0" borderId="0" xfId="0" applyFont="1" applyAlignment="1"/>
    <xf numFmtId="0" fontId="6" fillId="0" borderId="0" xfId="0" applyFont="1" applyAlignment="1"/>
    <xf numFmtId="9" fontId="6" fillId="0" borderId="0" xfId="6" applyFont="1" applyFill="1" applyBorder="1" applyAlignment="1"/>
    <xf numFmtId="0" fontId="6" fillId="0" borderId="5" xfId="0" applyFont="1" applyFill="1" applyBorder="1" applyAlignment="1"/>
    <xf numFmtId="9" fontId="2" fillId="0" borderId="0" xfId="6" applyFont="1" applyFill="1" applyAlignment="1">
      <alignment horizontal="left"/>
    </xf>
    <xf numFmtId="189" fontId="13" fillId="0" borderId="0" xfId="0" applyNumberFormat="1" applyFont="1" applyFill="1" applyBorder="1" applyAlignment="1"/>
    <xf numFmtId="189" fontId="13" fillId="0" borderId="0" xfId="0" applyNumberFormat="1" applyFont="1" applyFill="1" applyBorder="1" applyAlignment="1">
      <alignment horizontal="left"/>
    </xf>
    <xf numFmtId="189" fontId="2" fillId="0" borderId="0" xfId="0" applyNumberFormat="1" applyFont="1" applyFill="1" applyBorder="1" applyAlignment="1">
      <alignment horizontal="right"/>
    </xf>
    <xf numFmtId="49" fontId="2" fillId="0" borderId="0" xfId="0" applyNumberFormat="1" applyFont="1" applyFill="1" applyBorder="1" applyAlignment="1"/>
    <xf numFmtId="0" fontId="7" fillId="0" borderId="4" xfId="0" applyFont="1" applyFill="1" applyBorder="1" applyAlignment="1">
      <alignment horizontal="center"/>
    </xf>
    <xf numFmtId="189" fontId="13" fillId="0" borderId="0" xfId="0" applyNumberFormat="1" applyFont="1" applyBorder="1" applyAlignment="1"/>
    <xf numFmtId="186" fontId="2" fillId="0" borderId="0" xfId="0" applyNumberFormat="1" applyFont="1" applyFill="1" applyBorder="1"/>
    <xf numFmtId="186" fontId="7" fillId="0" borderId="0" xfId="0" applyNumberFormat="1" applyFont="1" applyFill="1" applyBorder="1"/>
    <xf numFmtId="0" fontId="7" fillId="0" borderId="4" xfId="0" applyFont="1" applyFill="1" applyBorder="1" applyAlignment="1">
      <alignment vertical="center"/>
    </xf>
    <xf numFmtId="10" fontId="2" fillId="0" borderId="0" xfId="6" applyNumberFormat="1" applyFont="1" applyAlignment="1"/>
    <xf numFmtId="4" fontId="59" fillId="0" borderId="0" xfId="0" applyNumberFormat="1" applyFont="1" applyFill="1" applyAlignment="1">
      <alignment horizontal="left" vertical="center"/>
    </xf>
    <xf numFmtId="4" fontId="2" fillId="0" borderId="0" xfId="0" applyNumberFormat="1" applyFont="1" applyFill="1" applyAlignment="1">
      <alignment horizontal="center" vertical="center"/>
    </xf>
    <xf numFmtId="0" fontId="3" fillId="0" borderId="0" xfId="0" applyFont="1" applyFill="1" applyAlignment="1">
      <alignment vertical="center"/>
    </xf>
    <xf numFmtId="4" fontId="6" fillId="0" borderId="0" xfId="0" applyNumberFormat="1" applyFont="1" applyBorder="1" applyAlignment="1">
      <alignment horizontal="center" vertical="center"/>
    </xf>
    <xf numFmtId="4" fontId="6" fillId="0" borderId="0" xfId="0" applyNumberFormat="1" applyFont="1" applyFill="1" applyBorder="1" applyAlignment="1">
      <alignment horizontal="center" vertical="center"/>
    </xf>
    <xf numFmtId="4" fontId="2" fillId="0" borderId="0" xfId="0" applyNumberFormat="1" applyFont="1" applyAlignment="1">
      <alignment horizontal="center" vertical="center"/>
    </xf>
    <xf numFmtId="4" fontId="2" fillId="0" borderId="0" xfId="0" applyNumberFormat="1" applyFont="1" applyFill="1" applyBorder="1" applyAlignment="1">
      <alignment horizontal="center" vertical="center"/>
    </xf>
    <xf numFmtId="4" fontId="2" fillId="0" borderId="0" xfId="0" applyNumberFormat="1" applyFont="1" applyBorder="1" applyAlignment="1">
      <alignment horizontal="center" vertical="center"/>
    </xf>
    <xf numFmtId="4" fontId="13" fillId="0" borderId="0" xfId="0" applyNumberFormat="1" applyFont="1" applyFill="1" applyBorder="1" applyAlignment="1">
      <alignment horizontal="right" vertical="center"/>
    </xf>
    <xf numFmtId="4" fontId="13" fillId="0" borderId="0" xfId="0" applyNumberFormat="1" applyFont="1" applyBorder="1" applyAlignment="1">
      <alignment horizontal="left" vertical="center"/>
    </xf>
    <xf numFmtId="4" fontId="6" fillId="0" borderId="0" xfId="0" applyNumberFormat="1" applyFont="1" applyFill="1" applyBorder="1" applyAlignment="1">
      <alignment horizontal="left"/>
    </xf>
    <xf numFmtId="189" fontId="13" fillId="0" borderId="0" xfId="0" applyNumberFormat="1" applyFont="1" applyAlignment="1">
      <alignment vertical="center"/>
    </xf>
    <xf numFmtId="4" fontId="6" fillId="0" borderId="0" xfId="0" applyNumberFormat="1" applyFont="1" applyFill="1" applyAlignment="1">
      <alignment horizontal="center" vertical="center"/>
    </xf>
    <xf numFmtId="4" fontId="6" fillId="0" borderId="0" xfId="0" applyNumberFormat="1" applyFont="1" applyFill="1" applyBorder="1" applyAlignment="1">
      <alignment horizontal="center"/>
    </xf>
    <xf numFmtId="0" fontId="3" fillId="0" borderId="0" xfId="0" applyFont="1" applyAlignment="1">
      <alignment vertical="center"/>
    </xf>
    <xf numFmtId="49" fontId="2" fillId="0" borderId="0" xfId="0" applyNumberFormat="1" applyFont="1" applyFill="1" applyBorder="1" applyAlignment="1">
      <alignment vertical="center"/>
    </xf>
    <xf numFmtId="4" fontId="2" fillId="0" borderId="0" xfId="0" applyNumberFormat="1" applyFont="1" applyFill="1" applyBorder="1" applyAlignment="1">
      <alignment horizontal="right"/>
    </xf>
    <xf numFmtId="196" fontId="13" fillId="0" borderId="0" xfId="0" applyNumberFormat="1" applyFont="1" applyBorder="1" applyAlignment="1">
      <alignment horizontal="left" vertical="center"/>
    </xf>
    <xf numFmtId="4" fontId="13" fillId="0" borderId="0" xfId="0" applyNumberFormat="1" applyFont="1" applyFill="1" applyBorder="1" applyAlignment="1">
      <alignment horizontal="right"/>
    </xf>
    <xf numFmtId="4" fontId="13" fillId="0" borderId="0" xfId="0" applyNumberFormat="1" applyFont="1" applyBorder="1" applyAlignment="1">
      <alignment horizontal="right"/>
    </xf>
    <xf numFmtId="4" fontId="13" fillId="0" borderId="0" xfId="0" applyNumberFormat="1" applyFont="1" applyBorder="1" applyAlignment="1">
      <alignment horizontal="right" vertical="center"/>
    </xf>
    <xf numFmtId="4" fontId="6" fillId="0" borderId="0" xfId="0" applyNumberFormat="1" applyFont="1" applyFill="1" applyBorder="1" applyAlignment="1"/>
    <xf numFmtId="4" fontId="2" fillId="0" borderId="0" xfId="0" applyNumberFormat="1" applyFont="1" applyFill="1" applyBorder="1" applyAlignment="1">
      <alignment horizontal="left"/>
    </xf>
    <xf numFmtId="4" fontId="2" fillId="0" borderId="0" xfId="0" applyNumberFormat="1" applyFont="1" applyBorder="1" applyAlignment="1">
      <alignment horizontal="right"/>
    </xf>
    <xf numFmtId="170" fontId="41" fillId="0" borderId="0" xfId="0" applyNumberFormat="1" applyFont="1" applyFill="1" applyBorder="1" applyAlignment="1">
      <alignment vertical="center"/>
    </xf>
    <xf numFmtId="189" fontId="41" fillId="0" borderId="0" xfId="0" applyNumberFormat="1" applyFont="1" applyFill="1" applyBorder="1" applyAlignment="1">
      <alignment vertical="center"/>
    </xf>
    <xf numFmtId="0" fontId="41" fillId="0" borderId="0" xfId="0" applyFont="1" applyFill="1" applyBorder="1" applyAlignment="1">
      <alignment horizontal="right" vertical="center"/>
    </xf>
    <xf numFmtId="186" fontId="42" fillId="0" borderId="0" xfId="0" applyNumberFormat="1" applyFont="1" applyFill="1" applyBorder="1"/>
    <xf numFmtId="0" fontId="43" fillId="0" borderId="0" xfId="0" applyFont="1" applyFill="1" applyBorder="1" applyAlignment="1">
      <alignment horizontal="left"/>
    </xf>
    <xf numFmtId="0" fontId="42" fillId="0" borderId="0" xfId="0" applyFont="1" applyFill="1" applyBorder="1"/>
    <xf numFmtId="0" fontId="4" fillId="0" borderId="0" xfId="0" applyFont="1" applyFill="1" applyBorder="1"/>
    <xf numFmtId="0" fontId="41" fillId="0" borderId="0" xfId="0" applyFont="1" applyFill="1" applyBorder="1" applyAlignment="1">
      <alignment vertical="center"/>
    </xf>
    <xf numFmtId="170" fontId="7" fillId="0" borderId="0" xfId="0" applyNumberFormat="1" applyFont="1" applyFill="1" applyBorder="1" applyAlignment="1">
      <alignment horizontal="right" vertical="center"/>
    </xf>
    <xf numFmtId="9" fontId="6" fillId="0" borderId="0" xfId="0" applyNumberFormat="1" applyFont="1"/>
    <xf numFmtId="189" fontId="7" fillId="0" borderId="0" xfId="0" applyNumberFormat="1" applyFont="1" applyFill="1" applyBorder="1" applyAlignment="1">
      <alignment horizontal="left" vertical="center"/>
    </xf>
    <xf numFmtId="4" fontId="6" fillId="0" borderId="0" xfId="0" applyNumberFormat="1" applyFont="1" applyFill="1" applyBorder="1" applyAlignment="1">
      <alignment horizontal="right"/>
    </xf>
    <xf numFmtId="9" fontId="6" fillId="0" borderId="0" xfId="0" applyNumberFormat="1" applyFont="1" applyFill="1" applyBorder="1"/>
    <xf numFmtId="9" fontId="2" fillId="0" borderId="0" xfId="0" applyNumberFormat="1" applyFont="1" applyFill="1" applyBorder="1" applyAlignment="1"/>
    <xf numFmtId="4" fontId="6" fillId="0" borderId="0" xfId="0" applyNumberFormat="1" applyFont="1" applyBorder="1" applyAlignment="1">
      <alignment horizontal="right"/>
    </xf>
    <xf numFmtId="9" fontId="6" fillId="0" borderId="0" xfId="0" applyNumberFormat="1" applyFont="1" applyBorder="1"/>
    <xf numFmtId="9" fontId="2" fillId="0" borderId="0" xfId="0" applyNumberFormat="1" applyFont="1" applyBorder="1" applyAlignment="1"/>
    <xf numFmtId="0" fontId="6" fillId="0" borderId="6" xfId="0" applyFont="1" applyFill="1" applyBorder="1" applyAlignment="1">
      <alignment horizontal="right" vertical="center"/>
    </xf>
    <xf numFmtId="0" fontId="6" fillId="0" borderId="4" xfId="0" applyFont="1" applyFill="1" applyBorder="1" applyAlignment="1">
      <alignment horizontal="right" vertical="center"/>
    </xf>
    <xf numFmtId="4" fontId="2" fillId="0" borderId="0" xfId="0" applyNumberFormat="1" applyFont="1" applyBorder="1" applyAlignment="1">
      <alignment horizontal="left" vertical="center"/>
    </xf>
    <xf numFmtId="170" fontId="13" fillId="0" borderId="0" xfId="0" applyNumberFormat="1" applyFont="1" applyBorder="1" applyAlignment="1">
      <alignment vertical="center"/>
    </xf>
    <xf numFmtId="0" fontId="44" fillId="0" borderId="0" xfId="0" applyFont="1" applyBorder="1" applyAlignment="1">
      <alignment horizontal="right" vertical="center"/>
    </xf>
    <xf numFmtId="186" fontId="13" fillId="0" borderId="0" xfId="0" applyNumberFormat="1" applyFont="1"/>
    <xf numFmtId="4" fontId="13" fillId="0" borderId="0" xfId="0" applyNumberFormat="1" applyFont="1" applyAlignment="1">
      <alignment horizontal="left"/>
    </xf>
    <xf numFmtId="0" fontId="13" fillId="0" borderId="0" xfId="0" applyFont="1"/>
    <xf numFmtId="0" fontId="13" fillId="0" borderId="0" xfId="0" applyFont="1" applyAlignment="1">
      <alignment horizontal="left"/>
    </xf>
    <xf numFmtId="186" fontId="13" fillId="0" borderId="0" xfId="0" applyNumberFormat="1" applyFont="1" applyBorder="1"/>
    <xf numFmtId="170" fontId="45" fillId="0" borderId="0" xfId="0" applyNumberFormat="1" applyFont="1" applyBorder="1" applyAlignment="1">
      <alignment vertical="center"/>
    </xf>
    <xf numFmtId="0" fontId="46" fillId="0" borderId="0" xfId="0" applyFont="1" applyBorder="1" applyAlignment="1">
      <alignment horizontal="right" vertical="center"/>
    </xf>
    <xf numFmtId="170" fontId="2" fillId="0" borderId="0" xfId="0" applyNumberFormat="1" applyFont="1" applyBorder="1" applyAlignment="1">
      <alignment vertical="center"/>
    </xf>
    <xf numFmtId="170" fontId="13" fillId="0" borderId="0" xfId="0" applyNumberFormat="1" applyFont="1" applyAlignment="1">
      <alignment vertical="center"/>
    </xf>
    <xf numFmtId="0" fontId="44" fillId="0" borderId="0" xfId="0" applyFont="1" applyAlignment="1">
      <alignment horizontal="right" vertical="center"/>
    </xf>
    <xf numFmtId="0" fontId="47" fillId="0" borderId="0" xfId="0" applyFont="1" applyAlignment="1">
      <alignment horizontal="right" vertical="center"/>
    </xf>
    <xf numFmtId="9" fontId="2" fillId="0" borderId="0" xfId="6" applyFont="1" applyFill="1" applyAlignment="1">
      <alignment horizontal="left" vertical="center"/>
    </xf>
    <xf numFmtId="191" fontId="7" fillId="0" borderId="0" xfId="6" applyNumberFormat="1" applyFont="1" applyBorder="1" applyAlignment="1">
      <alignment vertical="center"/>
    </xf>
    <xf numFmtId="191" fontId="2" fillId="0" borderId="0" xfId="6" applyNumberFormat="1" applyFont="1" applyBorder="1" applyAlignment="1"/>
    <xf numFmtId="191" fontId="2" fillId="0" borderId="0" xfId="6" applyNumberFormat="1" applyFont="1" applyFill="1" applyBorder="1" applyAlignment="1"/>
    <xf numFmtId="191" fontId="7" fillId="0" borderId="0" xfId="6" applyNumberFormat="1" applyFont="1" applyFill="1" applyBorder="1" applyAlignment="1">
      <alignment vertical="center"/>
    </xf>
    <xf numFmtId="191" fontId="3" fillId="0" borderId="0" xfId="6" applyNumberFormat="1" applyFont="1" applyFill="1" applyBorder="1" applyAlignment="1"/>
    <xf numFmtId="10" fontId="7" fillId="0" borderId="0" xfId="6" applyNumberFormat="1" applyFont="1" applyFill="1" applyBorder="1" applyAlignment="1">
      <alignment vertical="center"/>
    </xf>
    <xf numFmtId="189" fontId="43" fillId="0" borderId="0" xfId="0" applyNumberFormat="1" applyFont="1" applyBorder="1" applyAlignment="1">
      <alignment vertical="center"/>
    </xf>
    <xf numFmtId="10" fontId="2" fillId="0" borderId="0" xfId="6" applyNumberFormat="1" applyFont="1" applyAlignment="1">
      <alignment vertical="center"/>
    </xf>
    <xf numFmtId="10" fontId="2" fillId="0" borderId="0" xfId="6" applyNumberFormat="1" applyFont="1" applyFill="1" applyAlignment="1">
      <alignment horizontal="right" vertical="center"/>
    </xf>
    <xf numFmtId="189" fontId="6" fillId="0" borderId="0" xfId="0" applyNumberFormat="1" applyFont="1" applyAlignment="1">
      <alignment horizontal="left"/>
    </xf>
    <xf numFmtId="189" fontId="6" fillId="0" borderId="3" xfId="0" applyNumberFormat="1" applyFont="1" applyFill="1" applyBorder="1" applyAlignment="1">
      <alignment horizontal="left"/>
    </xf>
    <xf numFmtId="189" fontId="7" fillId="0" borderId="0" xfId="0" applyNumberFormat="1" applyFont="1" applyFill="1" applyBorder="1" applyAlignment="1">
      <alignment horizontal="left"/>
    </xf>
    <xf numFmtId="9" fontId="3" fillId="0" borderId="0" xfId="0" applyNumberFormat="1" applyFont="1" applyAlignment="1">
      <alignment horizontal="center"/>
    </xf>
    <xf numFmtId="9" fontId="6" fillId="0" borderId="0" xfId="6" applyFont="1" applyAlignment="1">
      <alignment horizontal="right"/>
    </xf>
    <xf numFmtId="9" fontId="6" fillId="0" borderId="0" xfId="6" applyFont="1" applyAlignment="1">
      <alignment horizontal="left"/>
    </xf>
    <xf numFmtId="0" fontId="3" fillId="0" borderId="0" xfId="0" applyFont="1" applyFill="1" applyBorder="1"/>
    <xf numFmtId="189" fontId="13" fillId="0" borderId="0" xfId="0" applyNumberFormat="1" applyFont="1" applyAlignment="1"/>
    <xf numFmtId="189" fontId="2" fillId="0" borderId="0" xfId="6" applyNumberFormat="1" applyFont="1" applyFill="1" applyAlignment="1">
      <alignment horizontal="left"/>
    </xf>
    <xf numFmtId="2" fontId="6" fillId="0" borderId="0" xfId="0" applyNumberFormat="1" applyFont="1" applyBorder="1" applyAlignment="1">
      <alignment vertical="center"/>
    </xf>
    <xf numFmtId="2" fontId="6" fillId="0" borderId="0" xfId="0" applyNumberFormat="1" applyFont="1" applyFill="1" applyBorder="1" applyAlignment="1">
      <alignment vertical="center"/>
    </xf>
    <xf numFmtId="2" fontId="2" fillId="0" borderId="0" xfId="0" applyNumberFormat="1" applyFont="1" applyAlignment="1">
      <alignment vertical="center"/>
    </xf>
    <xf numFmtId="2" fontId="2" fillId="0" borderId="0" xfId="0" applyNumberFormat="1" applyFont="1" applyFill="1" applyAlignment="1">
      <alignment horizontal="left" vertical="center"/>
    </xf>
    <xf numFmtId="2" fontId="2" fillId="0" borderId="0" xfId="0" applyNumberFormat="1" applyFont="1" applyBorder="1" applyAlignment="1">
      <alignment vertical="center"/>
    </xf>
    <xf numFmtId="2" fontId="2" fillId="0" borderId="0" xfId="0" applyNumberFormat="1" applyFont="1" applyFill="1" applyAlignment="1">
      <alignment vertical="center"/>
    </xf>
    <xf numFmtId="189" fontId="7" fillId="0" borderId="0" xfId="0" applyNumberFormat="1" applyFont="1" applyFill="1" applyBorder="1" applyAlignment="1">
      <alignment horizontal="center"/>
    </xf>
    <xf numFmtId="0" fontId="60" fillId="0" borderId="0" xfId="0" applyFont="1" applyFill="1" applyBorder="1"/>
    <xf numFmtId="0" fontId="14" fillId="0" borderId="0" xfId="0" applyFont="1" applyFill="1" applyBorder="1" applyAlignment="1">
      <alignment horizontal="left"/>
    </xf>
    <xf numFmtId="0" fontId="61" fillId="0" borderId="0" xfId="0" applyFont="1" applyFill="1" applyBorder="1"/>
    <xf numFmtId="0" fontId="58" fillId="0" borderId="0" xfId="0" applyFont="1" applyFill="1" applyBorder="1"/>
    <xf numFmtId="0" fontId="13" fillId="0" borderId="0" xfId="0" applyFont="1" applyFill="1" applyBorder="1"/>
    <xf numFmtId="0" fontId="7" fillId="0" borderId="0" xfId="0" applyFont="1" applyBorder="1"/>
    <xf numFmtId="189" fontId="6" fillId="7" borderId="0" xfId="0" applyNumberFormat="1" applyFont="1" applyFill="1" applyBorder="1" applyAlignment="1">
      <alignment vertical="center"/>
    </xf>
    <xf numFmtId="189" fontId="7" fillId="0" borderId="0" xfId="0" applyNumberFormat="1" applyFont="1" applyBorder="1" applyAlignment="1"/>
    <xf numFmtId="0" fontId="7" fillId="0" borderId="0" xfId="0" applyFont="1" applyFill="1" applyBorder="1"/>
    <xf numFmtId="0" fontId="7" fillId="0" borderId="0" xfId="0" applyFont="1" applyBorder="1" applyAlignment="1"/>
    <xf numFmtId="186" fontId="7" fillId="0" borderId="0" xfId="0" applyNumberFormat="1" applyFont="1" applyFill="1" applyBorder="1" applyAlignment="1">
      <alignment vertical="center"/>
    </xf>
    <xf numFmtId="186" fontId="7" fillId="0" borderId="0" xfId="0" applyNumberFormat="1" applyFont="1" applyFill="1" applyBorder="1" applyAlignment="1">
      <alignment horizontal="left" vertical="center"/>
    </xf>
    <xf numFmtId="189" fontId="7" fillId="0" borderId="0" xfId="0" applyNumberFormat="1" applyFont="1" applyFill="1" applyBorder="1" applyAlignment="1">
      <alignment horizontal="right"/>
    </xf>
    <xf numFmtId="0" fontId="11" fillId="0" borderId="0" xfId="0" applyFont="1" applyFill="1" applyBorder="1" applyAlignment="1">
      <alignment horizontal="left" vertical="center"/>
    </xf>
    <xf numFmtId="189" fontId="10" fillId="7" borderId="0" xfId="0" applyNumberFormat="1" applyFont="1" applyFill="1" applyBorder="1" applyAlignment="1">
      <alignment vertical="center"/>
    </xf>
    <xf numFmtId="0" fontId="19" fillId="0" borderId="0" xfId="0" applyFont="1"/>
    <xf numFmtId="9" fontId="6" fillId="0" borderId="0" xfId="6" applyFont="1" applyAlignment="1"/>
    <xf numFmtId="10" fontId="9" fillId="0" borderId="0" xfId="0" applyNumberFormat="1" applyFont="1" applyFill="1"/>
    <xf numFmtId="190" fontId="11" fillId="0" borderId="0" xfId="0" applyNumberFormat="1" applyFont="1" applyFill="1" applyBorder="1" applyAlignment="1">
      <alignment vertical="center"/>
    </xf>
    <xf numFmtId="4" fontId="3" fillId="0" borderId="0" xfId="0" applyNumberFormat="1" applyFont="1" applyFill="1" applyBorder="1" applyAlignment="1">
      <alignment horizontal="left" vertical="center"/>
    </xf>
    <xf numFmtId="0" fontId="7" fillId="0" borderId="0" xfId="0" applyFont="1" applyAlignment="1"/>
    <xf numFmtId="191" fontId="3" fillId="0" borderId="0" xfId="6" applyNumberFormat="1" applyFont="1" applyBorder="1" applyAlignment="1"/>
    <xf numFmtId="0" fontId="3" fillId="0" borderId="0" xfId="0" applyFont="1" applyFill="1" applyBorder="1" applyAlignment="1"/>
    <xf numFmtId="0" fontId="48" fillId="0" borderId="0" xfId="0" applyFont="1" applyFill="1" applyAlignment="1">
      <alignment horizontal="left"/>
    </xf>
    <xf numFmtId="0" fontId="48" fillId="0" borderId="0" xfId="0" applyFont="1" applyFill="1" applyAlignment="1">
      <alignment horizontal="center"/>
    </xf>
    <xf numFmtId="0" fontId="49" fillId="0" borderId="0" xfId="0" applyFont="1" applyFill="1" applyBorder="1" applyAlignment="1">
      <alignment vertical="center"/>
    </xf>
    <xf numFmtId="189" fontId="49" fillId="0" borderId="0" xfId="0" applyNumberFormat="1" applyFont="1" applyFill="1" applyBorder="1" applyAlignment="1">
      <alignment vertical="center"/>
    </xf>
    <xf numFmtId="189" fontId="49" fillId="0" borderId="0" xfId="0" applyNumberFormat="1" applyFont="1" applyFill="1" applyBorder="1" applyAlignment="1">
      <alignment horizontal="right" vertical="center"/>
    </xf>
    <xf numFmtId="0" fontId="3" fillId="0" borderId="5" xfId="0" applyFont="1" applyFill="1" applyBorder="1" applyAlignment="1">
      <alignment vertical="center"/>
    </xf>
    <xf numFmtId="0" fontId="62" fillId="0" borderId="0" xfId="0" applyFont="1" applyFill="1" applyAlignment="1">
      <alignment horizontal="left"/>
    </xf>
    <xf numFmtId="0" fontId="3" fillId="0" borderId="1" xfId="0" applyFont="1" applyFill="1" applyBorder="1" applyAlignment="1">
      <alignment vertical="center"/>
    </xf>
    <xf numFmtId="0" fontId="3" fillId="0" borderId="0" xfId="0" applyFont="1" applyFill="1" applyBorder="1" applyAlignment="1">
      <alignment vertical="center"/>
    </xf>
    <xf numFmtId="186" fontId="62" fillId="0" borderId="0" xfId="0" applyNumberFormat="1" applyFont="1" applyFill="1"/>
    <xf numFmtId="0" fontId="63" fillId="0" borderId="0" xfId="0" applyFont="1" applyFill="1" applyBorder="1" applyAlignment="1">
      <alignment vertical="center"/>
    </xf>
    <xf numFmtId="4" fontId="63" fillId="0" borderId="0" xfId="0" applyNumberFormat="1" applyFont="1" applyFill="1" applyBorder="1" applyAlignment="1">
      <alignment horizontal="right" vertical="center"/>
    </xf>
    <xf numFmtId="4" fontId="63" fillId="0" borderId="0" xfId="0" applyNumberFormat="1" applyFont="1" applyFill="1" applyBorder="1" applyAlignment="1">
      <alignment horizontal="center" vertical="center"/>
    </xf>
    <xf numFmtId="9" fontId="63" fillId="0" borderId="0" xfId="0" applyNumberFormat="1" applyFont="1" applyFill="1" applyBorder="1" applyAlignment="1">
      <alignment vertical="center"/>
    </xf>
    <xf numFmtId="4" fontId="63" fillId="0" borderId="0" xfId="0" applyNumberFormat="1" applyFont="1" applyFill="1" applyAlignment="1">
      <alignment horizontal="left" vertical="center"/>
    </xf>
    <xf numFmtId="0" fontId="51" fillId="0" borderId="0" xfId="0" applyFont="1" applyFill="1" applyBorder="1" applyAlignment="1">
      <alignment vertical="center"/>
    </xf>
    <xf numFmtId="0" fontId="62" fillId="0" borderId="0" xfId="0" applyFont="1" applyBorder="1" applyAlignment="1">
      <alignment vertical="center"/>
    </xf>
    <xf numFmtId="4" fontId="63" fillId="0" borderId="0" xfId="0" applyNumberFormat="1" applyFont="1" applyBorder="1" applyAlignment="1">
      <alignment horizontal="right" vertical="center"/>
    </xf>
    <xf numFmtId="179" fontId="2" fillId="0" borderId="0" xfId="1" applyFont="1" applyFill="1" applyBorder="1" applyAlignment="1">
      <alignment vertical="center"/>
    </xf>
    <xf numFmtId="179" fontId="6" fillId="0" borderId="0" xfId="1" applyFont="1" applyFill="1" applyBorder="1" applyAlignment="1">
      <alignment horizontal="left" vertical="center"/>
    </xf>
    <xf numFmtId="189" fontId="64" fillId="0" borderId="0" xfId="0" applyNumberFormat="1" applyFont="1" applyFill="1" applyAlignment="1">
      <alignment vertical="center"/>
    </xf>
    <xf numFmtId="189" fontId="63" fillId="0" borderId="0" xfId="0" applyNumberFormat="1" applyFont="1" applyBorder="1" applyAlignment="1">
      <alignment vertical="center"/>
    </xf>
    <xf numFmtId="0" fontId="63" fillId="0" borderId="0" xfId="0" applyFont="1" applyBorder="1" applyAlignment="1">
      <alignment vertical="center"/>
    </xf>
    <xf numFmtId="0" fontId="63" fillId="0" borderId="0" xfId="0" applyFont="1" applyBorder="1" applyAlignment="1">
      <alignment horizontal="left" vertical="center"/>
    </xf>
    <xf numFmtId="179" fontId="6" fillId="0" borderId="0" xfId="1" applyFont="1" applyBorder="1" applyAlignment="1">
      <alignment vertical="center"/>
    </xf>
    <xf numFmtId="0" fontId="60" fillId="0" borderId="0" xfId="0" applyFont="1" applyFill="1" applyAlignment="1">
      <alignment vertical="center"/>
    </xf>
    <xf numFmtId="189" fontId="63" fillId="0" borderId="0" xfId="0" applyNumberFormat="1" applyFont="1" applyFill="1" applyBorder="1" applyAlignment="1">
      <alignment vertical="center"/>
    </xf>
    <xf numFmtId="0" fontId="64" fillId="0" borderId="0" xfId="0" applyFont="1" applyBorder="1" applyAlignment="1">
      <alignment vertical="center"/>
    </xf>
    <xf numFmtId="4" fontId="3" fillId="0" borderId="0" xfId="0" applyNumberFormat="1" applyFont="1" applyFill="1" applyBorder="1" applyAlignment="1">
      <alignment horizontal="center" vertical="center"/>
    </xf>
    <xf numFmtId="4" fontId="3" fillId="0" borderId="0" xfId="0" applyNumberFormat="1" applyFont="1" applyFill="1" applyBorder="1" applyAlignment="1">
      <alignment vertical="center"/>
    </xf>
    <xf numFmtId="0" fontId="6" fillId="8" borderId="0" xfId="0" applyFont="1" applyFill="1" applyBorder="1"/>
    <xf numFmtId="0" fontId="62" fillId="0" borderId="0" xfId="0" applyFont="1" applyFill="1" applyBorder="1" applyAlignment="1">
      <alignment vertical="center"/>
    </xf>
    <xf numFmtId="189" fontId="62" fillId="0" borderId="0" xfId="0" applyNumberFormat="1" applyFont="1" applyFill="1" applyBorder="1" applyAlignment="1">
      <alignment horizontal="left" vertical="center"/>
    </xf>
    <xf numFmtId="10" fontId="62" fillId="0" borderId="0" xfId="6" applyNumberFormat="1" applyFont="1" applyFill="1" applyBorder="1" applyAlignment="1">
      <alignment horizontal="left" vertical="center"/>
    </xf>
    <xf numFmtId="0" fontId="62" fillId="0" borderId="0" xfId="0" applyNumberFormat="1" applyFont="1" applyFill="1" applyBorder="1" applyAlignment="1">
      <alignment vertical="center"/>
    </xf>
    <xf numFmtId="189" fontId="62" fillId="0" borderId="0" xfId="0" applyNumberFormat="1" applyFont="1" applyFill="1" applyAlignment="1">
      <alignment horizontal="left" vertical="center"/>
    </xf>
    <xf numFmtId="10" fontId="62" fillId="0" borderId="0" xfId="6" applyNumberFormat="1" applyFont="1" applyFill="1" applyBorder="1" applyAlignment="1">
      <alignment vertical="center"/>
    </xf>
    <xf numFmtId="179" fontId="2" fillId="0" borderId="0" xfId="0" applyNumberFormat="1" applyFont="1" applyAlignment="1">
      <alignment horizontal="left" vertical="center"/>
    </xf>
    <xf numFmtId="0" fontId="9" fillId="0" borderId="0" xfId="0" applyFont="1" applyFill="1" applyBorder="1" applyAlignment="1">
      <alignment vertical="center"/>
    </xf>
    <xf numFmtId="3" fontId="0" fillId="0" borderId="0" xfId="0" applyNumberFormat="1" applyFill="1" applyBorder="1" applyAlignment="1">
      <alignment vertical="center"/>
    </xf>
    <xf numFmtId="186" fontId="62" fillId="0" borderId="0" xfId="0" applyNumberFormat="1" applyFont="1" applyFill="1" applyBorder="1" applyAlignment="1">
      <alignment vertical="center"/>
    </xf>
    <xf numFmtId="186" fontId="62" fillId="0" borderId="0" xfId="0" applyNumberFormat="1" applyFont="1" applyFill="1" applyBorder="1"/>
    <xf numFmtId="0" fontId="6" fillId="0" borderId="0" xfId="0" applyFont="1" applyFill="1" applyAlignment="1">
      <alignment horizontal="center"/>
    </xf>
    <xf numFmtId="0" fontId="63" fillId="0" borderId="0" xfId="0" applyFont="1" applyFill="1" applyAlignment="1"/>
    <xf numFmtId="189" fontId="63" fillId="0" borderId="0" xfId="0" applyNumberFormat="1" applyFont="1" applyFill="1" applyAlignment="1"/>
    <xf numFmtId="0" fontId="65" fillId="0" borderId="0" xfId="0" applyFont="1" applyFill="1" applyBorder="1" applyAlignment="1">
      <alignment vertical="center"/>
    </xf>
    <xf numFmtId="0" fontId="10" fillId="0" borderId="4" xfId="0" applyFont="1" applyFill="1" applyBorder="1" applyAlignment="1">
      <alignment vertical="center"/>
    </xf>
    <xf numFmtId="170" fontId="10" fillId="0" borderId="7" xfId="0" applyNumberFormat="1" applyFont="1" applyFill="1" applyBorder="1" applyAlignment="1">
      <alignment vertical="center"/>
    </xf>
    <xf numFmtId="179" fontId="2" fillId="0" borderId="0" xfId="1" applyFont="1" applyBorder="1" applyAlignment="1">
      <alignment vertical="center"/>
    </xf>
    <xf numFmtId="0" fontId="3" fillId="0" borderId="0" xfId="0" applyFont="1" applyAlignment="1"/>
    <xf numFmtId="9" fontId="13" fillId="0" borderId="0" xfId="0" applyNumberFormat="1" applyFont="1" applyBorder="1" applyAlignment="1">
      <alignment vertical="center"/>
    </xf>
    <xf numFmtId="170" fontId="43" fillId="0" borderId="0" xfId="0" applyNumberFormat="1" applyFont="1" applyFill="1" applyBorder="1" applyAlignment="1">
      <alignment vertical="center"/>
    </xf>
    <xf numFmtId="179" fontId="2" fillId="0" borderId="0" xfId="1" applyFont="1" applyBorder="1" applyAlignment="1">
      <alignment horizontal="left" vertical="center"/>
    </xf>
    <xf numFmtId="179" fontId="2" fillId="0" borderId="0" xfId="1" applyFont="1" applyFill="1" applyBorder="1" applyAlignment="1">
      <alignment horizontal="left" vertical="center"/>
    </xf>
    <xf numFmtId="186" fontId="7" fillId="0" borderId="0" xfId="0" applyNumberFormat="1" applyFont="1" applyBorder="1"/>
    <xf numFmtId="0" fontId="19" fillId="0" borderId="0" xfId="0" applyFont="1" applyBorder="1"/>
    <xf numFmtId="186" fontId="2" fillId="0" borderId="0" xfId="0" applyNumberFormat="1" applyFont="1" applyBorder="1" applyAlignment="1">
      <alignment vertical="center"/>
    </xf>
    <xf numFmtId="170" fontId="10" fillId="0" borderId="4" xfId="0" applyNumberFormat="1" applyFont="1" applyFill="1" applyBorder="1" applyAlignment="1">
      <alignment vertical="center"/>
    </xf>
    <xf numFmtId="170" fontId="10" fillId="0" borderId="4" xfId="0" applyNumberFormat="1" applyFont="1" applyFill="1" applyBorder="1" applyAlignment="1">
      <alignment horizontal="center" vertical="center"/>
    </xf>
    <xf numFmtId="189" fontId="7" fillId="0" borderId="0" xfId="0" applyNumberFormat="1" applyFont="1" applyFill="1" applyAlignment="1">
      <alignment vertical="center"/>
    </xf>
    <xf numFmtId="189" fontId="10" fillId="0" borderId="0" xfId="0" applyNumberFormat="1" applyFont="1" applyFill="1" applyBorder="1" applyAlignment="1">
      <alignment horizontal="right" vertical="center"/>
    </xf>
    <xf numFmtId="0" fontId="2" fillId="0" borderId="0" xfId="0" applyNumberFormat="1" applyFont="1" applyFill="1" applyBorder="1"/>
    <xf numFmtId="188" fontId="2" fillId="0" borderId="0" xfId="1" applyNumberFormat="1" applyFont="1" applyFill="1" applyBorder="1"/>
    <xf numFmtId="188" fontId="3" fillId="0" borderId="0" xfId="1" applyNumberFormat="1" applyFont="1" applyFill="1" applyBorder="1"/>
    <xf numFmtId="179" fontId="2" fillId="0" borderId="0" xfId="1" applyFont="1" applyFill="1" applyBorder="1"/>
    <xf numFmtId="0" fontId="2" fillId="0" borderId="0" xfId="0" applyFont="1" applyBorder="1" applyAlignment="1">
      <alignment horizontal="left"/>
    </xf>
    <xf numFmtId="0" fontId="2" fillId="0" borderId="0" xfId="0" applyFont="1" applyBorder="1" applyAlignment="1">
      <alignment horizontal="center"/>
    </xf>
    <xf numFmtId="4" fontId="2" fillId="0" borderId="0" xfId="0" applyNumberFormat="1" applyFont="1" applyAlignment="1">
      <alignment horizontal="left" vertical="center"/>
    </xf>
    <xf numFmtId="0" fontId="2" fillId="0" borderId="0" xfId="5" applyFont="1" applyBorder="1" applyAlignment="1"/>
    <xf numFmtId="0" fontId="66" fillId="0" borderId="0" xfId="0" applyFont="1" applyFill="1" applyBorder="1"/>
    <xf numFmtId="186" fontId="9" fillId="0" borderId="0" xfId="0" applyNumberFormat="1" applyFont="1" applyFill="1"/>
    <xf numFmtId="0" fontId="3" fillId="0" borderId="0" xfId="0" applyFont="1" applyFill="1" applyAlignment="1">
      <alignment horizontal="left" vertical="center"/>
    </xf>
    <xf numFmtId="49" fontId="3" fillId="0" borderId="0" xfId="0" applyNumberFormat="1" applyFont="1" applyFill="1" applyBorder="1" applyAlignment="1">
      <alignment vertical="center"/>
    </xf>
    <xf numFmtId="10" fontId="9" fillId="0" borderId="0" xfId="0" applyNumberFormat="1" applyFont="1" applyFill="1" applyBorder="1"/>
    <xf numFmtId="0" fontId="60" fillId="9" borderId="5" xfId="0" applyFont="1" applyFill="1" applyBorder="1" applyAlignment="1">
      <alignment vertical="center"/>
    </xf>
    <xf numFmtId="0" fontId="60" fillId="9" borderId="6" xfId="0" applyFont="1" applyFill="1" applyBorder="1" applyAlignment="1">
      <alignment vertical="center"/>
    </xf>
    <xf numFmtId="170" fontId="60" fillId="9" borderId="6" xfId="0" applyNumberFormat="1" applyFont="1" applyFill="1" applyBorder="1" applyAlignment="1">
      <alignment vertical="center"/>
    </xf>
    <xf numFmtId="170" fontId="60" fillId="9" borderId="12" xfId="0" applyNumberFormat="1" applyFont="1" applyFill="1" applyBorder="1" applyAlignment="1">
      <alignment horizontal="right" vertical="center"/>
    </xf>
    <xf numFmtId="0" fontId="60" fillId="9" borderId="2" xfId="0" applyFont="1" applyFill="1" applyBorder="1" applyAlignment="1">
      <alignment vertical="center"/>
    </xf>
    <xf numFmtId="0" fontId="60" fillId="9" borderId="4" xfId="0" applyFont="1" applyFill="1" applyBorder="1" applyAlignment="1">
      <alignment vertical="center"/>
    </xf>
    <xf numFmtId="170" fontId="60" fillId="9" borderId="4" xfId="0" applyNumberFormat="1" applyFont="1" applyFill="1" applyBorder="1" applyAlignment="1">
      <alignment vertical="center"/>
    </xf>
    <xf numFmtId="170" fontId="60" fillId="9" borderId="13" xfId="0" applyNumberFormat="1" applyFont="1" applyFill="1" applyBorder="1" applyAlignment="1">
      <alignment horizontal="righ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170" fontId="10" fillId="0" borderId="6" xfId="0" applyNumberFormat="1" applyFont="1" applyFill="1" applyBorder="1" applyAlignment="1">
      <alignment vertical="center"/>
    </xf>
    <xf numFmtId="170" fontId="10" fillId="0" borderId="6" xfId="0" applyNumberFormat="1" applyFont="1" applyFill="1" applyBorder="1" applyAlignment="1">
      <alignment horizontal="center" vertical="center"/>
    </xf>
    <xf numFmtId="170" fontId="10" fillId="0" borderId="8" xfId="0" applyNumberFormat="1" applyFont="1" applyFill="1" applyBorder="1" applyAlignment="1">
      <alignment vertical="center"/>
    </xf>
    <xf numFmtId="0" fontId="67" fillId="9" borderId="2" xfId="0" applyFont="1" applyFill="1" applyBorder="1" applyAlignment="1">
      <alignment vertical="center"/>
    </xf>
    <xf numFmtId="0" fontId="67" fillId="9" borderId="4" xfId="0" applyFont="1" applyFill="1" applyBorder="1" applyAlignment="1">
      <alignment vertical="center"/>
    </xf>
    <xf numFmtId="189" fontId="67" fillId="9" borderId="4" xfId="0" applyNumberFormat="1" applyFont="1" applyFill="1" applyBorder="1" applyAlignment="1">
      <alignment vertical="center"/>
    </xf>
    <xf numFmtId="189" fontId="67" fillId="9" borderId="7" xfId="0" applyNumberFormat="1" applyFont="1" applyFill="1" applyBorder="1" applyAlignment="1">
      <alignment horizontal="center" vertical="center"/>
    </xf>
    <xf numFmtId="189" fontId="67" fillId="9" borderId="7" xfId="0" applyNumberFormat="1" applyFont="1" applyFill="1" applyBorder="1" applyAlignment="1">
      <alignment vertical="center"/>
    </xf>
    <xf numFmtId="189" fontId="67" fillId="10" borderId="11" xfId="0" applyNumberFormat="1" applyFont="1" applyFill="1" applyBorder="1" applyAlignment="1">
      <alignment vertical="center"/>
    </xf>
    <xf numFmtId="189" fontId="67" fillId="11" borderId="11" xfId="0" applyNumberFormat="1" applyFont="1" applyFill="1" applyBorder="1" applyAlignment="1">
      <alignment vertical="center"/>
    </xf>
    <xf numFmtId="189" fontId="67" fillId="12" borderId="11" xfId="0" applyNumberFormat="1" applyFont="1" applyFill="1" applyBorder="1" applyAlignment="1">
      <alignment vertical="center"/>
    </xf>
    <xf numFmtId="189" fontId="67" fillId="13" borderId="11" xfId="0" applyNumberFormat="1" applyFont="1" applyFill="1" applyBorder="1" applyAlignment="1">
      <alignment vertical="center"/>
    </xf>
    <xf numFmtId="189" fontId="67" fillId="14" borderId="11" xfId="0" applyNumberFormat="1" applyFont="1" applyFill="1" applyBorder="1" applyAlignment="1">
      <alignment vertical="center"/>
    </xf>
    <xf numFmtId="0" fontId="68" fillId="0" borderId="6" xfId="0" applyFont="1" applyFill="1" applyBorder="1" applyAlignment="1">
      <alignment vertical="center"/>
    </xf>
    <xf numFmtId="0" fontId="68" fillId="0" borderId="0" xfId="0" applyFont="1" applyFill="1" applyBorder="1" applyAlignment="1">
      <alignment vertical="center"/>
    </xf>
    <xf numFmtId="189" fontId="68" fillId="0" borderId="0" xfId="0" applyNumberFormat="1" applyFont="1" applyFill="1" applyBorder="1" applyAlignment="1">
      <alignment vertical="center"/>
    </xf>
    <xf numFmtId="0" fontId="68" fillId="0" borderId="4" xfId="0" applyFont="1" applyFill="1" applyBorder="1" applyAlignment="1">
      <alignment vertical="center"/>
    </xf>
    <xf numFmtId="189" fontId="10" fillId="0" borderId="6" xfId="0" applyNumberFormat="1" applyFont="1" applyFill="1" applyBorder="1" applyAlignment="1">
      <alignment vertical="center"/>
    </xf>
    <xf numFmtId="189" fontId="10" fillId="0" borderId="8" xfId="0" applyNumberFormat="1" applyFont="1" applyFill="1" applyBorder="1" applyAlignment="1">
      <alignment horizontal="center" vertical="center"/>
    </xf>
    <xf numFmtId="189" fontId="10" fillId="0" borderId="3" xfId="0" applyNumberFormat="1" applyFont="1" applyFill="1" applyBorder="1" applyAlignment="1">
      <alignment horizontal="center" vertical="center"/>
    </xf>
    <xf numFmtId="189" fontId="10" fillId="0" borderId="7" xfId="0" applyNumberFormat="1" applyFont="1" applyFill="1" applyBorder="1" applyAlignment="1">
      <alignment horizontal="center" vertical="center"/>
    </xf>
    <xf numFmtId="189" fontId="60" fillId="0" borderId="0" xfId="0" applyNumberFormat="1" applyFont="1" applyFill="1" applyBorder="1" applyAlignment="1">
      <alignment vertical="center"/>
    </xf>
    <xf numFmtId="189" fontId="60" fillId="0" borderId="3" xfId="0" applyNumberFormat="1" applyFont="1" applyFill="1" applyBorder="1" applyAlignment="1">
      <alignment horizontal="right" vertical="center"/>
    </xf>
    <xf numFmtId="0" fontId="68" fillId="0" borderId="1" xfId="0" applyFont="1" applyFill="1" applyBorder="1" applyAlignment="1">
      <alignment horizontal="left" vertical="center"/>
    </xf>
    <xf numFmtId="189" fontId="68" fillId="0" borderId="3" xfId="0" applyNumberFormat="1" applyFont="1" applyFill="1" applyBorder="1" applyAlignment="1">
      <alignment horizontal="right" vertical="center"/>
    </xf>
    <xf numFmtId="0" fontId="68" fillId="0" borderId="1" xfId="0" applyFont="1" applyFill="1" applyBorder="1" applyAlignment="1">
      <alignment vertical="center"/>
    </xf>
    <xf numFmtId="0" fontId="69" fillId="0" borderId="0" xfId="0" applyFont="1" applyFill="1" applyBorder="1" applyAlignment="1">
      <alignment horizontal="left" vertical="center"/>
    </xf>
    <xf numFmtId="189" fontId="69" fillId="0" borderId="0" xfId="0" applyNumberFormat="1" applyFont="1" applyFill="1" applyBorder="1" applyAlignment="1">
      <alignment vertical="center"/>
    </xf>
    <xf numFmtId="0" fontId="66" fillId="0" borderId="0" xfId="0" applyFont="1" applyFill="1" applyBorder="1" applyAlignment="1">
      <alignment horizontal="left" vertical="center"/>
    </xf>
    <xf numFmtId="189" fontId="66" fillId="0" borderId="0" xfId="0" applyNumberFormat="1" applyFont="1" applyFill="1" applyBorder="1" applyAlignment="1">
      <alignment vertical="center"/>
    </xf>
    <xf numFmtId="0" fontId="70" fillId="15" borderId="0" xfId="0" applyFont="1" applyFill="1" applyBorder="1" applyAlignment="1">
      <alignment vertical="center"/>
    </xf>
    <xf numFmtId="179" fontId="7" fillId="0" borderId="0" xfId="1" applyFont="1" applyBorder="1" applyAlignment="1">
      <alignment vertical="center"/>
    </xf>
    <xf numFmtId="189" fontId="60" fillId="9" borderId="6" xfId="0" applyNumberFormat="1" applyFont="1" applyFill="1" applyBorder="1" applyAlignment="1">
      <alignment vertical="center"/>
    </xf>
    <xf numFmtId="189" fontId="60" fillId="9" borderId="8" xfId="0" applyNumberFormat="1" applyFont="1" applyFill="1" applyBorder="1" applyAlignment="1">
      <alignment horizontal="right" vertical="center"/>
    </xf>
    <xf numFmtId="189" fontId="60" fillId="9" borderId="12" xfId="0" applyNumberFormat="1" applyFont="1" applyFill="1" applyBorder="1" applyAlignment="1">
      <alignment horizontal="right" vertical="center"/>
    </xf>
    <xf numFmtId="189" fontId="60" fillId="9" borderId="4" xfId="0" applyNumberFormat="1" applyFont="1" applyFill="1" applyBorder="1" applyAlignment="1">
      <alignment vertical="center"/>
    </xf>
    <xf numFmtId="189" fontId="60" fillId="9" borderId="7" xfId="0" applyNumberFormat="1" applyFont="1" applyFill="1" applyBorder="1" applyAlignment="1">
      <alignment horizontal="right" vertical="center"/>
    </xf>
    <xf numFmtId="189" fontId="60" fillId="9" borderId="13" xfId="0" applyNumberFormat="1" applyFont="1" applyFill="1" applyBorder="1" applyAlignment="1">
      <alignment horizontal="right" vertical="center"/>
    </xf>
    <xf numFmtId="0" fontId="60" fillId="9" borderId="7" xfId="0" applyNumberFormat="1" applyFont="1" applyFill="1" applyBorder="1" applyAlignment="1">
      <alignment horizontal="left" vertical="center"/>
    </xf>
    <xf numFmtId="0" fontId="14" fillId="0" borderId="0" xfId="0" applyFont="1" applyFill="1" applyBorder="1" applyAlignment="1">
      <alignment vertical="center"/>
    </xf>
    <xf numFmtId="189" fontId="0" fillId="0" borderId="0" xfId="1" applyNumberFormat="1" applyFont="1"/>
    <xf numFmtId="189" fontId="67" fillId="11" borderId="11" xfId="0" applyNumberFormat="1" applyFont="1" applyFill="1" applyBorder="1" applyAlignment="1"/>
    <xf numFmtId="189" fontId="67" fillId="12" borderId="11" xfId="0" applyNumberFormat="1" applyFont="1" applyFill="1" applyBorder="1" applyAlignment="1"/>
    <xf numFmtId="190" fontId="67" fillId="12" borderId="11" xfId="0" applyNumberFormat="1" applyFont="1" applyFill="1" applyBorder="1" applyAlignment="1">
      <alignment vertical="center"/>
    </xf>
    <xf numFmtId="189" fontId="67" fillId="14" borderId="11" xfId="0" applyNumberFormat="1" applyFont="1" applyFill="1" applyBorder="1" applyAlignment="1"/>
    <xf numFmtId="0" fontId="60" fillId="9" borderId="6" xfId="0" applyFont="1" applyFill="1" applyBorder="1" applyAlignment="1"/>
    <xf numFmtId="189" fontId="60" fillId="9" borderId="12" xfId="0" applyNumberFormat="1" applyFont="1" applyFill="1" applyBorder="1" applyAlignment="1">
      <alignment horizontal="right"/>
    </xf>
    <xf numFmtId="189" fontId="60" fillId="9" borderId="13" xfId="0" applyNumberFormat="1" applyFont="1" applyFill="1" applyBorder="1" applyAlignment="1">
      <alignment horizontal="right"/>
    </xf>
    <xf numFmtId="49" fontId="60" fillId="9" borderId="7" xfId="0" applyNumberFormat="1" applyFont="1" applyFill="1" applyBorder="1" applyAlignment="1"/>
    <xf numFmtId="0" fontId="60" fillId="9" borderId="1" xfId="0" applyFont="1" applyFill="1" applyBorder="1" applyAlignment="1">
      <alignment vertical="center"/>
    </xf>
    <xf numFmtId="189" fontId="60" fillId="9" borderId="14" xfId="0" applyNumberFormat="1" applyFont="1" applyFill="1" applyBorder="1" applyAlignment="1">
      <alignment horizontal="right"/>
    </xf>
    <xf numFmtId="49" fontId="60" fillId="9" borderId="3" xfId="0" applyNumberFormat="1" applyFont="1" applyFill="1" applyBorder="1" applyAlignment="1"/>
    <xf numFmtId="0" fontId="60" fillId="9" borderId="4" xfId="0" applyFont="1" applyFill="1" applyBorder="1" applyAlignment="1"/>
    <xf numFmtId="0" fontId="60" fillId="9" borderId="0" xfId="0" applyFont="1" applyFill="1" applyBorder="1" applyAlignment="1"/>
    <xf numFmtId="189" fontId="60" fillId="9" borderId="6" xfId="0" applyNumberFormat="1" applyFont="1" applyFill="1" applyBorder="1" applyAlignment="1"/>
    <xf numFmtId="189" fontId="60" fillId="9" borderId="4" xfId="0" applyNumberFormat="1" applyFont="1" applyFill="1" applyBorder="1" applyAlignment="1"/>
    <xf numFmtId="189" fontId="60" fillId="9" borderId="0" xfId="0" applyNumberFormat="1" applyFont="1" applyFill="1" applyBorder="1" applyAlignment="1"/>
    <xf numFmtId="0" fontId="60" fillId="9" borderId="5" xfId="0" applyFont="1" applyFill="1" applyBorder="1" applyAlignment="1"/>
    <xf numFmtId="0" fontId="60" fillId="9" borderId="2" xfId="0" applyFont="1" applyFill="1" applyBorder="1" applyAlignment="1"/>
    <xf numFmtId="0" fontId="60" fillId="9" borderId="1" xfId="0" applyFont="1" applyFill="1" applyBorder="1" applyAlignment="1"/>
    <xf numFmtId="49" fontId="60" fillId="9" borderId="7" xfId="0" applyNumberFormat="1" applyFont="1" applyFill="1" applyBorder="1" applyAlignment="1">
      <alignment vertical="center"/>
    </xf>
    <xf numFmtId="0" fontId="60" fillId="9" borderId="12" xfId="0" applyFont="1" applyFill="1" applyBorder="1" applyAlignment="1">
      <alignment horizontal="right" vertical="center"/>
    </xf>
    <xf numFmtId="0" fontId="60" fillId="9" borderId="13" xfId="0" applyFont="1" applyFill="1" applyBorder="1" applyAlignment="1">
      <alignment horizontal="right" vertical="center"/>
    </xf>
    <xf numFmtId="0" fontId="60" fillId="9" borderId="7" xfId="0" applyFont="1" applyFill="1" applyBorder="1" applyAlignment="1">
      <alignment horizontal="left" vertical="center"/>
    </xf>
    <xf numFmtId="189" fontId="67" fillId="10" borderId="11" xfId="0" applyNumberFormat="1" applyFont="1" applyFill="1" applyBorder="1" applyAlignment="1"/>
    <xf numFmtId="189" fontId="67" fillId="11" borderId="15" xfId="0" applyNumberFormat="1" applyFont="1" applyFill="1" applyBorder="1" applyAlignment="1">
      <alignment vertical="center"/>
    </xf>
    <xf numFmtId="189" fontId="67" fillId="12" borderId="15" xfId="0" applyNumberFormat="1" applyFont="1" applyFill="1" applyBorder="1" applyAlignment="1">
      <alignment vertical="center"/>
    </xf>
    <xf numFmtId="189" fontId="67" fillId="14" borderId="15" xfId="0" applyNumberFormat="1" applyFont="1" applyFill="1" applyBorder="1" applyAlignment="1">
      <alignment vertical="center"/>
    </xf>
    <xf numFmtId="189" fontId="67" fillId="13" borderId="11" xfId="0" applyNumberFormat="1" applyFont="1" applyFill="1" applyBorder="1" applyAlignment="1"/>
    <xf numFmtId="170" fontId="71" fillId="9" borderId="4" xfId="0" applyNumberFormat="1" applyFont="1" applyFill="1" applyBorder="1" applyAlignment="1">
      <alignment vertical="center"/>
    </xf>
    <xf numFmtId="0" fontId="60" fillId="9" borderId="0" xfId="0" applyFont="1" applyFill="1" applyBorder="1" applyAlignment="1">
      <alignment vertical="center"/>
    </xf>
    <xf numFmtId="187" fontId="60" fillId="9" borderId="14" xfId="0" applyNumberFormat="1" applyFont="1" applyFill="1" applyBorder="1" applyAlignment="1">
      <alignment horizontal="right" vertical="center"/>
    </xf>
    <xf numFmtId="0" fontId="60" fillId="9" borderId="3" xfId="0" applyFont="1" applyFill="1" applyBorder="1" applyAlignment="1">
      <alignment vertical="center"/>
    </xf>
    <xf numFmtId="0" fontId="60" fillId="9" borderId="8" xfId="0" applyFont="1" applyFill="1" applyBorder="1" applyAlignment="1">
      <alignment horizontal="right" vertical="center"/>
    </xf>
    <xf numFmtId="0" fontId="60" fillId="9" borderId="7" xfId="0" applyFont="1" applyFill="1" applyBorder="1" applyAlignment="1">
      <alignment horizontal="right" vertical="center"/>
    </xf>
    <xf numFmtId="189" fontId="60" fillId="9" borderId="0" xfId="0" applyNumberFormat="1" applyFont="1" applyFill="1" applyBorder="1" applyAlignment="1">
      <alignment vertical="center"/>
    </xf>
    <xf numFmtId="189" fontId="60" fillId="9" borderId="14" xfId="0" applyNumberFormat="1" applyFont="1" applyFill="1" applyBorder="1" applyAlignment="1">
      <alignment horizontal="right" vertical="center"/>
    </xf>
    <xf numFmtId="49" fontId="60" fillId="9" borderId="3" xfId="0" applyNumberFormat="1" applyFont="1" applyFill="1" applyBorder="1" applyAlignment="1">
      <alignment vertical="center"/>
    </xf>
    <xf numFmtId="0" fontId="60" fillId="9" borderId="14" xfId="0" applyFont="1" applyFill="1" applyBorder="1" applyAlignment="1">
      <alignment horizontal="right" vertical="center"/>
    </xf>
    <xf numFmtId="0" fontId="60" fillId="9" borderId="3" xfId="0" applyFont="1" applyFill="1" applyBorder="1" applyAlignment="1">
      <alignment horizontal="left" vertical="center"/>
    </xf>
    <xf numFmtId="0" fontId="60" fillId="9" borderId="3" xfId="0" applyNumberFormat="1" applyFont="1" applyFill="1" applyBorder="1" applyAlignment="1">
      <alignment horizontal="left" vertical="center"/>
    </xf>
    <xf numFmtId="189" fontId="67" fillId="10" borderId="15" xfId="0" applyNumberFormat="1" applyFont="1" applyFill="1" applyBorder="1" applyAlignment="1">
      <alignment vertical="center"/>
    </xf>
    <xf numFmtId="0" fontId="60" fillId="9" borderId="0" xfId="0" applyFont="1" applyFill="1" applyBorder="1" applyAlignment="1">
      <alignment horizontal="center" vertical="center"/>
    </xf>
    <xf numFmtId="189" fontId="2" fillId="9" borderId="13" xfId="0" applyNumberFormat="1" applyFont="1" applyFill="1" applyBorder="1" applyAlignment="1">
      <alignment horizontal="right"/>
    </xf>
    <xf numFmtId="49" fontId="2" fillId="9" borderId="7" xfId="0" applyNumberFormat="1" applyFont="1" applyFill="1" applyBorder="1" applyAlignment="1"/>
    <xf numFmtId="0" fontId="67" fillId="9" borderId="9" xfId="0" applyFont="1" applyFill="1" applyBorder="1" applyAlignment="1"/>
    <xf numFmtId="0" fontId="67" fillId="9" borderId="10" xfId="0" applyFont="1" applyFill="1" applyBorder="1" applyAlignment="1"/>
    <xf numFmtId="189" fontId="7" fillId="9" borderId="10" xfId="0" applyNumberFormat="1" applyFont="1" applyFill="1" applyBorder="1" applyAlignment="1"/>
    <xf numFmtId="189" fontId="7" fillId="9" borderId="15" xfId="0" applyNumberFormat="1" applyFont="1" applyFill="1" applyBorder="1" applyAlignment="1"/>
    <xf numFmtId="189" fontId="67" fillId="9" borderId="11" xfId="0" applyNumberFormat="1" applyFont="1" applyFill="1" applyBorder="1" applyAlignment="1"/>
    <xf numFmtId="189" fontId="67" fillId="16" borderId="11" xfId="0" applyNumberFormat="1" applyFont="1" applyFill="1" applyBorder="1" applyAlignment="1"/>
    <xf numFmtId="0" fontId="67" fillId="9" borderId="10" xfId="0" applyFont="1" applyFill="1" applyBorder="1" applyAlignment="1">
      <alignment horizontal="center"/>
    </xf>
    <xf numFmtId="189" fontId="67" fillId="9" borderId="10" xfId="0" applyNumberFormat="1" applyFont="1" applyFill="1" applyBorder="1" applyAlignment="1"/>
    <xf numFmtId="189" fontId="67" fillId="9" borderId="15" xfId="0" applyNumberFormat="1" applyFont="1" applyFill="1" applyBorder="1" applyAlignment="1"/>
    <xf numFmtId="0" fontId="7" fillId="0" borderId="0" xfId="0" applyFont="1" applyFill="1" applyBorder="1" applyAlignment="1">
      <alignment horizontal="center"/>
    </xf>
    <xf numFmtId="189" fontId="72" fillId="9" borderId="13" xfId="0" applyNumberFormat="1" applyFont="1" applyFill="1" applyBorder="1" applyAlignment="1">
      <alignment horizontal="right"/>
    </xf>
    <xf numFmtId="49" fontId="72" fillId="9" borderId="7" xfId="0" applyNumberFormat="1" applyFont="1" applyFill="1" applyBorder="1" applyAlignment="1"/>
    <xf numFmtId="189" fontId="67" fillId="9" borderId="7" xfId="0" applyNumberFormat="1" applyFont="1" applyFill="1" applyBorder="1" applyAlignment="1">
      <alignment horizontal="right" vertical="center"/>
    </xf>
    <xf numFmtId="0" fontId="3" fillId="0" borderId="0" xfId="0" applyNumberFormat="1" applyFont="1" applyFill="1" applyBorder="1" applyAlignment="1">
      <alignment horizontal="left" vertical="center"/>
    </xf>
    <xf numFmtId="49" fontId="3" fillId="0" borderId="0" xfId="0" applyNumberFormat="1" applyFont="1" applyFill="1" applyBorder="1" applyAlignment="1"/>
    <xf numFmtId="189" fontId="3" fillId="0" borderId="0" xfId="0" applyNumberFormat="1" applyFont="1" applyFill="1" applyBorder="1" applyAlignment="1">
      <alignment horizontal="right"/>
    </xf>
    <xf numFmtId="0" fontId="24" fillId="0" borderId="0" xfId="0" applyFont="1" applyFill="1" applyBorder="1" applyAlignment="1"/>
    <xf numFmtId="9" fontId="2" fillId="0" borderId="0" xfId="6" applyFont="1" applyFill="1" applyBorder="1" applyAlignment="1"/>
    <xf numFmtId="0" fontId="51" fillId="9" borderId="7" xfId="0" applyNumberFormat="1" applyFont="1" applyFill="1" applyBorder="1" applyAlignment="1">
      <alignment horizontal="left" vertical="center"/>
    </xf>
    <xf numFmtId="0" fontId="67" fillId="9" borderId="9" xfId="0" applyFont="1" applyFill="1" applyBorder="1" applyAlignment="1">
      <alignment vertical="center"/>
    </xf>
    <xf numFmtId="0" fontId="67" fillId="9" borderId="10" xfId="0" applyFont="1" applyFill="1" applyBorder="1" applyAlignment="1">
      <alignment vertical="center"/>
    </xf>
    <xf numFmtId="189" fontId="67" fillId="9" borderId="10" xfId="0" applyNumberFormat="1" applyFont="1" applyFill="1" applyBorder="1" applyAlignment="1">
      <alignment vertical="center"/>
    </xf>
    <xf numFmtId="189" fontId="67" fillId="9" borderId="15" xfId="0" applyNumberFormat="1" applyFont="1" applyFill="1" applyBorder="1" applyAlignment="1">
      <alignment horizontal="center" vertical="center"/>
    </xf>
    <xf numFmtId="189" fontId="67" fillId="9" borderId="15" xfId="0" applyNumberFormat="1" applyFont="1" applyFill="1" applyBorder="1" applyAlignment="1">
      <alignment vertical="center"/>
    </xf>
    <xf numFmtId="189" fontId="60" fillId="9" borderId="3" xfId="0" applyNumberFormat="1" applyFont="1" applyFill="1" applyBorder="1" applyAlignment="1">
      <alignment horizontal="right" vertical="center"/>
    </xf>
    <xf numFmtId="0" fontId="51" fillId="9" borderId="3" xfId="0" applyNumberFormat="1" applyFont="1" applyFill="1" applyBorder="1" applyAlignment="1">
      <alignment horizontal="left" vertical="center"/>
    </xf>
    <xf numFmtId="0" fontId="60" fillId="9" borderId="6" xfId="0" applyFont="1" applyFill="1" applyBorder="1" applyAlignment="1">
      <alignment vertical="center" wrapText="1"/>
    </xf>
    <xf numFmtId="189" fontId="60" fillId="9" borderId="14" xfId="0" applyNumberFormat="1" applyFont="1" applyFill="1" applyBorder="1" applyAlignment="1">
      <alignment vertical="center"/>
    </xf>
    <xf numFmtId="189" fontId="67" fillId="9" borderId="11" xfId="0" applyNumberFormat="1" applyFont="1" applyFill="1" applyBorder="1" applyAlignment="1">
      <alignment horizontal="center" vertical="center"/>
    </xf>
    <xf numFmtId="189" fontId="67" fillId="9" borderId="11" xfId="0" applyNumberFormat="1" applyFont="1" applyFill="1" applyBorder="1" applyAlignment="1">
      <alignment vertical="center"/>
    </xf>
    <xf numFmtId="189" fontId="60" fillId="9" borderId="13" xfId="0" applyNumberFormat="1" applyFont="1" applyFill="1" applyBorder="1" applyAlignment="1">
      <alignment vertical="center"/>
    </xf>
    <xf numFmtId="0" fontId="73" fillId="9" borderId="2" xfId="0" applyFont="1" applyFill="1" applyBorder="1" applyAlignment="1">
      <alignment vertical="center"/>
    </xf>
    <xf numFmtId="189" fontId="67" fillId="17" borderId="11" xfId="0" applyNumberFormat="1" applyFont="1" applyFill="1" applyBorder="1" applyAlignment="1">
      <alignment vertical="center"/>
    </xf>
    <xf numFmtId="0" fontId="60" fillId="9" borderId="16" xfId="0" applyFont="1" applyFill="1" applyBorder="1" applyAlignment="1"/>
    <xf numFmtId="0" fontId="60" fillId="9" borderId="7" xfId="0" applyNumberFormat="1" applyFont="1" applyFill="1" applyBorder="1" applyAlignment="1">
      <alignment horizontal="center" vertical="center"/>
    </xf>
    <xf numFmtId="189" fontId="67" fillId="9" borderId="15" xfId="0" applyNumberFormat="1" applyFont="1" applyFill="1" applyBorder="1" applyAlignment="1">
      <alignment horizontal="right" vertical="center"/>
    </xf>
    <xf numFmtId="170" fontId="67" fillId="9" borderId="10" xfId="0" applyNumberFormat="1" applyFont="1" applyFill="1" applyBorder="1" applyAlignment="1">
      <alignment vertical="center"/>
    </xf>
    <xf numFmtId="170" fontId="67" fillId="9" borderId="10" xfId="0" applyNumberFormat="1" applyFont="1" applyFill="1" applyBorder="1" applyAlignment="1">
      <alignment horizontal="right" vertical="center"/>
    </xf>
    <xf numFmtId="189" fontId="67" fillId="9" borderId="9" xfId="0" applyNumberFormat="1" applyFont="1" applyFill="1" applyBorder="1" applyAlignment="1">
      <alignment vertical="center"/>
    </xf>
    <xf numFmtId="189" fontId="67" fillId="9" borderId="10" xfId="0" applyNumberFormat="1" applyFont="1" applyFill="1" applyBorder="1"/>
    <xf numFmtId="189" fontId="67" fillId="9" borderId="10" xfId="0" applyNumberFormat="1" applyFont="1" applyFill="1" applyBorder="1" applyAlignment="1">
      <alignment horizontal="right" vertical="center"/>
    </xf>
    <xf numFmtId="170" fontId="74" fillId="9" borderId="10" xfId="0" applyNumberFormat="1" applyFont="1" applyFill="1" applyBorder="1" applyAlignment="1">
      <alignment vertical="center"/>
    </xf>
    <xf numFmtId="186" fontId="74" fillId="9" borderId="15" xfId="0" applyNumberFormat="1" applyFont="1" applyFill="1" applyBorder="1" applyAlignment="1">
      <alignment vertical="center"/>
    </xf>
    <xf numFmtId="186" fontId="67" fillId="9" borderId="11" xfId="0" applyNumberFormat="1" applyFont="1" applyFill="1" applyBorder="1" applyAlignment="1">
      <alignment vertical="center"/>
    </xf>
    <xf numFmtId="186" fontId="67" fillId="9" borderId="9" xfId="0" applyNumberFormat="1" applyFont="1" applyFill="1" applyBorder="1" applyAlignment="1">
      <alignment vertical="center"/>
    </xf>
    <xf numFmtId="186" fontId="67" fillId="9" borderId="10" xfId="0" applyNumberFormat="1" applyFont="1" applyFill="1" applyBorder="1" applyAlignment="1">
      <alignment vertical="center"/>
    </xf>
    <xf numFmtId="0" fontId="60" fillId="9" borderId="9" xfId="0" applyFont="1" applyFill="1" applyBorder="1" applyAlignment="1">
      <alignment vertical="center"/>
    </xf>
    <xf numFmtId="170" fontId="60" fillId="9" borderId="10" xfId="0" applyNumberFormat="1" applyFont="1" applyFill="1" applyBorder="1" applyAlignment="1">
      <alignment vertical="center"/>
    </xf>
    <xf numFmtId="189" fontId="60" fillId="9" borderId="10" xfId="0" applyNumberFormat="1" applyFont="1" applyFill="1" applyBorder="1" applyAlignment="1">
      <alignment vertical="center"/>
    </xf>
    <xf numFmtId="186" fontId="60" fillId="9" borderId="15" xfId="0" applyNumberFormat="1" applyFont="1" applyFill="1" applyBorder="1" applyAlignment="1">
      <alignment horizontal="right" vertical="center"/>
    </xf>
    <xf numFmtId="186" fontId="60" fillId="9" borderId="7" xfId="0" applyNumberFormat="1" applyFont="1" applyFill="1" applyBorder="1" applyAlignment="1">
      <alignment vertical="center"/>
    </xf>
    <xf numFmtId="0" fontId="67" fillId="9" borderId="10" xfId="0" applyFont="1" applyFill="1" applyBorder="1" applyAlignment="1">
      <alignment horizontal="center" vertical="center"/>
    </xf>
    <xf numFmtId="189" fontId="68" fillId="0" borderId="0" xfId="0" applyNumberFormat="1" applyFont="1" applyFill="1" applyBorder="1" applyAlignment="1">
      <alignment horizontal="right" vertical="center"/>
    </xf>
    <xf numFmtId="189" fontId="10" fillId="0" borderId="6" xfId="0" applyNumberFormat="1" applyFont="1" applyFill="1" applyBorder="1" applyAlignment="1">
      <alignment horizontal="right" vertical="center"/>
    </xf>
    <xf numFmtId="189" fontId="10" fillId="0" borderId="4" xfId="0" applyNumberFormat="1" applyFont="1" applyFill="1" applyBorder="1" applyAlignment="1">
      <alignment horizontal="right" vertical="center"/>
    </xf>
    <xf numFmtId="189" fontId="74" fillId="9" borderId="4" xfId="0" applyNumberFormat="1" applyFont="1" applyFill="1" applyBorder="1" applyAlignment="1">
      <alignment vertical="center"/>
    </xf>
    <xf numFmtId="189" fontId="60" fillId="0" borderId="6" xfId="0" applyNumberFormat="1" applyFont="1" applyFill="1" applyBorder="1" applyAlignment="1">
      <alignment horizontal="right" vertical="center"/>
    </xf>
    <xf numFmtId="189" fontId="60" fillId="0" borderId="8" xfId="0" applyNumberFormat="1" applyFont="1" applyFill="1" applyBorder="1" applyAlignment="1">
      <alignment horizontal="right" vertical="center"/>
    </xf>
    <xf numFmtId="0" fontId="68" fillId="0" borderId="2" xfId="0" applyFont="1" applyFill="1" applyBorder="1" applyAlignment="1">
      <alignment vertical="center"/>
    </xf>
    <xf numFmtId="189" fontId="68" fillId="0" borderId="4" xfId="0" applyNumberFormat="1" applyFont="1" applyFill="1" applyBorder="1" applyAlignment="1">
      <alignment horizontal="right" vertical="center"/>
    </xf>
    <xf numFmtId="189" fontId="68" fillId="0" borderId="7" xfId="0" applyNumberFormat="1" applyFont="1" applyFill="1" applyBorder="1" applyAlignment="1">
      <alignment horizontal="right" vertical="center"/>
    </xf>
    <xf numFmtId="189" fontId="67" fillId="18" borderId="15" xfId="0" applyNumberFormat="1" applyFont="1" applyFill="1" applyBorder="1" applyAlignment="1">
      <alignment vertical="center"/>
    </xf>
    <xf numFmtId="191" fontId="6" fillId="0" borderId="0" xfId="6" applyNumberFormat="1" applyFont="1" applyFill="1" applyBorder="1" applyAlignment="1">
      <alignment vertical="center"/>
    </xf>
    <xf numFmtId="49" fontId="49" fillId="0" borderId="0" xfId="0" applyNumberFormat="1" applyFont="1" applyFill="1" applyBorder="1" applyAlignment="1">
      <alignment vertical="center"/>
    </xf>
    <xf numFmtId="0" fontId="50" fillId="0" borderId="0" xfId="0" applyFont="1" applyFill="1" applyBorder="1" applyAlignment="1">
      <alignment vertical="center"/>
    </xf>
    <xf numFmtId="189" fontId="67" fillId="18" borderId="11" xfId="0" applyNumberFormat="1" applyFont="1" applyFill="1" applyBorder="1" applyAlignment="1"/>
    <xf numFmtId="0" fontId="6" fillId="0" borderId="0" xfId="0" applyNumberFormat="1" applyFont="1" applyAlignment="1">
      <alignment horizontal="right"/>
    </xf>
    <xf numFmtId="189" fontId="67" fillId="9" borderId="11" xfId="0" applyNumberFormat="1" applyFont="1" applyFill="1" applyBorder="1" applyAlignment="1">
      <alignment horizontal="right"/>
    </xf>
    <xf numFmtId="0" fontId="60" fillId="9" borderId="0" xfId="0" applyFont="1" applyFill="1" applyBorder="1" applyAlignment="1">
      <alignment horizontal="left"/>
    </xf>
    <xf numFmtId="0" fontId="72" fillId="9" borderId="2" xfId="0" applyFont="1" applyFill="1" applyBorder="1" applyAlignment="1"/>
    <xf numFmtId="0" fontId="72" fillId="9" borderId="4" xfId="0" applyFont="1" applyFill="1" applyBorder="1" applyAlignment="1"/>
    <xf numFmtId="189" fontId="72" fillId="9" borderId="4" xfId="0" applyNumberFormat="1" applyFont="1" applyFill="1" applyBorder="1" applyAlignment="1"/>
    <xf numFmtId="49" fontId="72" fillId="9" borderId="7" xfId="0" applyNumberFormat="1" applyFont="1" applyFill="1" applyBorder="1" applyAlignment="1">
      <alignment horizontal="left"/>
    </xf>
    <xf numFmtId="0" fontId="60" fillId="19" borderId="5" xfId="0" applyFont="1" applyFill="1" applyBorder="1" applyAlignment="1">
      <alignment vertical="center"/>
    </xf>
    <xf numFmtId="0" fontId="60" fillId="19" borderId="6" xfId="0" applyFont="1" applyFill="1" applyBorder="1" applyAlignment="1">
      <alignment vertical="center"/>
    </xf>
    <xf numFmtId="189" fontId="60" fillId="19" borderId="6" xfId="0" applyNumberFormat="1" applyFont="1" applyFill="1" applyBorder="1" applyAlignment="1">
      <alignment vertical="center"/>
    </xf>
    <xf numFmtId="189" fontId="60" fillId="19" borderId="12" xfId="0" applyNumberFormat="1" applyFont="1" applyFill="1" applyBorder="1" applyAlignment="1">
      <alignment horizontal="right" vertical="center"/>
    </xf>
    <xf numFmtId="0" fontId="60" fillId="19" borderId="2" xfId="0" applyFont="1" applyFill="1" applyBorder="1" applyAlignment="1">
      <alignment vertical="center"/>
    </xf>
    <xf numFmtId="0" fontId="60" fillId="19" borderId="4" xfId="0" applyFont="1" applyFill="1" applyBorder="1" applyAlignment="1">
      <alignment vertical="center"/>
    </xf>
    <xf numFmtId="189" fontId="60" fillId="19" borderId="4" xfId="0" applyNumberFormat="1" applyFont="1" applyFill="1" applyBorder="1" applyAlignment="1">
      <alignment vertical="center"/>
    </xf>
    <xf numFmtId="189" fontId="60" fillId="19" borderId="13" xfId="0" applyNumberFormat="1" applyFont="1" applyFill="1" applyBorder="1" applyAlignment="1">
      <alignment horizontal="right" vertical="center"/>
    </xf>
    <xf numFmtId="49" fontId="60" fillId="19" borderId="7" xfId="0" applyNumberFormat="1" applyFont="1" applyFill="1" applyBorder="1" applyAlignment="1">
      <alignment vertical="center"/>
    </xf>
    <xf numFmtId="0" fontId="67" fillId="19" borderId="9" xfId="0" applyFont="1" applyFill="1" applyBorder="1" applyAlignment="1">
      <alignment vertical="center"/>
    </xf>
    <xf numFmtId="0" fontId="67" fillId="19" borderId="10" xfId="0" applyFont="1" applyFill="1" applyBorder="1" applyAlignment="1">
      <alignment vertical="center"/>
    </xf>
    <xf numFmtId="189" fontId="67" fillId="19" borderId="10" xfId="0" applyNumberFormat="1" applyFont="1" applyFill="1" applyBorder="1" applyAlignment="1">
      <alignment vertical="center"/>
    </xf>
    <xf numFmtId="189" fontId="67" fillId="19" borderId="15" xfId="0" applyNumberFormat="1" applyFont="1" applyFill="1" applyBorder="1" applyAlignment="1">
      <alignment vertical="center"/>
    </xf>
    <xf numFmtId="189" fontId="67" fillId="19" borderId="11" xfId="0" applyNumberFormat="1" applyFont="1" applyFill="1" applyBorder="1" applyAlignment="1">
      <alignment vertical="center"/>
    </xf>
    <xf numFmtId="0" fontId="6" fillId="0" borderId="0" xfId="0" applyNumberFormat="1" applyFont="1" applyFill="1" applyAlignment="1"/>
    <xf numFmtId="189" fontId="67" fillId="18" borderId="11" xfId="0" applyNumberFormat="1" applyFont="1" applyFill="1" applyBorder="1" applyAlignment="1">
      <alignment vertical="center"/>
    </xf>
    <xf numFmtId="0" fontId="67" fillId="19" borderId="5" xfId="0" applyFont="1" applyFill="1" applyBorder="1" applyAlignment="1"/>
    <xf numFmtId="0" fontId="67" fillId="19" borderId="6" xfId="0" applyFont="1" applyFill="1" applyBorder="1" applyAlignment="1"/>
    <xf numFmtId="189" fontId="67" fillId="19" borderId="6" xfId="0" applyNumberFormat="1" applyFont="1" applyFill="1" applyBorder="1" applyAlignment="1"/>
    <xf numFmtId="189" fontId="67" fillId="19" borderId="12" xfId="0" applyNumberFormat="1" applyFont="1" applyFill="1" applyBorder="1" applyAlignment="1">
      <alignment horizontal="right"/>
    </xf>
    <xf numFmtId="0" fontId="67" fillId="19" borderId="2" xfId="0" applyFont="1" applyFill="1" applyBorder="1" applyAlignment="1"/>
    <xf numFmtId="0" fontId="67" fillId="19" borderId="4" xfId="0" applyFont="1" applyFill="1" applyBorder="1" applyAlignment="1"/>
    <xf numFmtId="189" fontId="67" fillId="19" borderId="4" xfId="0" applyNumberFormat="1" applyFont="1" applyFill="1" applyBorder="1" applyAlignment="1"/>
    <xf numFmtId="189" fontId="67" fillId="19" borderId="13" xfId="0" applyNumberFormat="1" applyFont="1" applyFill="1" applyBorder="1" applyAlignment="1">
      <alignment horizontal="right"/>
    </xf>
    <xf numFmtId="49" fontId="60" fillId="19" borderId="7" xfId="0" applyNumberFormat="1" applyFont="1" applyFill="1" applyBorder="1" applyAlignment="1"/>
    <xf numFmtId="0" fontId="67" fillId="19" borderId="9" xfId="0" applyFont="1" applyFill="1" applyBorder="1" applyAlignment="1"/>
    <xf numFmtId="0" fontId="67" fillId="19" borderId="10" xfId="0" applyFont="1" applyFill="1" applyBorder="1" applyAlignment="1"/>
    <xf numFmtId="189" fontId="67" fillId="19" borderId="10" xfId="0" applyNumberFormat="1" applyFont="1" applyFill="1" applyBorder="1" applyAlignment="1"/>
    <xf numFmtId="189" fontId="67" fillId="19" borderId="11" xfId="0" applyNumberFormat="1" applyFont="1" applyFill="1" applyBorder="1" applyAlignment="1"/>
    <xf numFmtId="0" fontId="60" fillId="19" borderId="5" xfId="0" applyFont="1" applyFill="1" applyBorder="1" applyAlignment="1"/>
    <xf numFmtId="0" fontId="60" fillId="19" borderId="6" xfId="0" applyFont="1" applyFill="1" applyBorder="1" applyAlignment="1"/>
    <xf numFmtId="189" fontId="60" fillId="19" borderId="6" xfId="0" applyNumberFormat="1" applyFont="1" applyFill="1" applyBorder="1" applyAlignment="1"/>
    <xf numFmtId="189" fontId="60" fillId="19" borderId="12" xfId="0" applyNumberFormat="1" applyFont="1" applyFill="1" applyBorder="1" applyAlignment="1">
      <alignment horizontal="right"/>
    </xf>
    <xf numFmtId="0" fontId="60" fillId="19" borderId="2" xfId="0" applyFont="1" applyFill="1" applyBorder="1" applyAlignment="1"/>
    <xf numFmtId="0" fontId="60" fillId="19" borderId="4" xfId="0" applyFont="1" applyFill="1" applyBorder="1" applyAlignment="1"/>
    <xf numFmtId="189" fontId="60" fillId="19" borderId="4" xfId="0" applyNumberFormat="1" applyFont="1" applyFill="1" applyBorder="1" applyAlignment="1"/>
    <xf numFmtId="189" fontId="60" fillId="19" borderId="13" xfId="0" applyNumberFormat="1" applyFont="1" applyFill="1" applyBorder="1" applyAlignment="1">
      <alignment horizontal="right"/>
    </xf>
    <xf numFmtId="189" fontId="67" fillId="19" borderId="15" xfId="0" applyNumberFormat="1" applyFont="1" applyFill="1" applyBorder="1" applyAlignment="1"/>
    <xf numFmtId="0" fontId="6" fillId="0" borderId="0" xfId="6" applyNumberFormat="1" applyFont="1" applyAlignment="1"/>
    <xf numFmtId="0" fontId="6" fillId="0" borderId="0" xfId="0" applyNumberFormat="1" applyFont="1" applyAlignment="1">
      <alignment vertical="center"/>
    </xf>
    <xf numFmtId="0" fontId="67" fillId="19" borderId="2" xfId="0" applyFont="1" applyFill="1" applyBorder="1" applyAlignment="1">
      <alignment vertical="center"/>
    </xf>
    <xf numFmtId="0" fontId="67" fillId="19" borderId="4" xfId="0" applyFont="1" applyFill="1" applyBorder="1" applyAlignment="1">
      <alignment vertical="center"/>
    </xf>
    <xf numFmtId="189" fontId="67" fillId="19" borderId="4" xfId="0" applyNumberFormat="1" applyFont="1" applyFill="1" applyBorder="1" applyAlignment="1">
      <alignment vertical="center"/>
    </xf>
    <xf numFmtId="189" fontId="67" fillId="19" borderId="7" xfId="0" applyNumberFormat="1" applyFont="1" applyFill="1" applyBorder="1" applyAlignment="1">
      <alignment vertical="center"/>
    </xf>
    <xf numFmtId="189" fontId="67" fillId="19" borderId="13" xfId="0" applyNumberFormat="1" applyFont="1" applyFill="1" applyBorder="1" applyAlignment="1">
      <alignment vertical="center"/>
    </xf>
    <xf numFmtId="170" fontId="3" fillId="19" borderId="6" xfId="0" applyNumberFormat="1" applyFont="1" applyFill="1" applyBorder="1" applyAlignment="1">
      <alignment vertical="center"/>
    </xf>
    <xf numFmtId="189" fontId="3" fillId="19" borderId="6" xfId="0" applyNumberFormat="1" applyFont="1" applyFill="1" applyBorder="1" applyAlignment="1">
      <alignment vertical="center"/>
    </xf>
    <xf numFmtId="0" fontId="60" fillId="19" borderId="12" xfId="0" applyFont="1" applyFill="1" applyBorder="1" applyAlignment="1">
      <alignment horizontal="right" vertical="center"/>
    </xf>
    <xf numFmtId="0" fontId="3" fillId="19" borderId="2" xfId="0" applyFont="1" applyFill="1" applyBorder="1" applyAlignment="1">
      <alignment vertical="center"/>
    </xf>
    <xf numFmtId="170" fontId="3" fillId="19" borderId="4" xfId="0" applyNumberFormat="1" applyFont="1" applyFill="1" applyBorder="1" applyAlignment="1">
      <alignment vertical="center"/>
    </xf>
    <xf numFmtId="189" fontId="3" fillId="19" borderId="4" xfId="0" applyNumberFormat="1" applyFont="1" applyFill="1" applyBorder="1" applyAlignment="1">
      <alignment vertical="center"/>
    </xf>
    <xf numFmtId="0" fontId="3" fillId="19" borderId="13" xfId="0" applyFont="1" applyFill="1" applyBorder="1" applyAlignment="1">
      <alignment horizontal="right" vertical="center"/>
    </xf>
    <xf numFmtId="0" fontId="3" fillId="19" borderId="7" xfId="0" applyFont="1" applyFill="1" applyBorder="1" applyAlignment="1">
      <alignment horizontal="left" vertical="center"/>
    </xf>
    <xf numFmtId="170" fontId="7" fillId="19" borderId="4" xfId="0" applyNumberFormat="1" applyFont="1" applyFill="1" applyBorder="1" applyAlignment="1">
      <alignment vertical="center"/>
    </xf>
    <xf numFmtId="189" fontId="7" fillId="19" borderId="4" xfId="0" applyNumberFormat="1" applyFont="1" applyFill="1" applyBorder="1" applyAlignment="1">
      <alignment vertical="center"/>
    </xf>
    <xf numFmtId="170" fontId="7" fillId="19" borderId="7" xfId="0" applyNumberFormat="1" applyFont="1" applyFill="1" applyBorder="1" applyAlignment="1">
      <alignment horizontal="right" vertical="center"/>
    </xf>
    <xf numFmtId="0" fontId="6" fillId="0" borderId="0" xfId="0" applyNumberFormat="1" applyFont="1" applyFill="1" applyAlignment="1">
      <alignment horizontal="right"/>
    </xf>
    <xf numFmtId="189" fontId="72" fillId="9" borderId="13" xfId="0" applyNumberFormat="1" applyFont="1" applyFill="1" applyBorder="1" applyAlignment="1">
      <alignment horizontal="right" vertical="center"/>
    </xf>
    <xf numFmtId="49" fontId="3" fillId="9" borderId="7" xfId="0" applyNumberFormat="1" applyFont="1" applyFill="1" applyBorder="1" applyAlignment="1">
      <alignment vertical="center"/>
    </xf>
    <xf numFmtId="49" fontId="2" fillId="0" borderId="1" xfId="0" applyNumberFormat="1" applyFont="1" applyFill="1" applyBorder="1" applyAlignment="1">
      <alignment vertical="center"/>
    </xf>
    <xf numFmtId="49" fontId="2" fillId="0" borderId="2" xfId="0" applyNumberFormat="1" applyFont="1" applyFill="1" applyBorder="1" applyAlignment="1">
      <alignment vertical="center"/>
    </xf>
    <xf numFmtId="0" fontId="67" fillId="11" borderId="9" xfId="0" applyFont="1" applyFill="1" applyBorder="1" applyAlignment="1"/>
    <xf numFmtId="0" fontId="67" fillId="11" borderId="15" xfId="0" applyFont="1" applyFill="1" applyBorder="1" applyAlignment="1"/>
    <xf numFmtId="189" fontId="67" fillId="9" borderId="11" xfId="1" applyNumberFormat="1" applyFont="1" applyFill="1" applyBorder="1"/>
    <xf numFmtId="0" fontId="66" fillId="0" borderId="0" xfId="0" applyFont="1" applyBorder="1" applyAlignment="1">
      <alignment vertical="center"/>
    </xf>
    <xf numFmtId="189" fontId="67" fillId="20" borderId="11" xfId="0" applyNumberFormat="1" applyFont="1" applyFill="1" applyBorder="1" applyAlignment="1">
      <alignment vertical="center"/>
    </xf>
    <xf numFmtId="0" fontId="60" fillId="9" borderId="13" xfId="0" applyNumberFormat="1" applyFont="1" applyFill="1" applyBorder="1" applyAlignment="1">
      <alignment horizontal="left" vertical="center"/>
    </xf>
    <xf numFmtId="0" fontId="60" fillId="19" borderId="8" xfId="0" applyFont="1" applyFill="1" applyBorder="1" applyAlignment="1">
      <alignment horizontal="center" vertical="center"/>
    </xf>
    <xf numFmtId="1" fontId="3" fillId="0" borderId="15" xfId="0" applyNumberFormat="1" applyFont="1" applyBorder="1" applyAlignment="1">
      <alignment horizontal="center" vertical="center"/>
    </xf>
    <xf numFmtId="1" fontId="3" fillId="0" borderId="11" xfId="0" applyNumberFormat="1" applyFont="1" applyBorder="1" applyAlignment="1">
      <alignment horizontal="center" vertical="center"/>
    </xf>
    <xf numFmtId="189" fontId="2" fillId="0" borderId="14" xfId="0" applyNumberFormat="1" applyFont="1" applyBorder="1" applyAlignment="1">
      <alignment vertical="center"/>
    </xf>
    <xf numFmtId="189" fontId="2" fillId="0" borderId="12" xfId="0" applyNumberFormat="1" applyFont="1" applyBorder="1" applyAlignment="1">
      <alignment horizontal="right" vertical="center"/>
    </xf>
    <xf numFmtId="170" fontId="2" fillId="0" borderId="12" xfId="0" applyNumberFormat="1" applyFont="1" applyBorder="1" applyAlignment="1">
      <alignment horizontal="right" vertical="center"/>
    </xf>
    <xf numFmtId="170" fontId="2" fillId="0" borderId="14" xfId="0" applyNumberFormat="1" applyFont="1" applyBorder="1" applyAlignment="1">
      <alignment horizontal="right" vertical="center"/>
    </xf>
    <xf numFmtId="189" fontId="2" fillId="0" borderId="14" xfId="0" applyNumberFormat="1" applyFont="1" applyBorder="1" applyAlignment="1">
      <alignment horizontal="right" vertical="center"/>
    </xf>
    <xf numFmtId="170" fontId="2" fillId="0" borderId="13" xfId="0" applyNumberFormat="1" applyFont="1" applyBorder="1" applyAlignment="1">
      <alignment horizontal="right" vertical="center"/>
    </xf>
    <xf numFmtId="189" fontId="2" fillId="0" borderId="13" xfId="0" applyNumberFormat="1" applyFont="1" applyBorder="1" applyAlignment="1">
      <alignment horizontal="right" vertical="center"/>
    </xf>
    <xf numFmtId="170" fontId="2" fillId="0" borderId="0" xfId="0" applyNumberFormat="1" applyFont="1" applyAlignment="1">
      <alignment vertical="center"/>
    </xf>
    <xf numFmtId="189" fontId="53" fillId="0" borderId="11" xfId="0" applyNumberFormat="1" applyFont="1" applyBorder="1" applyAlignment="1">
      <alignment vertical="center"/>
    </xf>
    <xf numFmtId="189" fontId="53" fillId="0" borderId="15" xfId="0" applyNumberFormat="1" applyFont="1" applyBorder="1" applyAlignment="1">
      <alignment horizontal="right" vertical="center"/>
    </xf>
    <xf numFmtId="186" fontId="13" fillId="0" borderId="12" xfId="0" applyNumberFormat="1" applyFont="1" applyBorder="1"/>
    <xf numFmtId="186" fontId="13" fillId="0" borderId="14" xfId="0" applyNumberFormat="1" applyFont="1" applyBorder="1"/>
    <xf numFmtId="186" fontId="13" fillId="0" borderId="13" xfId="0" applyNumberFormat="1" applyFont="1" applyBorder="1"/>
    <xf numFmtId="9" fontId="3" fillId="0" borderId="11" xfId="0" applyNumberFormat="1" applyFont="1" applyBorder="1" applyAlignment="1">
      <alignment horizontal="center"/>
    </xf>
    <xf numFmtId="49" fontId="60" fillId="19" borderId="8" xfId="0" applyNumberFormat="1" applyFont="1" applyFill="1" applyBorder="1" applyAlignment="1">
      <alignment horizontal="center"/>
    </xf>
    <xf numFmtId="49" fontId="60" fillId="19" borderId="8" xfId="0" applyNumberFormat="1" applyFont="1" applyFill="1" applyBorder="1" applyAlignment="1">
      <alignment horizontal="center" vertical="center"/>
    </xf>
    <xf numFmtId="189" fontId="2" fillId="21" borderId="14" xfId="0" applyNumberFormat="1" applyFont="1" applyFill="1" applyBorder="1" applyAlignment="1">
      <alignment vertical="center"/>
    </xf>
    <xf numFmtId="189" fontId="2" fillId="21" borderId="14" xfId="0" applyNumberFormat="1" applyFont="1" applyFill="1" applyBorder="1" applyAlignment="1">
      <alignment horizontal="right" vertical="center"/>
    </xf>
    <xf numFmtId="189" fontId="2" fillId="21" borderId="12" xfId="0" applyNumberFormat="1" applyFont="1" applyFill="1" applyBorder="1" applyAlignment="1">
      <alignment vertical="center"/>
    </xf>
    <xf numFmtId="189" fontId="2" fillId="21" borderId="12" xfId="0" applyNumberFormat="1" applyFont="1" applyFill="1" applyBorder="1" applyAlignment="1">
      <alignment horizontal="right" vertical="center"/>
    </xf>
    <xf numFmtId="9" fontId="3" fillId="0" borderId="13" xfId="0" applyNumberFormat="1" applyFont="1" applyBorder="1" applyAlignment="1">
      <alignment horizontal="center"/>
    </xf>
    <xf numFmtId="9" fontId="13" fillId="21" borderId="12" xfId="0" applyNumberFormat="1" applyFont="1" applyFill="1" applyBorder="1"/>
    <xf numFmtId="9" fontId="13" fillId="21" borderId="14" xfId="0" applyNumberFormat="1" applyFont="1" applyFill="1" applyBorder="1"/>
    <xf numFmtId="189" fontId="2" fillId="0" borderId="12" xfId="0" applyNumberFormat="1" applyFont="1" applyBorder="1" applyAlignment="1">
      <alignment vertical="center"/>
    </xf>
    <xf numFmtId="49" fontId="60" fillId="9" borderId="8" xfId="0" applyNumberFormat="1" applyFont="1" applyFill="1" applyBorder="1" applyAlignment="1">
      <alignment horizontal="center"/>
    </xf>
    <xf numFmtId="0" fontId="60" fillId="9" borderId="8" xfId="0" applyNumberFormat="1" applyFont="1" applyFill="1" applyBorder="1" applyAlignment="1">
      <alignment horizontal="center" vertical="center"/>
    </xf>
    <xf numFmtId="0" fontId="6" fillId="0" borderId="0" xfId="5" applyFont="1" applyFill="1" applyBorder="1"/>
    <xf numFmtId="49" fontId="60" fillId="9" borderId="8" xfId="0" applyNumberFormat="1" applyFont="1" applyFill="1" applyBorder="1" applyAlignment="1">
      <alignment horizontal="center" vertical="center"/>
    </xf>
    <xf numFmtId="49" fontId="60" fillId="9" borderId="3" xfId="0" applyNumberFormat="1" applyFont="1" applyFill="1" applyBorder="1" applyAlignment="1">
      <alignment horizontal="center" vertical="center"/>
    </xf>
    <xf numFmtId="189" fontId="6" fillId="0" borderId="12" xfId="0" applyNumberFormat="1" applyFont="1" applyBorder="1" applyAlignment="1">
      <alignment horizontal="right" vertical="center"/>
    </xf>
    <xf numFmtId="0" fontId="3" fillId="0" borderId="0" xfId="0" applyFont="1" applyAlignment="1">
      <alignment horizontal="center"/>
    </xf>
    <xf numFmtId="189" fontId="2" fillId="0" borderId="0" xfId="0" applyNumberFormat="1" applyFont="1" applyAlignment="1">
      <alignment horizontal="center"/>
    </xf>
    <xf numFmtId="189" fontId="6" fillId="0" borderId="0" xfId="0" applyNumberFormat="1" applyFont="1" applyAlignment="1">
      <alignment horizontal="center"/>
    </xf>
    <xf numFmtId="0" fontId="2" fillId="0" borderId="0" xfId="0" applyFont="1" applyAlignment="1">
      <alignment horizontal="center"/>
    </xf>
    <xf numFmtId="0" fontId="60" fillId="9" borderId="6" xfId="0" applyFont="1" applyFill="1" applyBorder="1" applyAlignment="1">
      <alignment horizontal="center"/>
    </xf>
    <xf numFmtId="189" fontId="60" fillId="9" borderId="6" xfId="0" applyNumberFormat="1" applyFont="1" applyFill="1" applyBorder="1" applyAlignment="1">
      <alignment horizontal="center"/>
    </xf>
    <xf numFmtId="189" fontId="60" fillId="9" borderId="12" xfId="0" applyNumberFormat="1" applyFont="1" applyFill="1" applyBorder="1" applyAlignment="1">
      <alignment horizontal="center"/>
    </xf>
    <xf numFmtId="49" fontId="60" fillId="9" borderId="12" xfId="0" applyNumberFormat="1" applyFont="1" applyFill="1" applyBorder="1" applyAlignment="1">
      <alignment horizontal="center" vertical="center"/>
    </xf>
    <xf numFmtId="186" fontId="6" fillId="0" borderId="6" xfId="0" applyNumberFormat="1" applyFont="1" applyFill="1" applyBorder="1" applyAlignment="1">
      <alignment vertical="center"/>
    </xf>
    <xf numFmtId="0" fontId="2" fillId="0" borderId="3" xfId="0" applyFont="1" applyBorder="1" applyAlignment="1">
      <alignment vertical="center"/>
    </xf>
    <xf numFmtId="0" fontId="60" fillId="9" borderId="0" xfId="0" applyFont="1" applyFill="1" applyBorder="1" applyAlignment="1">
      <alignment horizontal="left" vertical="center"/>
    </xf>
    <xf numFmtId="0" fontId="60" fillId="9" borderId="8" xfId="0" applyFont="1" applyFill="1" applyBorder="1" applyAlignment="1">
      <alignment horizontal="center" vertical="center"/>
    </xf>
    <xf numFmtId="0" fontId="44" fillId="0" borderId="0" xfId="0" applyFont="1" applyAlignment="1">
      <alignment vertical="center"/>
    </xf>
    <xf numFmtId="0" fontId="60" fillId="9" borderId="5" xfId="0" applyFont="1" applyFill="1" applyBorder="1" applyAlignment="1">
      <alignment horizontal="left" vertical="center"/>
    </xf>
    <xf numFmtId="189" fontId="2" fillId="8" borderId="0" xfId="0" applyNumberFormat="1" applyFont="1" applyFill="1" applyAlignment="1">
      <alignment vertical="center"/>
    </xf>
    <xf numFmtId="179" fontId="7" fillId="0" borderId="0" xfId="1" applyFont="1" applyFill="1" applyBorder="1" applyAlignment="1">
      <alignment vertical="center"/>
    </xf>
    <xf numFmtId="179" fontId="12" fillId="0" borderId="0" xfId="1" applyFont="1" applyFill="1" applyBorder="1" applyAlignment="1">
      <alignment vertical="center"/>
    </xf>
    <xf numFmtId="179" fontId="62" fillId="0" borderId="0" xfId="1" applyFont="1" applyFill="1" applyBorder="1" applyAlignment="1">
      <alignment vertical="center"/>
    </xf>
    <xf numFmtId="179" fontId="6" fillId="0" borderId="0" xfId="1" applyFont="1" applyFill="1" applyAlignment="1">
      <alignment vertical="center"/>
    </xf>
    <xf numFmtId="179" fontId="6" fillId="0" borderId="0" xfId="1" applyFont="1" applyBorder="1" applyAlignment="1">
      <alignment horizontal="left" vertical="center"/>
    </xf>
    <xf numFmtId="179" fontId="6" fillId="0" borderId="0" xfId="1" applyFont="1" applyFill="1" applyBorder="1" applyAlignment="1">
      <alignment vertical="center"/>
    </xf>
    <xf numFmtId="179" fontId="11" fillId="0" borderId="0" xfId="1" applyFont="1" applyBorder="1" applyAlignment="1">
      <alignment vertical="center"/>
    </xf>
    <xf numFmtId="179" fontId="7" fillId="0" borderId="0" xfId="1" applyFont="1" applyFill="1" applyBorder="1" applyAlignment="1">
      <alignment horizontal="left" vertical="center"/>
    </xf>
    <xf numFmtId="179" fontId="62" fillId="0" borderId="0" xfId="1" applyFont="1" applyFill="1" applyBorder="1" applyAlignment="1">
      <alignment horizontal="left" vertical="center"/>
    </xf>
    <xf numFmtId="189" fontId="9" fillId="0" borderId="0" xfId="0" applyNumberFormat="1" applyFont="1" applyBorder="1" applyAlignment="1">
      <alignment vertical="center"/>
    </xf>
    <xf numFmtId="179" fontId="69" fillId="0" borderId="0" xfId="1" applyFont="1" applyBorder="1" applyAlignment="1">
      <alignment vertical="center"/>
    </xf>
    <xf numFmtId="179" fontId="62" fillId="0" borderId="0" xfId="1" applyFont="1" applyBorder="1" applyAlignment="1">
      <alignment vertical="center"/>
    </xf>
    <xf numFmtId="179" fontId="0" fillId="0" borderId="0" xfId="1" applyFont="1" applyBorder="1" applyAlignment="1">
      <alignment vertical="center"/>
    </xf>
    <xf numFmtId="179" fontId="9" fillId="0" borderId="0" xfId="1" applyFont="1" applyFill="1" applyBorder="1" applyAlignment="1">
      <alignment horizontal="left" vertical="center"/>
    </xf>
    <xf numFmtId="0" fontId="9" fillId="0" borderId="0" xfId="0" applyFont="1" applyBorder="1" applyAlignment="1">
      <alignment vertical="center"/>
    </xf>
    <xf numFmtId="179" fontId="69" fillId="0" borderId="0" xfId="1" applyFont="1" applyFill="1" applyBorder="1" applyAlignment="1">
      <alignment vertical="center"/>
    </xf>
    <xf numFmtId="189" fontId="66" fillId="0" borderId="0" xfId="0" applyNumberFormat="1" applyFont="1" applyFill="1" applyAlignment="1">
      <alignment vertical="center"/>
    </xf>
    <xf numFmtId="179" fontId="7" fillId="0" borderId="0" xfId="1" applyFont="1" applyAlignment="1">
      <alignment vertical="center"/>
    </xf>
    <xf numFmtId="49" fontId="60" fillId="9" borderId="7" xfId="0" applyNumberFormat="1" applyFont="1" applyFill="1" applyBorder="1" applyAlignment="1">
      <alignment horizontal="left"/>
    </xf>
    <xf numFmtId="9" fontId="6" fillId="0" borderId="0" xfId="7" applyFont="1" applyBorder="1" applyAlignment="1">
      <alignment horizontal="left"/>
    </xf>
    <xf numFmtId="49" fontId="60" fillId="9" borderId="13" xfId="0" applyNumberFormat="1" applyFont="1" applyFill="1" applyBorder="1" applyAlignment="1">
      <alignment vertical="center"/>
    </xf>
    <xf numFmtId="186" fontId="2" fillId="0" borderId="0" xfId="0" applyNumberFormat="1" applyFont="1" applyFill="1"/>
    <xf numFmtId="189" fontId="15" fillId="0" borderId="0" xfId="0" applyNumberFormat="1" applyFont="1"/>
    <xf numFmtId="0" fontId="60" fillId="9" borderId="8" xfId="0" applyNumberFormat="1" applyFont="1" applyFill="1" applyBorder="1" applyAlignment="1">
      <alignment horizontal="center"/>
    </xf>
    <xf numFmtId="189" fontId="60" fillId="9" borderId="8" xfId="0" applyNumberFormat="1" applyFont="1" applyFill="1" applyBorder="1" applyAlignment="1">
      <alignment horizontal="center" vertical="center"/>
    </xf>
    <xf numFmtId="0" fontId="51" fillId="9" borderId="7" xfId="0" applyNumberFormat="1" applyFont="1" applyFill="1" applyBorder="1" applyAlignment="1">
      <alignment horizontal="center" vertical="center"/>
    </xf>
    <xf numFmtId="186" fontId="6" fillId="0" borderId="0" xfId="0" applyNumberFormat="1" applyFont="1" applyBorder="1" applyAlignment="1">
      <alignment vertical="center" wrapText="1"/>
    </xf>
    <xf numFmtId="0" fontId="15" fillId="0" borderId="0" xfId="0" applyFont="1" applyBorder="1" applyAlignment="1">
      <alignment vertical="center" wrapText="1"/>
    </xf>
    <xf numFmtId="0" fontId="0" fillId="0" borderId="0" xfId="0" applyBorder="1" applyAlignment="1">
      <alignment vertical="center" wrapText="1"/>
    </xf>
    <xf numFmtId="189" fontId="72" fillId="0" borderId="0" xfId="0" applyNumberFormat="1" applyFont="1" applyAlignment="1">
      <alignment horizontal="left"/>
    </xf>
    <xf numFmtId="0" fontId="74" fillId="0" borderId="0" xfId="0" applyFont="1"/>
    <xf numFmtId="9" fontId="6" fillId="0" borderId="0" xfId="0" applyNumberFormat="1" applyFont="1" applyFill="1" applyBorder="1" applyAlignment="1">
      <alignment horizontal="left"/>
    </xf>
    <xf numFmtId="10" fontId="2" fillId="0" borderId="0" xfId="0" applyNumberFormat="1" applyFont="1" applyAlignment="1"/>
    <xf numFmtId="0" fontId="60" fillId="22" borderId="8" xfId="0" applyNumberFormat="1" applyFont="1" applyFill="1" applyBorder="1" applyAlignment="1">
      <alignment horizontal="center" vertical="center"/>
    </xf>
    <xf numFmtId="0" fontId="60" fillId="22" borderId="7" xfId="0" applyNumberFormat="1" applyFont="1" applyFill="1" applyBorder="1" applyAlignment="1">
      <alignment vertical="center"/>
    </xf>
    <xf numFmtId="189" fontId="60" fillId="22" borderId="8" xfId="0" applyNumberFormat="1" applyFont="1" applyFill="1" applyBorder="1" applyAlignment="1">
      <alignment horizontal="center" vertical="center"/>
    </xf>
    <xf numFmtId="189" fontId="60" fillId="22" borderId="3" xfId="0" applyNumberFormat="1" applyFont="1" applyFill="1" applyBorder="1" applyAlignment="1">
      <alignment horizontal="center" vertical="center"/>
    </xf>
    <xf numFmtId="189" fontId="60" fillId="22" borderId="12" xfId="0" applyNumberFormat="1" applyFont="1" applyFill="1" applyBorder="1" applyAlignment="1">
      <alignment horizontal="right" vertical="center"/>
    </xf>
    <xf numFmtId="189" fontId="60" fillId="22" borderId="12" xfId="0" applyNumberFormat="1" applyFont="1" applyFill="1" applyBorder="1" applyAlignment="1">
      <alignment horizontal="center" vertical="center"/>
    </xf>
    <xf numFmtId="189" fontId="60" fillId="22" borderId="13" xfId="0" applyNumberFormat="1" applyFont="1" applyFill="1" applyBorder="1" applyAlignment="1">
      <alignment vertical="center"/>
    </xf>
    <xf numFmtId="189" fontId="60" fillId="22" borderId="13" xfId="0" applyNumberFormat="1" applyFont="1" applyFill="1" applyBorder="1" applyAlignment="1">
      <alignment horizontal="center" vertical="center"/>
    </xf>
    <xf numFmtId="189" fontId="60" fillId="9" borderId="5" xfId="0" applyNumberFormat="1" applyFont="1" applyFill="1" applyBorder="1" applyAlignment="1">
      <alignment horizontal="right" vertical="center"/>
    </xf>
    <xf numFmtId="189" fontId="60" fillId="9" borderId="1" xfId="0" applyNumberFormat="1" applyFont="1" applyFill="1" applyBorder="1" applyAlignment="1">
      <alignment horizontal="right" vertical="center"/>
    </xf>
    <xf numFmtId="189" fontId="60" fillId="9" borderId="2" xfId="0" applyNumberFormat="1" applyFont="1" applyFill="1" applyBorder="1" applyAlignment="1">
      <alignment horizontal="right" vertical="center"/>
    </xf>
    <xf numFmtId="0" fontId="60" fillId="9" borderId="14" xfId="0" applyNumberFormat="1" applyFont="1" applyFill="1" applyBorder="1" applyAlignment="1">
      <alignment horizontal="left" vertical="center"/>
    </xf>
    <xf numFmtId="0" fontId="60" fillId="9" borderId="12" xfId="0" applyNumberFormat="1" applyFont="1" applyFill="1" applyBorder="1" applyAlignment="1">
      <alignment horizontal="center" vertical="center"/>
    </xf>
    <xf numFmtId="0" fontId="60" fillId="9" borderId="14" xfId="0" applyNumberFormat="1" applyFont="1" applyFill="1" applyBorder="1" applyAlignment="1">
      <alignment horizontal="center" vertical="center"/>
    </xf>
    <xf numFmtId="0" fontId="60" fillId="9" borderId="13" xfId="0" applyNumberFormat="1" applyFont="1" applyFill="1" applyBorder="1" applyAlignment="1">
      <alignment horizontal="center" vertical="center"/>
    </xf>
    <xf numFmtId="189" fontId="10" fillId="0" borderId="6" xfId="0" applyNumberFormat="1" applyFont="1" applyFill="1" applyBorder="1" applyAlignment="1">
      <alignment horizontal="center" vertical="center"/>
    </xf>
    <xf numFmtId="189" fontId="10" fillId="0" borderId="8" xfId="0" applyNumberFormat="1" applyFont="1" applyFill="1" applyBorder="1" applyAlignment="1">
      <alignment vertical="center"/>
    </xf>
    <xf numFmtId="189" fontId="10" fillId="0" borderId="4" xfId="0" applyNumberFormat="1" applyFont="1" applyFill="1" applyBorder="1" applyAlignment="1">
      <alignment horizontal="center" vertical="center"/>
    </xf>
    <xf numFmtId="189" fontId="10" fillId="0" borderId="7" xfId="0" applyNumberFormat="1" applyFont="1" applyFill="1" applyBorder="1" applyAlignment="1">
      <alignment vertical="center"/>
    </xf>
    <xf numFmtId="10" fontId="6" fillId="0" borderId="0" xfId="7" applyNumberFormat="1" applyFont="1" applyFill="1" applyBorder="1" applyAlignment="1"/>
    <xf numFmtId="189" fontId="31" fillId="0" borderId="0" xfId="0" applyNumberFormat="1" applyFont="1" applyAlignment="1">
      <alignment vertical="center"/>
    </xf>
    <xf numFmtId="0" fontId="56" fillId="23" borderId="5" xfId="0" applyFont="1" applyFill="1" applyBorder="1"/>
    <xf numFmtId="0" fontId="56" fillId="23" borderId="6" xfId="0" applyFont="1" applyFill="1" applyBorder="1"/>
    <xf numFmtId="189" fontId="56" fillId="23" borderId="6" xfId="3" applyNumberFormat="1" applyFont="1" applyFill="1" applyBorder="1"/>
    <xf numFmtId="189" fontId="56" fillId="23" borderId="8" xfId="0" applyNumberFormat="1" applyFont="1" applyFill="1" applyBorder="1"/>
    <xf numFmtId="189" fontId="43" fillId="0" borderId="0" xfId="0" applyNumberFormat="1" applyFont="1" applyFill="1" applyBorder="1"/>
    <xf numFmtId="0" fontId="56" fillId="0" borderId="0" xfId="0" applyFont="1" applyFill="1" applyBorder="1"/>
    <xf numFmtId="0" fontId="56" fillId="0" borderId="0" xfId="0" applyFont="1" applyBorder="1"/>
    <xf numFmtId="0" fontId="71" fillId="14" borderId="9" xfId="0" applyFont="1" applyFill="1" applyBorder="1"/>
    <xf numFmtId="0" fontId="71" fillId="14" borderId="10" xfId="0" applyFont="1" applyFill="1" applyBorder="1"/>
    <xf numFmtId="0" fontId="76" fillId="14" borderId="10" xfId="0" applyFont="1" applyFill="1" applyBorder="1"/>
    <xf numFmtId="189" fontId="76" fillId="14" borderId="10" xfId="0" applyNumberFormat="1" applyFont="1" applyFill="1" applyBorder="1"/>
    <xf numFmtId="189" fontId="76" fillId="14" borderId="10" xfId="3" applyNumberFormat="1" applyFont="1" applyFill="1" applyBorder="1"/>
    <xf numFmtId="189" fontId="71" fillId="14" borderId="10" xfId="3" applyNumberFormat="1" applyFont="1" applyFill="1" applyBorder="1"/>
    <xf numFmtId="189" fontId="71" fillId="14" borderId="10" xfId="0" applyNumberFormat="1" applyFont="1" applyFill="1" applyBorder="1"/>
    <xf numFmtId="0" fontId="71" fillId="14" borderId="15" xfId="0" applyFont="1" applyFill="1" applyBorder="1"/>
    <xf numFmtId="0" fontId="71" fillId="24" borderId="1" xfId="0" applyFont="1" applyFill="1" applyBorder="1"/>
    <xf numFmtId="0" fontId="71" fillId="24" borderId="0" xfId="0" applyFont="1" applyFill="1" applyBorder="1"/>
    <xf numFmtId="0" fontId="76" fillId="24" borderId="0" xfId="0" applyFont="1" applyFill="1" applyBorder="1"/>
    <xf numFmtId="189" fontId="76" fillId="24" borderId="0" xfId="0" applyNumberFormat="1" applyFont="1" applyFill="1" applyBorder="1"/>
    <xf numFmtId="189" fontId="76" fillId="24" borderId="0" xfId="3" applyNumberFormat="1" applyFont="1" applyFill="1" applyBorder="1"/>
    <xf numFmtId="189" fontId="71" fillId="24" borderId="0" xfId="3" applyNumberFormat="1" applyFont="1" applyFill="1" applyBorder="1"/>
    <xf numFmtId="189" fontId="71" fillId="24" borderId="0" xfId="0" applyNumberFormat="1" applyFont="1" applyFill="1" applyBorder="1"/>
    <xf numFmtId="0" fontId="71" fillId="24" borderId="3" xfId="0" applyFont="1" applyFill="1" applyBorder="1"/>
    <xf numFmtId="0" fontId="76" fillId="0" borderId="0" xfId="0" applyFont="1" applyFill="1" applyBorder="1"/>
    <xf numFmtId="0" fontId="76" fillId="6" borderId="0" xfId="0" applyFont="1" applyFill="1" applyBorder="1"/>
    <xf numFmtId="0" fontId="77" fillId="25" borderId="9" xfId="0" applyFont="1" applyFill="1" applyBorder="1"/>
    <xf numFmtId="0" fontId="77" fillId="25" borderId="10" xfId="0" applyFont="1" applyFill="1" applyBorder="1"/>
    <xf numFmtId="0" fontId="78" fillId="25" borderId="10" xfId="0" applyFont="1" applyFill="1" applyBorder="1"/>
    <xf numFmtId="189" fontId="78" fillId="25" borderId="10" xfId="0" applyNumberFormat="1" applyFont="1" applyFill="1" applyBorder="1"/>
    <xf numFmtId="189" fontId="78" fillId="25" borderId="10" xfId="3" applyNumberFormat="1" applyFont="1" applyFill="1" applyBorder="1"/>
    <xf numFmtId="189" fontId="77" fillId="25" borderId="10" xfId="3" applyNumberFormat="1" applyFont="1" applyFill="1" applyBorder="1"/>
    <xf numFmtId="0" fontId="77" fillId="25" borderId="15" xfId="0" applyFont="1" applyFill="1" applyBorder="1"/>
    <xf numFmtId="0" fontId="13" fillId="0" borderId="1" xfId="0" applyFont="1" applyFill="1" applyBorder="1"/>
    <xf numFmtId="189" fontId="13" fillId="0" borderId="0" xfId="0" applyNumberFormat="1" applyFont="1" applyFill="1" applyBorder="1"/>
    <xf numFmtId="189" fontId="13" fillId="0" borderId="0" xfId="3" applyNumberFormat="1" applyFont="1" applyFill="1" applyBorder="1"/>
    <xf numFmtId="189" fontId="43" fillId="0" borderId="0" xfId="3" applyNumberFormat="1" applyFont="1" applyFill="1" applyBorder="1" applyAlignment="1">
      <alignment horizontal="left"/>
    </xf>
    <xf numFmtId="0" fontId="43" fillId="0" borderId="0" xfId="0" applyFont="1" applyFill="1" applyBorder="1"/>
    <xf numFmtId="0" fontId="43" fillId="0" borderId="3" xfId="0" applyFont="1" applyFill="1" applyBorder="1"/>
    <xf numFmtId="189" fontId="13" fillId="0" borderId="0" xfId="8" applyNumberFormat="1" applyFont="1" applyFill="1" applyBorder="1"/>
    <xf numFmtId="179" fontId="43" fillId="0" borderId="0" xfId="3" applyFont="1" applyFill="1" applyBorder="1"/>
    <xf numFmtId="9" fontId="43" fillId="0" borderId="0" xfId="8" applyFont="1" applyFill="1" applyBorder="1"/>
    <xf numFmtId="198" fontId="43" fillId="0" borderId="3" xfId="0" applyNumberFormat="1" applyFont="1" applyFill="1" applyBorder="1"/>
    <xf numFmtId="186" fontId="13" fillId="0" borderId="0" xfId="3" applyNumberFormat="1" applyFont="1" applyFill="1" applyBorder="1" applyAlignment="1">
      <alignment horizontal="right"/>
    </xf>
    <xf numFmtId="189" fontId="43" fillId="0" borderId="0" xfId="3" applyNumberFormat="1" applyFont="1" applyFill="1" applyBorder="1"/>
    <xf numFmtId="189" fontId="43" fillId="0" borderId="0" xfId="8" applyNumberFormat="1" applyFont="1" applyFill="1" applyBorder="1"/>
    <xf numFmtId="0" fontId="43" fillId="25" borderId="9" xfId="0" applyFont="1" applyFill="1" applyBorder="1"/>
    <xf numFmtId="0" fontId="43" fillId="25" borderId="10" xfId="0" applyFont="1" applyFill="1" applyBorder="1"/>
    <xf numFmtId="0" fontId="13" fillId="25" borderId="10" xfId="0" applyFont="1" applyFill="1" applyBorder="1"/>
    <xf numFmtId="189" fontId="13" fillId="25" borderId="10" xfId="8" applyNumberFormat="1" applyFont="1" applyFill="1" applyBorder="1"/>
    <xf numFmtId="189" fontId="13" fillId="25" borderId="10" xfId="3" applyNumberFormat="1" applyFont="1" applyFill="1" applyBorder="1"/>
    <xf numFmtId="189" fontId="43" fillId="25" borderId="10" xfId="0" applyNumberFormat="1" applyFont="1" applyFill="1" applyBorder="1"/>
    <xf numFmtId="0" fontId="43" fillId="25" borderId="15" xfId="0" applyFont="1" applyFill="1" applyBorder="1"/>
    <xf numFmtId="0" fontId="43" fillId="26" borderId="1" xfId="0" applyFont="1" applyFill="1" applyBorder="1"/>
    <xf numFmtId="0" fontId="43" fillId="26" borderId="0" xfId="0" applyFont="1" applyFill="1" applyBorder="1"/>
    <xf numFmtId="0" fontId="13" fillId="26" borderId="0" xfId="0" applyFont="1" applyFill="1" applyBorder="1"/>
    <xf numFmtId="0" fontId="43" fillId="0" borderId="1" xfId="0" applyFont="1" applyFill="1" applyBorder="1"/>
    <xf numFmtId="0" fontId="13" fillId="8" borderId="11" xfId="0" applyFont="1" applyFill="1" applyBorder="1"/>
    <xf numFmtId="189" fontId="43" fillId="8" borderId="0" xfId="0" applyNumberFormat="1" applyFont="1" applyFill="1" applyBorder="1"/>
    <xf numFmtId="0" fontId="43" fillId="8" borderId="0" xfId="0" applyFont="1" applyFill="1" applyBorder="1"/>
    <xf numFmtId="0" fontId="13" fillId="8" borderId="1" xfId="0" applyFont="1" applyFill="1" applyBorder="1"/>
    <xf numFmtId="0" fontId="13" fillId="8" borderId="0" xfId="0" applyFont="1" applyFill="1" applyBorder="1"/>
    <xf numFmtId="189" fontId="43" fillId="8" borderId="0" xfId="8" applyNumberFormat="1" applyFont="1" applyFill="1" applyBorder="1"/>
    <xf numFmtId="189" fontId="13" fillId="8" borderId="0" xfId="3" applyNumberFormat="1" applyFont="1" applyFill="1" applyBorder="1"/>
    <xf numFmtId="0" fontId="43" fillId="8" borderId="3" xfId="0" applyFont="1" applyFill="1" applyBorder="1"/>
    <xf numFmtId="0" fontId="13" fillId="0" borderId="0" xfId="0" applyFont="1" applyFill="1" applyBorder="1" applyAlignment="1">
      <alignment horizontal="left"/>
    </xf>
    <xf numFmtId="0" fontId="71" fillId="24" borderId="9" xfId="0" applyFont="1" applyFill="1" applyBorder="1"/>
    <xf numFmtId="0" fontId="71" fillId="24" borderId="10" xfId="0" applyFont="1" applyFill="1" applyBorder="1"/>
    <xf numFmtId="0" fontId="76" fillId="24" borderId="10" xfId="0" applyFont="1" applyFill="1" applyBorder="1"/>
    <xf numFmtId="189" fontId="76" fillId="24" borderId="10" xfId="8" applyNumberFormat="1" applyFont="1" applyFill="1" applyBorder="1"/>
    <xf numFmtId="189" fontId="76" fillId="24" borderId="10" xfId="3" applyNumberFormat="1" applyFont="1" applyFill="1" applyBorder="1"/>
    <xf numFmtId="189" fontId="71" fillId="24" borderId="10" xfId="3" applyNumberFormat="1" applyFont="1" applyFill="1" applyBorder="1"/>
    <xf numFmtId="189" fontId="71" fillId="24" borderId="10" xfId="0" applyNumberFormat="1" applyFont="1" applyFill="1" applyBorder="1"/>
    <xf numFmtId="0" fontId="71" fillId="24" borderId="15" xfId="0" applyFont="1" applyFill="1" applyBorder="1"/>
    <xf numFmtId="0" fontId="76" fillId="0" borderId="0" xfId="0" applyFont="1" applyBorder="1"/>
    <xf numFmtId="189" fontId="43" fillId="25" borderId="10" xfId="3" applyNumberFormat="1" applyFont="1" applyFill="1" applyBorder="1"/>
    <xf numFmtId="189" fontId="13" fillId="25" borderId="15" xfId="8" applyNumberFormat="1" applyFont="1" applyFill="1" applyBorder="1"/>
    <xf numFmtId="0" fontId="13" fillId="0" borderId="5" xfId="0" applyFont="1" applyFill="1" applyBorder="1"/>
    <xf numFmtId="0" fontId="13" fillId="0" borderId="6" xfId="0" applyFont="1" applyFill="1" applyBorder="1"/>
    <xf numFmtId="0" fontId="13" fillId="0" borderId="6" xfId="0" applyFont="1" applyBorder="1"/>
    <xf numFmtId="189" fontId="13" fillId="0" borderId="6" xfId="8" applyNumberFormat="1" applyFont="1" applyFill="1" applyBorder="1"/>
    <xf numFmtId="189" fontId="13" fillId="0" borderId="6" xfId="3" applyNumberFormat="1" applyFont="1" applyFill="1" applyBorder="1"/>
    <xf numFmtId="189" fontId="43" fillId="0" borderId="6" xfId="0" applyNumberFormat="1" applyFont="1" applyFill="1" applyBorder="1"/>
    <xf numFmtId="0" fontId="43" fillId="0" borderId="6" xfId="0" applyFont="1" applyFill="1" applyBorder="1"/>
    <xf numFmtId="0" fontId="43" fillId="0" borderId="8" xfId="0" applyFont="1" applyFill="1" applyBorder="1"/>
    <xf numFmtId="0" fontId="13" fillId="0" borderId="2" xfId="0" applyFont="1" applyFill="1" applyBorder="1"/>
    <xf numFmtId="0" fontId="13" fillId="0" borderId="4" xfId="0" applyFont="1" applyFill="1" applyBorder="1"/>
    <xf numFmtId="0" fontId="43" fillId="0" borderId="4" xfId="0" applyFont="1" applyFill="1" applyBorder="1"/>
    <xf numFmtId="189" fontId="13" fillId="0" borderId="4" xfId="8" applyNumberFormat="1" applyFont="1" applyFill="1" applyBorder="1"/>
    <xf numFmtId="189" fontId="13" fillId="0" borderId="4" xfId="3" applyNumberFormat="1" applyFont="1" applyFill="1" applyBorder="1"/>
    <xf numFmtId="189" fontId="43" fillId="0" borderId="4" xfId="3" applyNumberFormat="1" applyFont="1" applyFill="1" applyBorder="1"/>
    <xf numFmtId="0" fontId="43" fillId="0" borderId="7" xfId="0" applyFont="1" applyFill="1" applyBorder="1"/>
    <xf numFmtId="189" fontId="76" fillId="14" borderId="10" xfId="8" applyNumberFormat="1" applyFont="1" applyFill="1" applyBorder="1"/>
    <xf numFmtId="0" fontId="71" fillId="27" borderId="9" xfId="0" applyFont="1" applyFill="1" applyBorder="1"/>
    <xf numFmtId="0" fontId="71" fillId="27" borderId="10" xfId="0" applyFont="1" applyFill="1" applyBorder="1"/>
    <xf numFmtId="0" fontId="76" fillId="27" borderId="10" xfId="0" applyFont="1" applyFill="1" applyBorder="1"/>
    <xf numFmtId="189" fontId="76" fillId="27" borderId="10" xfId="8" applyNumberFormat="1" applyFont="1" applyFill="1" applyBorder="1"/>
    <xf numFmtId="189" fontId="76" fillId="27" borderId="10" xfId="3" applyNumberFormat="1" applyFont="1" applyFill="1" applyBorder="1"/>
    <xf numFmtId="189" fontId="71" fillId="27" borderId="10" xfId="3" applyNumberFormat="1" applyFont="1" applyFill="1" applyBorder="1"/>
    <xf numFmtId="189" fontId="71" fillId="27" borderId="10" xfId="0" applyNumberFormat="1" applyFont="1" applyFill="1" applyBorder="1"/>
    <xf numFmtId="0" fontId="71" fillId="27" borderId="15" xfId="0" applyFont="1" applyFill="1" applyBorder="1"/>
    <xf numFmtId="189" fontId="71" fillId="24" borderId="15" xfId="0" applyNumberFormat="1" applyFont="1" applyFill="1" applyBorder="1"/>
    <xf numFmtId="0" fontId="71" fillId="14" borderId="2" xfId="0" applyFont="1" applyFill="1" applyBorder="1"/>
    <xf numFmtId="0" fontId="71" fillId="14" borderId="4" xfId="0" applyFont="1" applyFill="1" applyBorder="1"/>
    <xf numFmtId="188" fontId="71" fillId="14" borderId="4" xfId="3" applyNumberFormat="1" applyFont="1" applyFill="1" applyBorder="1"/>
    <xf numFmtId="189" fontId="71" fillId="14" borderId="4" xfId="8" applyNumberFormat="1" applyFont="1" applyFill="1" applyBorder="1"/>
    <xf numFmtId="189" fontId="71" fillId="14" borderId="4" xfId="3" applyNumberFormat="1" applyFont="1" applyFill="1" applyBorder="1"/>
    <xf numFmtId="189" fontId="71" fillId="14" borderId="4" xfId="0" applyNumberFormat="1" applyFont="1" applyFill="1" applyBorder="1"/>
    <xf numFmtId="189" fontId="71" fillId="14" borderId="7" xfId="0" applyNumberFormat="1" applyFont="1" applyFill="1" applyBorder="1"/>
    <xf numFmtId="0" fontId="56" fillId="23" borderId="6" xfId="0" applyFont="1" applyFill="1" applyBorder="1" applyAlignment="1">
      <alignment horizontal="left"/>
    </xf>
    <xf numFmtId="0" fontId="67" fillId="14" borderId="9" xfId="0" applyFont="1" applyFill="1" applyBorder="1" applyAlignment="1">
      <alignment horizontal="center"/>
    </xf>
    <xf numFmtId="0" fontId="67" fillId="14" borderId="15" xfId="0" applyFont="1" applyFill="1" applyBorder="1" applyAlignment="1">
      <alignment horizontal="center"/>
    </xf>
    <xf numFmtId="0" fontId="67" fillId="12" borderId="9" xfId="0" applyFont="1" applyFill="1" applyBorder="1" applyAlignment="1">
      <alignment horizontal="center" vertical="center"/>
    </xf>
    <xf numFmtId="0" fontId="67" fillId="12" borderId="15" xfId="0" applyFont="1" applyFill="1" applyBorder="1" applyAlignment="1">
      <alignment horizontal="center" vertical="center"/>
    </xf>
    <xf numFmtId="0" fontId="67" fillId="12" borderId="9" xfId="0" applyFont="1" applyFill="1" applyBorder="1" applyAlignment="1">
      <alignment horizontal="center"/>
    </xf>
    <xf numFmtId="0" fontId="67" fillId="12" borderId="15" xfId="0" applyFont="1" applyFill="1" applyBorder="1" applyAlignment="1">
      <alignment horizontal="center"/>
    </xf>
    <xf numFmtId="0" fontId="67" fillId="14" borderId="9" xfId="0" applyFont="1" applyFill="1" applyBorder="1" applyAlignment="1">
      <alignment horizontal="center" vertical="center"/>
    </xf>
    <xf numFmtId="0" fontId="67" fillId="14" borderId="15" xfId="0" applyFont="1" applyFill="1" applyBorder="1" applyAlignment="1">
      <alignment horizontal="center" vertical="center"/>
    </xf>
    <xf numFmtId="0" fontId="67" fillId="11" borderId="9" xfId="0" applyFont="1" applyFill="1" applyBorder="1" applyAlignment="1">
      <alignment horizontal="center"/>
    </xf>
    <xf numFmtId="0" fontId="67" fillId="11" borderId="15" xfId="0" applyFont="1" applyFill="1" applyBorder="1" applyAlignment="1">
      <alignment horizontal="center"/>
    </xf>
    <xf numFmtId="0" fontId="67" fillId="11" borderId="9" xfId="0" applyFont="1" applyFill="1" applyBorder="1" applyAlignment="1">
      <alignment horizontal="center" vertical="center"/>
    </xf>
    <xf numFmtId="0" fontId="67" fillId="11" borderId="15" xfId="0" applyFont="1" applyFill="1" applyBorder="1" applyAlignment="1">
      <alignment horizontal="center" vertical="center"/>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8" xfId="0" applyFont="1" applyFill="1" applyBorder="1" applyAlignment="1">
      <alignment horizontal="left" vertical="top" wrapText="1"/>
    </xf>
    <xf numFmtId="0" fontId="60" fillId="9" borderId="5" xfId="0" applyFont="1" applyFill="1" applyBorder="1" applyAlignment="1">
      <alignment horizontal="left" vertical="center" wrapText="1"/>
    </xf>
    <xf numFmtId="0" fontId="60" fillId="9" borderId="6" xfId="0" applyFont="1" applyFill="1" applyBorder="1" applyAlignment="1">
      <alignment horizontal="left" vertical="center" wrapText="1"/>
    </xf>
    <xf numFmtId="0" fontId="60" fillId="9" borderId="8" xfId="0" applyFont="1" applyFill="1" applyBorder="1" applyAlignment="1">
      <alignment horizontal="left" vertical="center" wrapText="1"/>
    </xf>
    <xf numFmtId="0" fontId="60" fillId="9" borderId="2" xfId="0" applyFont="1" applyFill="1" applyBorder="1" applyAlignment="1">
      <alignment horizontal="left" vertical="center" wrapText="1"/>
    </xf>
    <xf numFmtId="0" fontId="60" fillId="9" borderId="4" xfId="0" applyFont="1" applyFill="1" applyBorder="1" applyAlignment="1">
      <alignment horizontal="left" vertical="center" wrapText="1"/>
    </xf>
    <xf numFmtId="0" fontId="60" fillId="9" borderId="7" xfId="0" applyFont="1" applyFill="1" applyBorder="1" applyAlignment="1">
      <alignment horizontal="left" vertical="center" wrapText="1"/>
    </xf>
    <xf numFmtId="0" fontId="67" fillId="13" borderId="9" xfId="0" applyFont="1" applyFill="1" applyBorder="1" applyAlignment="1">
      <alignment horizontal="center" vertical="center"/>
    </xf>
    <xf numFmtId="0" fontId="67" fillId="13" borderId="15" xfId="0" applyFont="1" applyFill="1" applyBorder="1" applyAlignment="1">
      <alignment horizontal="center" vertical="center"/>
    </xf>
    <xf numFmtId="0" fontId="60" fillId="9" borderId="5" xfId="0" applyFont="1" applyFill="1" applyBorder="1" applyAlignment="1">
      <alignment horizontal="left" vertical="top" wrapText="1"/>
    </xf>
    <xf numFmtId="0" fontId="60" fillId="9" borderId="6" xfId="0" applyFont="1" applyFill="1" applyBorder="1" applyAlignment="1">
      <alignment horizontal="left" vertical="top" wrapText="1"/>
    </xf>
    <xf numFmtId="0" fontId="60" fillId="9" borderId="8" xfId="0" applyFont="1" applyFill="1" applyBorder="1" applyAlignment="1">
      <alignment horizontal="left" vertical="top" wrapText="1"/>
    </xf>
    <xf numFmtId="0" fontId="60" fillId="9" borderId="2" xfId="0" applyFont="1" applyFill="1" applyBorder="1" applyAlignment="1">
      <alignment horizontal="left" vertical="top" wrapText="1"/>
    </xf>
    <xf numFmtId="0" fontId="60" fillId="9" borderId="4" xfId="0" applyFont="1" applyFill="1" applyBorder="1" applyAlignment="1">
      <alignment horizontal="left" vertical="top" wrapText="1"/>
    </xf>
    <xf numFmtId="0" fontId="60" fillId="9" borderId="7"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67" fillId="10" borderId="9" xfId="0" applyFont="1" applyFill="1" applyBorder="1" applyAlignment="1">
      <alignment horizontal="center" vertical="center"/>
    </xf>
    <xf numFmtId="0" fontId="67" fillId="10" borderId="15" xfId="0" applyFont="1" applyFill="1" applyBorder="1" applyAlignment="1">
      <alignment horizontal="center" vertical="center"/>
    </xf>
    <xf numFmtId="0" fontId="67" fillId="17" borderId="9" xfId="0" applyFont="1" applyFill="1" applyBorder="1" applyAlignment="1">
      <alignment horizontal="center" vertical="center"/>
    </xf>
    <xf numFmtId="0" fontId="67" fillId="17" borderId="15" xfId="0" applyFont="1" applyFill="1" applyBorder="1" applyAlignment="1">
      <alignment horizontal="center" vertical="center"/>
    </xf>
    <xf numFmtId="0" fontId="3" fillId="0" borderId="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7" xfId="0" applyFont="1" applyFill="1" applyBorder="1" applyAlignment="1">
      <alignment horizontal="left" vertical="top" wrapText="1"/>
    </xf>
    <xf numFmtId="0" fontId="67" fillId="13" borderId="9" xfId="0" applyFont="1" applyFill="1" applyBorder="1" applyAlignment="1">
      <alignment horizontal="center"/>
    </xf>
    <xf numFmtId="0" fontId="67" fillId="13" borderId="15" xfId="0" applyFont="1" applyFill="1" applyBorder="1" applyAlignment="1">
      <alignment horizontal="center"/>
    </xf>
    <xf numFmtId="0" fontId="67" fillId="10" borderId="9" xfId="0" applyFont="1" applyFill="1" applyBorder="1" applyAlignment="1">
      <alignment horizontal="center"/>
    </xf>
    <xf numFmtId="0" fontId="67" fillId="10" borderId="15" xfId="0" applyFont="1" applyFill="1" applyBorder="1" applyAlignment="1">
      <alignment horizontal="center"/>
    </xf>
    <xf numFmtId="170" fontId="67" fillId="10" borderId="9" xfId="0" applyNumberFormat="1" applyFont="1" applyFill="1" applyBorder="1" applyAlignment="1">
      <alignment horizontal="center" vertical="center"/>
    </xf>
    <xf numFmtId="170" fontId="67" fillId="10" borderId="15" xfId="0" applyNumberFormat="1" applyFont="1" applyFill="1" applyBorder="1" applyAlignment="1">
      <alignment horizontal="center" vertical="center"/>
    </xf>
    <xf numFmtId="186" fontId="67" fillId="14" borderId="9" xfId="0" applyNumberFormat="1" applyFont="1" applyFill="1" applyBorder="1" applyAlignment="1">
      <alignment horizontal="center" vertical="center"/>
    </xf>
    <xf numFmtId="186" fontId="67" fillId="14" borderId="15" xfId="0" applyNumberFormat="1" applyFont="1" applyFill="1" applyBorder="1" applyAlignment="1">
      <alignment horizontal="center" vertical="center"/>
    </xf>
    <xf numFmtId="186" fontId="2" fillId="0" borderId="5" xfId="0" applyNumberFormat="1" applyFont="1" applyFill="1" applyBorder="1" applyAlignment="1">
      <alignment horizontal="left" vertical="top" wrapText="1"/>
    </xf>
    <xf numFmtId="186" fontId="2" fillId="0" borderId="6" xfId="0" applyNumberFormat="1" applyFont="1" applyFill="1" applyBorder="1" applyAlignment="1">
      <alignment horizontal="left" vertical="top" wrapText="1"/>
    </xf>
    <xf numFmtId="186" fontId="2" fillId="0" borderId="8" xfId="0" applyNumberFormat="1" applyFont="1" applyFill="1" applyBorder="1" applyAlignment="1">
      <alignment horizontal="left" vertical="top" wrapText="1"/>
    </xf>
    <xf numFmtId="186" fontId="2" fillId="0" borderId="1" xfId="0" applyNumberFormat="1" applyFont="1" applyFill="1" applyBorder="1" applyAlignment="1">
      <alignment horizontal="left" vertical="top" wrapText="1"/>
    </xf>
    <xf numFmtId="186" fontId="2" fillId="0" borderId="0" xfId="0" applyNumberFormat="1" applyFont="1" applyFill="1" applyBorder="1" applyAlignment="1">
      <alignment horizontal="left" vertical="top" wrapText="1"/>
    </xf>
    <xf numFmtId="186" fontId="2" fillId="0" borderId="3" xfId="0" applyNumberFormat="1" applyFont="1" applyFill="1" applyBorder="1" applyAlignment="1">
      <alignment horizontal="left" vertical="top" wrapText="1"/>
    </xf>
    <xf numFmtId="186" fontId="2" fillId="0" borderId="2" xfId="0" applyNumberFormat="1" applyFont="1" applyFill="1" applyBorder="1" applyAlignment="1">
      <alignment horizontal="left" vertical="top" wrapText="1"/>
    </xf>
    <xf numFmtId="186" fontId="2" fillId="0" borderId="4" xfId="0" applyNumberFormat="1" applyFont="1" applyFill="1" applyBorder="1" applyAlignment="1">
      <alignment horizontal="left" vertical="top" wrapText="1"/>
    </xf>
    <xf numFmtId="186" fontId="2" fillId="0" borderId="7" xfId="0" applyNumberFormat="1" applyFont="1" applyFill="1" applyBorder="1" applyAlignment="1">
      <alignment horizontal="left" vertical="top" wrapText="1"/>
    </xf>
    <xf numFmtId="0" fontId="60" fillId="9" borderId="5" xfId="0" applyFont="1" applyFill="1" applyBorder="1" applyAlignment="1">
      <alignment horizontal="left" vertical="top"/>
    </xf>
    <xf numFmtId="0" fontId="60" fillId="9" borderId="6" xfId="0" applyFont="1" applyFill="1" applyBorder="1" applyAlignment="1">
      <alignment horizontal="left" vertical="top"/>
    </xf>
    <xf numFmtId="0" fontId="60" fillId="9" borderId="8" xfId="0" applyFont="1" applyFill="1" applyBorder="1" applyAlignment="1">
      <alignment horizontal="left" vertical="top"/>
    </xf>
    <xf numFmtId="0" fontId="60" fillId="9" borderId="2" xfId="0" applyFont="1" applyFill="1" applyBorder="1" applyAlignment="1">
      <alignment horizontal="left" vertical="top"/>
    </xf>
    <xf numFmtId="0" fontId="60" fillId="9" borderId="4" xfId="0" applyFont="1" applyFill="1" applyBorder="1" applyAlignment="1">
      <alignment horizontal="left" vertical="top"/>
    </xf>
    <xf numFmtId="0" fontId="60" fillId="9" borderId="7" xfId="0" applyFont="1" applyFill="1" applyBorder="1" applyAlignment="1">
      <alignment horizontal="left" vertical="top"/>
    </xf>
    <xf numFmtId="0" fontId="51" fillId="0" borderId="5" xfId="0" applyFont="1" applyFill="1" applyBorder="1" applyAlignment="1">
      <alignment horizontal="left" vertical="top" wrapText="1"/>
    </xf>
    <xf numFmtId="0" fontId="51" fillId="0" borderId="6" xfId="0" applyFont="1" applyFill="1" applyBorder="1" applyAlignment="1">
      <alignment horizontal="left" vertical="top" wrapText="1"/>
    </xf>
    <xf numFmtId="0" fontId="51" fillId="0" borderId="8" xfId="0" applyFont="1" applyFill="1" applyBorder="1" applyAlignment="1">
      <alignment horizontal="left" vertical="top" wrapText="1"/>
    </xf>
    <xf numFmtId="0" fontId="51" fillId="0" borderId="1" xfId="0" applyFont="1" applyFill="1" applyBorder="1" applyAlignment="1">
      <alignment horizontal="left" vertical="top" wrapText="1"/>
    </xf>
    <xf numFmtId="0" fontId="51" fillId="0" borderId="0" xfId="0" applyFont="1" applyFill="1" applyBorder="1" applyAlignment="1">
      <alignment horizontal="left" vertical="top" wrapText="1"/>
    </xf>
    <xf numFmtId="0" fontId="51" fillId="0" borderId="3" xfId="0" applyFont="1" applyFill="1" applyBorder="1" applyAlignment="1">
      <alignment horizontal="left" vertical="top" wrapText="1"/>
    </xf>
    <xf numFmtId="0" fontId="51" fillId="0" borderId="2" xfId="0" applyFont="1" applyFill="1" applyBorder="1" applyAlignment="1">
      <alignment horizontal="left" vertical="top" wrapText="1"/>
    </xf>
    <xf numFmtId="0" fontId="51" fillId="0" borderId="4" xfId="0" applyFont="1" applyFill="1" applyBorder="1" applyAlignment="1">
      <alignment horizontal="left" vertical="top" wrapText="1"/>
    </xf>
    <xf numFmtId="0" fontId="51" fillId="0" borderId="7" xfId="0" applyFont="1" applyFill="1" applyBorder="1" applyAlignment="1">
      <alignment horizontal="left" vertical="top" wrapText="1"/>
    </xf>
    <xf numFmtId="0" fontId="11" fillId="2" borderId="9" xfId="0" applyFont="1" applyFill="1" applyBorder="1" applyAlignment="1">
      <alignment horizontal="center" vertical="center"/>
    </xf>
    <xf numFmtId="0" fontId="11" fillId="2" borderId="15"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xf>
    <xf numFmtId="0" fontId="17" fillId="0" borderId="5"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8" xfId="0" applyFont="1" applyFill="1" applyBorder="1" applyAlignment="1">
      <alignment horizontal="left" vertical="top" wrapText="1"/>
    </xf>
    <xf numFmtId="0" fontId="17" fillId="0" borderId="1"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7" xfId="0" applyFont="1" applyFill="1" applyBorder="1" applyAlignment="1">
      <alignment horizontal="left" vertical="top" wrapText="1"/>
    </xf>
    <xf numFmtId="49"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0" fontId="75" fillId="0" borderId="5" xfId="0" applyFont="1" applyFill="1" applyBorder="1" applyAlignment="1">
      <alignment horizontal="left" vertical="top" wrapText="1"/>
    </xf>
    <xf numFmtId="0" fontId="75" fillId="0" borderId="6" xfId="0" applyFont="1" applyFill="1" applyBorder="1" applyAlignment="1">
      <alignment horizontal="left" vertical="top" wrapText="1"/>
    </xf>
    <xf numFmtId="0" fontId="75" fillId="0" borderId="8" xfId="0" applyFont="1" applyFill="1" applyBorder="1" applyAlignment="1">
      <alignment horizontal="left" vertical="top" wrapText="1"/>
    </xf>
    <xf numFmtId="0" fontId="75" fillId="0" borderId="2" xfId="0" applyFont="1" applyFill="1" applyBorder="1" applyAlignment="1">
      <alignment horizontal="left" vertical="top" wrapText="1"/>
    </xf>
    <xf numFmtId="0" fontId="75" fillId="0" borderId="4" xfId="0" applyFont="1" applyFill="1" applyBorder="1" applyAlignment="1">
      <alignment horizontal="left" vertical="top" wrapText="1"/>
    </xf>
    <xf numFmtId="0" fontId="75" fillId="0" borderId="7" xfId="0" applyFont="1" applyFill="1" applyBorder="1" applyAlignment="1">
      <alignment horizontal="left" vertical="top" wrapText="1"/>
    </xf>
    <xf numFmtId="0" fontId="75" fillId="0" borderId="5" xfId="0" applyFont="1" applyFill="1" applyBorder="1" applyAlignment="1">
      <alignment vertical="top" wrapText="1"/>
    </xf>
    <xf numFmtId="0" fontId="75" fillId="0" borderId="6" xfId="0" applyFont="1" applyFill="1" applyBorder="1" applyAlignment="1">
      <alignment vertical="top" wrapText="1"/>
    </xf>
    <xf numFmtId="0" fontId="75" fillId="0" borderId="8" xfId="0" applyFont="1" applyFill="1" applyBorder="1" applyAlignment="1">
      <alignment vertical="top" wrapText="1"/>
    </xf>
    <xf numFmtId="0" fontId="75" fillId="0" borderId="1" xfId="0" applyFont="1" applyFill="1" applyBorder="1" applyAlignment="1">
      <alignment vertical="top" wrapText="1"/>
    </xf>
    <xf numFmtId="0" fontId="75" fillId="0" borderId="0" xfId="0" applyFont="1" applyFill="1" applyBorder="1" applyAlignment="1">
      <alignment vertical="top" wrapText="1"/>
    </xf>
    <xf numFmtId="0" fontId="75" fillId="0" borderId="3" xfId="0" applyFont="1" applyFill="1" applyBorder="1" applyAlignment="1">
      <alignment vertical="top" wrapText="1"/>
    </xf>
    <xf numFmtId="0" fontId="75" fillId="0" borderId="2" xfId="0" applyFont="1" applyFill="1" applyBorder="1" applyAlignment="1">
      <alignment vertical="top" wrapText="1"/>
    </xf>
    <xf numFmtId="0" fontId="75" fillId="0" borderId="4" xfId="0" applyFont="1" applyFill="1" applyBorder="1" applyAlignment="1">
      <alignment vertical="top" wrapText="1"/>
    </xf>
    <xf numFmtId="0" fontId="75" fillId="0" borderId="7" xfId="0" applyFont="1" applyFill="1" applyBorder="1" applyAlignment="1">
      <alignment vertical="top" wrapText="1"/>
    </xf>
    <xf numFmtId="0" fontId="7" fillId="4" borderId="9" xfId="0" applyFont="1" applyFill="1" applyBorder="1" applyAlignment="1">
      <alignment horizontal="center" vertical="center"/>
    </xf>
    <xf numFmtId="0" fontId="7" fillId="4" borderId="15"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15" xfId="0" applyFont="1" applyFill="1" applyBorder="1" applyAlignment="1">
      <alignment horizontal="center" vertical="center"/>
    </xf>
    <xf numFmtId="0" fontId="67" fillId="20" borderId="9" xfId="0" applyFont="1" applyFill="1" applyBorder="1" applyAlignment="1">
      <alignment horizontal="center" vertical="center"/>
    </xf>
    <xf numFmtId="0" fontId="67" fillId="20" borderId="15" xfId="0" applyFont="1" applyFill="1" applyBorder="1" applyAlignment="1">
      <alignment horizontal="center" vertical="center"/>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60" fillId="9" borderId="1" xfId="0" applyFont="1" applyFill="1" applyBorder="1" applyAlignment="1">
      <alignment horizontal="left" vertical="top" wrapText="1"/>
    </xf>
    <xf numFmtId="0" fontId="60" fillId="9" borderId="0" xfId="0" applyFont="1" applyFill="1" applyBorder="1" applyAlignment="1">
      <alignment horizontal="left" vertical="top" wrapText="1"/>
    </xf>
    <xf numFmtId="0" fontId="60" fillId="9" borderId="3" xfId="0" applyFont="1" applyFill="1" applyBorder="1" applyAlignment="1">
      <alignment horizontal="left" vertical="top" wrapText="1"/>
    </xf>
    <xf numFmtId="186" fontId="7" fillId="0" borderId="0" xfId="0" applyNumberFormat="1" applyFont="1" applyFill="1" applyBorder="1" applyAlignment="1">
      <alignment horizontal="center" vertical="center"/>
    </xf>
    <xf numFmtId="0" fontId="7" fillId="0" borderId="0" xfId="0" applyFont="1" applyFill="1" applyBorder="1" applyAlignment="1">
      <alignment horizontal="center"/>
    </xf>
    <xf numFmtId="0" fontId="60" fillId="9" borderId="5" xfId="0" applyFont="1" applyFill="1" applyBorder="1" applyAlignment="1">
      <alignment horizontal="center" wrapText="1"/>
    </xf>
    <xf numFmtId="0" fontId="60" fillId="9" borderId="6" xfId="0" applyFont="1" applyFill="1" applyBorder="1" applyAlignment="1">
      <alignment horizontal="center" wrapText="1"/>
    </xf>
    <xf numFmtId="0" fontId="60" fillId="9" borderId="8" xfId="0" applyFont="1" applyFill="1" applyBorder="1" applyAlignment="1">
      <alignment horizontal="center" wrapText="1"/>
    </xf>
    <xf numFmtId="0" fontId="60" fillId="9" borderId="2" xfId="0" applyFont="1" applyFill="1" applyBorder="1" applyAlignment="1">
      <alignment horizontal="center" wrapText="1"/>
    </xf>
    <xf numFmtId="0" fontId="60" fillId="9" borderId="4" xfId="0" applyFont="1" applyFill="1" applyBorder="1" applyAlignment="1">
      <alignment horizontal="center" wrapText="1"/>
    </xf>
    <xf numFmtId="0" fontId="60" fillId="9" borderId="7" xfId="0" applyFont="1" applyFill="1" applyBorder="1" applyAlignment="1">
      <alignment horizontal="center" wrapText="1"/>
    </xf>
    <xf numFmtId="0" fontId="67" fillId="16" borderId="9" xfId="0" applyFont="1" applyFill="1" applyBorder="1" applyAlignment="1">
      <alignment horizontal="center"/>
    </xf>
    <xf numFmtId="0" fontId="67" fillId="16" borderId="15" xfId="0" applyFont="1" applyFill="1" applyBorder="1" applyAlignment="1">
      <alignment horizontal="center"/>
    </xf>
    <xf numFmtId="0" fontId="67" fillId="12" borderId="10" xfId="0" applyFont="1" applyFill="1" applyBorder="1" applyAlignment="1">
      <alignment horizontal="center"/>
    </xf>
    <xf numFmtId="0" fontId="67" fillId="13" borderId="10" xfId="0" applyFont="1" applyFill="1" applyBorder="1" applyAlignment="1">
      <alignment horizontal="center"/>
    </xf>
    <xf numFmtId="0" fontId="7" fillId="0" borderId="0" xfId="0" applyFont="1" applyFill="1" applyBorder="1" applyAlignment="1">
      <alignment horizontal="center" vertical="center"/>
    </xf>
    <xf numFmtId="0" fontId="67" fillId="14" borderId="10" xfId="0" applyFont="1" applyFill="1" applyBorder="1" applyAlignment="1">
      <alignment horizontal="center"/>
    </xf>
    <xf numFmtId="0" fontId="67" fillId="11" borderId="10" xfId="0" applyFont="1" applyFill="1" applyBorder="1" applyAlignment="1">
      <alignment horizontal="center"/>
    </xf>
    <xf numFmtId="0" fontId="49" fillId="0" borderId="5" xfId="0" applyFont="1" applyFill="1" applyBorder="1" applyAlignment="1">
      <alignment horizontal="left" vertical="top" wrapText="1"/>
    </xf>
    <xf numFmtId="0" fontId="49" fillId="0" borderId="6" xfId="0" applyFont="1" applyFill="1" applyBorder="1" applyAlignment="1">
      <alignment horizontal="left" vertical="top" wrapText="1"/>
    </xf>
    <xf numFmtId="0" fontId="49" fillId="0" borderId="8" xfId="0" applyFont="1" applyFill="1" applyBorder="1" applyAlignment="1">
      <alignment horizontal="left" vertical="top" wrapText="1"/>
    </xf>
    <xf numFmtId="0" fontId="49" fillId="0" borderId="1" xfId="0"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3" xfId="0" applyFont="1" applyFill="1" applyBorder="1" applyAlignment="1">
      <alignment horizontal="left" vertical="top" wrapText="1"/>
    </xf>
    <xf numFmtId="0" fontId="49" fillId="0" borderId="2" xfId="0" applyFont="1" applyFill="1" applyBorder="1" applyAlignment="1">
      <alignment horizontal="left" vertical="top" wrapText="1"/>
    </xf>
    <xf numFmtId="0" fontId="49" fillId="0" borderId="4" xfId="0" applyFont="1" applyFill="1" applyBorder="1" applyAlignment="1">
      <alignment horizontal="left" vertical="top" wrapText="1"/>
    </xf>
    <xf numFmtId="0" fontId="49" fillId="0" borderId="7" xfId="0" applyFont="1" applyFill="1" applyBorder="1" applyAlignment="1">
      <alignment horizontal="left" vertical="top" wrapText="1"/>
    </xf>
    <xf numFmtId="0" fontId="67" fillId="18" borderId="9" xfId="0" applyFont="1" applyFill="1" applyBorder="1" applyAlignment="1">
      <alignment horizontal="center" vertical="center"/>
    </xf>
    <xf numFmtId="0" fontId="67" fillId="18" borderId="15" xfId="0" applyFont="1" applyFill="1" applyBorder="1" applyAlignment="1">
      <alignment horizontal="center" vertical="center"/>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8" xfId="0" applyFont="1" applyFill="1" applyBorder="1" applyAlignment="1">
      <alignment horizontal="left" wrapText="1"/>
    </xf>
    <xf numFmtId="0" fontId="2" fillId="0" borderId="2" xfId="0" applyFont="1" applyFill="1" applyBorder="1" applyAlignment="1">
      <alignment horizontal="left" wrapText="1"/>
    </xf>
    <xf numFmtId="0" fontId="2" fillId="0" borderId="4" xfId="0" applyFont="1" applyFill="1" applyBorder="1" applyAlignment="1">
      <alignment horizontal="left" wrapText="1"/>
    </xf>
    <xf numFmtId="0" fontId="2" fillId="0" borderId="7" xfId="0" applyFont="1" applyFill="1" applyBorder="1" applyAlignment="1">
      <alignment horizontal="left" wrapText="1"/>
    </xf>
    <xf numFmtId="0" fontId="67" fillId="18" borderId="9" xfId="0" applyFont="1" applyFill="1" applyBorder="1" applyAlignment="1">
      <alignment horizontal="center"/>
    </xf>
    <xf numFmtId="0" fontId="67" fillId="18" borderId="15" xfId="0" applyFont="1" applyFill="1" applyBorder="1" applyAlignment="1">
      <alignment horizontal="center"/>
    </xf>
    <xf numFmtId="0" fontId="67" fillId="11" borderId="10" xfId="0" applyFont="1" applyFill="1" applyBorder="1" applyAlignment="1">
      <alignment horizontal="center" vertical="center"/>
    </xf>
  </cellXfs>
  <cellStyles count="9">
    <cellStyle name="Millares" xfId="1" builtinId="3"/>
    <cellStyle name="Millares 2" xfId="2"/>
    <cellStyle name="Millares 3" xfId="3"/>
    <cellStyle name="Moneda" xfId="4" builtinId="4"/>
    <cellStyle name="Normal" xfId="0" builtinId="0"/>
    <cellStyle name="Normal 2" xfId="5"/>
    <cellStyle name="Porcentaje" xfId="6" builtinId="5"/>
    <cellStyle name="Porcentaje 2" xfId="7"/>
    <cellStyle name="Porcentaje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2374900</xdr:colOff>
      <xdr:row>10</xdr:row>
      <xdr:rowOff>66675</xdr:rowOff>
    </xdr:from>
    <xdr:ext cx="191101" cy="264560"/>
    <xdr:sp macro="" textlink="">
      <xdr:nvSpPr>
        <xdr:cNvPr id="2" name="1 CuadroTexto">
          <a:extLst>
            <a:ext uri="{FF2B5EF4-FFF2-40B4-BE49-F238E27FC236}">
              <a16:creationId xmlns:a16="http://schemas.microsoft.com/office/drawing/2014/main" id="{B28B92FE-1E46-4F2F-8EF2-9DE826BE34B4}"/>
            </a:ext>
          </a:extLst>
        </xdr:cNvPr>
        <xdr:cNvSpPr txBox="1"/>
      </xdr:nvSpPr>
      <xdr:spPr>
        <a:xfrm>
          <a:off x="2943225" y="176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405"/>
  <sheetViews>
    <sheetView tabSelected="1" topLeftCell="F1" zoomScale="140" zoomScaleNormal="140" workbookViewId="0">
      <selection activeCell="L12" sqref="L12"/>
    </sheetView>
  </sheetViews>
  <sheetFormatPr baseColWidth="10" defaultColWidth="11.453125" defaultRowHeight="10.5" x14ac:dyDescent="0.25"/>
  <cols>
    <col min="1" max="6" width="2.453125" style="555" customWidth="1"/>
    <col min="7" max="9" width="2.453125" style="362" customWidth="1"/>
    <col min="10" max="10" width="52.81640625" style="362" customWidth="1"/>
    <col min="11" max="12" width="12.1796875" style="1018" customWidth="1"/>
    <col min="13" max="13" width="12.1796875" style="989" customWidth="1"/>
    <col min="14" max="16" width="12.1796875" style="1021" customWidth="1"/>
    <col min="17" max="159" width="11.453125" style="555"/>
    <col min="160" max="16384" width="11.453125" style="362"/>
  </cols>
  <sheetData>
    <row r="1" spans="1:159" s="991" customFormat="1" ht="16.5" customHeight="1" thickBot="1" x14ac:dyDescent="0.3">
      <c r="A1" s="985" t="s">
        <v>1068</v>
      </c>
      <c r="B1" s="986"/>
      <c r="C1" s="986"/>
      <c r="D1" s="986"/>
      <c r="E1" s="986"/>
      <c r="F1" s="986"/>
      <c r="G1" s="1093" t="s">
        <v>1069</v>
      </c>
      <c r="H1" s="1093"/>
      <c r="I1" s="1093"/>
      <c r="J1" s="1093"/>
      <c r="K1" s="987"/>
      <c r="L1" s="987"/>
      <c r="M1" s="987"/>
      <c r="N1" s="986"/>
      <c r="O1" s="986"/>
      <c r="P1" s="988">
        <f>SUM(O2:O131)</f>
        <v>2364711525</v>
      </c>
      <c r="Q1" s="989"/>
      <c r="R1" s="990"/>
      <c r="S1" s="990"/>
      <c r="T1" s="990"/>
      <c r="U1" s="990"/>
      <c r="V1" s="990"/>
      <c r="W1" s="990"/>
      <c r="X1" s="990"/>
      <c r="Y1" s="990"/>
      <c r="Z1" s="990"/>
      <c r="AA1" s="990"/>
      <c r="AB1" s="990"/>
      <c r="AC1" s="990"/>
      <c r="AD1" s="990"/>
      <c r="AE1" s="990"/>
      <c r="AF1" s="990"/>
      <c r="AG1" s="990"/>
      <c r="AH1" s="990"/>
      <c r="AI1" s="990"/>
      <c r="AJ1" s="990"/>
      <c r="AK1" s="990"/>
      <c r="AL1" s="990"/>
      <c r="AM1" s="990"/>
      <c r="AN1" s="990"/>
      <c r="AO1" s="990"/>
      <c r="AP1" s="990"/>
      <c r="AQ1" s="990"/>
      <c r="AR1" s="990"/>
      <c r="AS1" s="990"/>
      <c r="AT1" s="990"/>
      <c r="AU1" s="990"/>
      <c r="AV1" s="990"/>
      <c r="AW1" s="990"/>
      <c r="AX1" s="990"/>
      <c r="AY1" s="990"/>
      <c r="AZ1" s="990"/>
      <c r="BA1" s="990"/>
      <c r="BB1" s="990"/>
      <c r="BC1" s="990"/>
      <c r="BD1" s="990"/>
      <c r="BE1" s="990"/>
      <c r="BF1" s="990"/>
      <c r="BG1" s="990"/>
      <c r="BH1" s="990"/>
      <c r="BI1" s="990"/>
      <c r="BJ1" s="990"/>
      <c r="BK1" s="990"/>
      <c r="BL1" s="990"/>
      <c r="BM1" s="990"/>
      <c r="BN1" s="990"/>
      <c r="BO1" s="990"/>
      <c r="BP1" s="990"/>
      <c r="BQ1" s="990"/>
      <c r="BR1" s="990"/>
      <c r="BS1" s="990"/>
      <c r="BT1" s="990"/>
      <c r="BU1" s="990"/>
      <c r="BV1" s="990"/>
      <c r="BW1" s="990"/>
      <c r="BX1" s="990"/>
      <c r="BY1" s="990"/>
      <c r="BZ1" s="990"/>
      <c r="CA1" s="990"/>
      <c r="CB1" s="990"/>
      <c r="CC1" s="990"/>
      <c r="CD1" s="990"/>
      <c r="CE1" s="990"/>
      <c r="CF1" s="990"/>
      <c r="CG1" s="990"/>
      <c r="CH1" s="990"/>
      <c r="CI1" s="990"/>
      <c r="CJ1" s="990"/>
      <c r="CK1" s="990"/>
      <c r="CL1" s="990"/>
      <c r="CM1" s="990"/>
      <c r="CN1" s="990"/>
      <c r="CO1" s="990"/>
      <c r="CP1" s="990"/>
      <c r="CQ1" s="990"/>
      <c r="CR1" s="990"/>
      <c r="CS1" s="990"/>
      <c r="CT1" s="990"/>
      <c r="CU1" s="990"/>
      <c r="CV1" s="990"/>
      <c r="CW1" s="990"/>
      <c r="CX1" s="990"/>
      <c r="CY1" s="990"/>
      <c r="CZ1" s="990"/>
      <c r="DA1" s="990"/>
      <c r="DB1" s="990"/>
      <c r="DC1" s="990"/>
      <c r="DD1" s="990"/>
      <c r="DE1" s="990"/>
      <c r="DF1" s="990"/>
      <c r="DG1" s="990"/>
      <c r="DH1" s="990"/>
      <c r="DI1" s="990"/>
      <c r="DJ1" s="990"/>
      <c r="DK1" s="990"/>
      <c r="DL1" s="990"/>
      <c r="DM1" s="990"/>
      <c r="DN1" s="990"/>
      <c r="DO1" s="990"/>
      <c r="DP1" s="990"/>
      <c r="DQ1" s="990"/>
      <c r="DR1" s="990"/>
      <c r="DS1" s="990"/>
      <c r="DT1" s="990"/>
      <c r="DU1" s="990"/>
      <c r="DV1" s="990"/>
      <c r="DW1" s="990"/>
      <c r="DX1" s="990"/>
      <c r="DY1" s="990"/>
      <c r="DZ1" s="990"/>
      <c r="EA1" s="990"/>
      <c r="EB1" s="990"/>
      <c r="EC1" s="990"/>
      <c r="ED1" s="990"/>
      <c r="EE1" s="990"/>
      <c r="EF1" s="990"/>
      <c r="EG1" s="990"/>
      <c r="EH1" s="990"/>
      <c r="EI1" s="990"/>
      <c r="EJ1" s="990"/>
      <c r="EK1" s="990"/>
      <c r="EL1" s="990"/>
      <c r="EM1" s="990"/>
      <c r="EN1" s="990"/>
      <c r="EO1" s="990"/>
      <c r="EP1" s="990"/>
      <c r="EQ1" s="990"/>
      <c r="ER1" s="990"/>
      <c r="ES1" s="990"/>
      <c r="ET1" s="990"/>
      <c r="EU1" s="990"/>
      <c r="EV1" s="990"/>
      <c r="EW1" s="990"/>
      <c r="EX1" s="990"/>
      <c r="EY1" s="990"/>
      <c r="EZ1" s="990"/>
      <c r="FA1" s="990"/>
      <c r="FB1" s="990"/>
      <c r="FC1" s="990"/>
    </row>
    <row r="2" spans="1:159" ht="11" thickBot="1" x14ac:dyDescent="0.3">
      <c r="A2" s="992" t="s">
        <v>1068</v>
      </c>
      <c r="B2" s="993" t="s">
        <v>1068</v>
      </c>
      <c r="C2" s="993"/>
      <c r="D2" s="993"/>
      <c r="E2" s="993"/>
      <c r="F2" s="994"/>
      <c r="G2" s="993" t="s">
        <v>1070</v>
      </c>
      <c r="H2" s="994"/>
      <c r="I2" s="994"/>
      <c r="J2" s="994"/>
      <c r="K2" s="995"/>
      <c r="L2" s="996"/>
      <c r="M2" s="997"/>
      <c r="N2" s="993"/>
      <c r="O2" s="998">
        <f>SUM(N3:N87)</f>
        <v>2304133198</v>
      </c>
      <c r="P2" s="999"/>
    </row>
    <row r="3" spans="1:159" s="1009" customFormat="1" ht="11" thickBot="1" x14ac:dyDescent="0.3">
      <c r="A3" s="1000" t="s">
        <v>1068</v>
      </c>
      <c r="B3" s="1001" t="s">
        <v>1068</v>
      </c>
      <c r="C3" s="1001" t="s">
        <v>1068</v>
      </c>
      <c r="D3" s="1001"/>
      <c r="E3" s="1001"/>
      <c r="F3" s="1002"/>
      <c r="G3" s="1002"/>
      <c r="H3" s="1001" t="s">
        <v>1071</v>
      </c>
      <c r="I3" s="1002"/>
      <c r="J3" s="1002"/>
      <c r="K3" s="1003"/>
      <c r="L3" s="1004"/>
      <c r="M3" s="1005"/>
      <c r="N3" s="1006">
        <f>SUM(M4:M69)</f>
        <v>1475502488</v>
      </c>
      <c r="O3" s="1001"/>
      <c r="P3" s="1007"/>
      <c r="Q3" s="1008"/>
      <c r="R3" s="1008"/>
      <c r="S3" s="1008"/>
      <c r="T3" s="1008"/>
      <c r="U3" s="1008"/>
      <c r="V3" s="1008"/>
      <c r="W3" s="1008"/>
      <c r="X3" s="1008"/>
      <c r="Y3" s="1008"/>
      <c r="Z3" s="1008"/>
      <c r="AA3" s="1008"/>
      <c r="AB3" s="1008"/>
      <c r="AC3" s="1008"/>
      <c r="AD3" s="1008"/>
      <c r="AE3" s="1008"/>
      <c r="AF3" s="1008"/>
      <c r="AG3" s="1008"/>
      <c r="AH3" s="1008"/>
      <c r="AI3" s="1008"/>
      <c r="AJ3" s="1008"/>
      <c r="AK3" s="1008"/>
      <c r="AL3" s="1008"/>
      <c r="AM3" s="1008"/>
      <c r="AN3" s="1008"/>
      <c r="AO3" s="1008"/>
      <c r="AP3" s="1008"/>
      <c r="AQ3" s="1008"/>
      <c r="AR3" s="1008"/>
      <c r="AS3" s="1008"/>
      <c r="AT3" s="1008"/>
      <c r="AU3" s="1008"/>
      <c r="AV3" s="1008"/>
      <c r="AW3" s="1008"/>
      <c r="AX3" s="1008"/>
      <c r="AY3" s="1008"/>
      <c r="AZ3" s="1008"/>
      <c r="BA3" s="1008"/>
      <c r="BB3" s="1008"/>
      <c r="BC3" s="1008"/>
      <c r="BD3" s="1008"/>
      <c r="BE3" s="1008"/>
      <c r="BF3" s="1008"/>
      <c r="BG3" s="1008"/>
      <c r="BH3" s="1008"/>
      <c r="BI3" s="1008"/>
      <c r="BJ3" s="1008"/>
      <c r="BK3" s="1008"/>
      <c r="BL3" s="1008"/>
      <c r="BM3" s="1008"/>
      <c r="BN3" s="1008"/>
      <c r="BO3" s="1008"/>
      <c r="BP3" s="1008"/>
      <c r="BQ3" s="1008"/>
      <c r="BR3" s="1008"/>
      <c r="BS3" s="1008"/>
      <c r="BT3" s="1008"/>
      <c r="BU3" s="1008"/>
      <c r="BV3" s="1008"/>
      <c r="BW3" s="1008"/>
      <c r="BX3" s="1008"/>
      <c r="BY3" s="1008"/>
      <c r="BZ3" s="1008"/>
      <c r="CA3" s="1008"/>
      <c r="CB3" s="1008"/>
      <c r="CC3" s="1008"/>
      <c r="CD3" s="1008"/>
      <c r="CE3" s="1008"/>
      <c r="CF3" s="1008"/>
      <c r="CG3" s="1008"/>
      <c r="CH3" s="1008"/>
      <c r="CI3" s="1008"/>
      <c r="CJ3" s="1008"/>
      <c r="CK3" s="1008"/>
      <c r="CL3" s="1008"/>
      <c r="CM3" s="1008"/>
      <c r="CN3" s="1008"/>
      <c r="CO3" s="1008"/>
      <c r="CP3" s="1008"/>
      <c r="CQ3" s="1008"/>
      <c r="CR3" s="1008"/>
      <c r="CS3" s="1008"/>
      <c r="CT3" s="1008"/>
      <c r="CU3" s="1008"/>
      <c r="CV3" s="1008"/>
      <c r="CW3" s="1008"/>
      <c r="CX3" s="1008"/>
      <c r="CY3" s="1008"/>
      <c r="CZ3" s="1008"/>
      <c r="DA3" s="1008"/>
      <c r="DB3" s="1008"/>
      <c r="DC3" s="1008"/>
      <c r="DD3" s="1008"/>
      <c r="DE3" s="1008"/>
      <c r="DF3" s="1008"/>
      <c r="DG3" s="1008"/>
      <c r="DH3" s="1008"/>
      <c r="DI3" s="1008"/>
      <c r="DJ3" s="1008"/>
      <c r="DK3" s="1008"/>
      <c r="DL3" s="1008"/>
      <c r="DM3" s="1008"/>
      <c r="DN3" s="1008"/>
      <c r="DO3" s="1008"/>
      <c r="DP3" s="1008"/>
      <c r="DQ3" s="1008"/>
      <c r="DR3" s="1008"/>
      <c r="DS3" s="1008"/>
      <c r="DT3" s="1008"/>
      <c r="DU3" s="1008"/>
      <c r="DV3" s="1008"/>
      <c r="DW3" s="1008"/>
      <c r="DX3" s="1008"/>
      <c r="DY3" s="1008"/>
      <c r="DZ3" s="1008"/>
      <c r="EA3" s="1008"/>
      <c r="EB3" s="1008"/>
      <c r="EC3" s="1008"/>
      <c r="ED3" s="1008"/>
      <c r="EE3" s="1008"/>
      <c r="EF3" s="1008"/>
      <c r="EG3" s="1008"/>
      <c r="EH3" s="1008"/>
      <c r="EI3" s="1008"/>
      <c r="EJ3" s="1008"/>
      <c r="EK3" s="1008"/>
      <c r="EL3" s="1008"/>
      <c r="EM3" s="1008"/>
      <c r="EN3" s="1008"/>
      <c r="EO3" s="1008"/>
      <c r="EP3" s="1008"/>
      <c r="EQ3" s="1008"/>
      <c r="ER3" s="1008"/>
      <c r="ES3" s="1008"/>
      <c r="ET3" s="1008"/>
      <c r="EU3" s="1008"/>
      <c r="EV3" s="1008"/>
      <c r="EW3" s="1008"/>
      <c r="EX3" s="1008"/>
      <c r="EY3" s="1008"/>
      <c r="EZ3" s="1008"/>
      <c r="FA3" s="1008"/>
      <c r="FB3" s="1008"/>
      <c r="FC3" s="1008"/>
    </row>
    <row r="4" spans="1:159" ht="11" thickBot="1" x14ac:dyDescent="0.3">
      <c r="A4" s="1010" t="s">
        <v>1068</v>
      </c>
      <c r="B4" s="1011" t="s">
        <v>1068</v>
      </c>
      <c r="C4" s="1011" t="s">
        <v>1068</v>
      </c>
      <c r="D4" s="1011" t="s">
        <v>1068</v>
      </c>
      <c r="E4" s="1011"/>
      <c r="F4" s="1012"/>
      <c r="G4" s="1012"/>
      <c r="H4" s="1012"/>
      <c r="I4" s="1011" t="s">
        <v>1072</v>
      </c>
      <c r="J4" s="1012"/>
      <c r="K4" s="1013"/>
      <c r="L4" s="1014"/>
      <c r="M4" s="1015">
        <f>SUM(L5:L42)</f>
        <v>1369004414</v>
      </c>
      <c r="N4" s="1011"/>
      <c r="O4" s="1011"/>
      <c r="P4" s="1016"/>
    </row>
    <row r="5" spans="1:159" x14ac:dyDescent="0.25">
      <c r="A5" s="1017" t="s">
        <v>1068</v>
      </c>
      <c r="B5" s="555" t="s">
        <v>1068</v>
      </c>
      <c r="C5" s="555" t="s">
        <v>1068</v>
      </c>
      <c r="D5" s="555" t="s">
        <v>1068</v>
      </c>
      <c r="E5" s="555" t="s">
        <v>1073</v>
      </c>
      <c r="I5" s="362" t="s">
        <v>1074</v>
      </c>
      <c r="L5" s="1019">
        <f>SUM(K6:K7)</f>
        <v>226150000</v>
      </c>
      <c r="M5" s="1020"/>
      <c r="P5" s="1022"/>
      <c r="Q5" s="1018"/>
    </row>
    <row r="6" spans="1:159" x14ac:dyDescent="0.25">
      <c r="A6" s="1017" t="s">
        <v>1068</v>
      </c>
      <c r="B6" s="555" t="s">
        <v>1068</v>
      </c>
      <c r="C6" s="555" t="s">
        <v>1068</v>
      </c>
      <c r="D6" s="555" t="s">
        <v>1068</v>
      </c>
      <c r="E6" s="555" t="s">
        <v>1073</v>
      </c>
      <c r="F6" s="555" t="s">
        <v>1073</v>
      </c>
      <c r="G6" s="555"/>
      <c r="H6" s="555"/>
      <c r="I6" s="555"/>
      <c r="J6" s="362" t="s">
        <v>1075</v>
      </c>
      <c r="K6" s="1018">
        <v>195350000</v>
      </c>
      <c r="P6" s="1022"/>
    </row>
    <row r="7" spans="1:159" x14ac:dyDescent="0.25">
      <c r="A7" s="1017" t="s">
        <v>1068</v>
      </c>
      <c r="B7" s="555" t="s">
        <v>1068</v>
      </c>
      <c r="C7" s="555" t="s">
        <v>1068</v>
      </c>
      <c r="D7" s="555" t="s">
        <v>1068</v>
      </c>
      <c r="E7" s="555" t="s">
        <v>1073</v>
      </c>
      <c r="F7" s="555" t="s">
        <v>1076</v>
      </c>
      <c r="G7" s="555"/>
      <c r="H7" s="555"/>
      <c r="I7" s="555"/>
      <c r="J7" s="362" t="s">
        <v>1077</v>
      </c>
      <c r="K7" s="1023">
        <v>30800000</v>
      </c>
      <c r="L7" s="1019"/>
      <c r="N7" s="1024"/>
      <c r="O7" s="1025"/>
      <c r="P7" s="1022"/>
    </row>
    <row r="8" spans="1:159" x14ac:dyDescent="0.25">
      <c r="A8" s="1017" t="s">
        <v>1068</v>
      </c>
      <c r="B8" s="555" t="s">
        <v>1068</v>
      </c>
      <c r="C8" s="555" t="s">
        <v>1068</v>
      </c>
      <c r="D8" s="555" t="s">
        <v>1068</v>
      </c>
      <c r="E8" s="555" t="s">
        <v>1076</v>
      </c>
      <c r="I8" s="362" t="s">
        <v>1078</v>
      </c>
      <c r="K8" s="1023"/>
      <c r="L8" s="1019">
        <f>SUM(K9:K10)</f>
        <v>174230000</v>
      </c>
      <c r="P8" s="1022"/>
    </row>
    <row r="9" spans="1:159" x14ac:dyDescent="0.25">
      <c r="A9" s="1017" t="s">
        <v>1068</v>
      </c>
      <c r="B9" s="555" t="s">
        <v>1068</v>
      </c>
      <c r="C9" s="555" t="s">
        <v>1068</v>
      </c>
      <c r="D9" s="555" t="s">
        <v>1068</v>
      </c>
      <c r="E9" s="555" t="s">
        <v>1076</v>
      </c>
      <c r="F9" s="555" t="s">
        <v>1073</v>
      </c>
      <c r="G9" s="555"/>
      <c r="H9" s="555"/>
      <c r="I9" s="555"/>
      <c r="J9" s="362" t="s">
        <v>1079</v>
      </c>
      <c r="K9" s="1023">
        <v>143750000</v>
      </c>
      <c r="L9" s="1019"/>
      <c r="N9" s="1024"/>
      <c r="O9" s="1025"/>
      <c r="P9" s="1026"/>
    </row>
    <row r="10" spans="1:159" x14ac:dyDescent="0.25">
      <c r="A10" s="1017" t="s">
        <v>1068</v>
      </c>
      <c r="B10" s="555" t="s">
        <v>1068</v>
      </c>
      <c r="C10" s="555" t="s">
        <v>1068</v>
      </c>
      <c r="D10" s="555" t="s">
        <v>1068</v>
      </c>
      <c r="E10" s="555" t="s">
        <v>1076</v>
      </c>
      <c r="F10" s="555" t="s">
        <v>1076</v>
      </c>
      <c r="G10" s="555"/>
      <c r="H10" s="555"/>
      <c r="I10" s="555"/>
      <c r="J10" s="362" t="s">
        <v>1080</v>
      </c>
      <c r="K10" s="1023">
        <v>30480000</v>
      </c>
      <c r="L10" s="1019"/>
      <c r="N10" s="1024"/>
      <c r="O10" s="1025"/>
      <c r="P10" s="1026"/>
    </row>
    <row r="11" spans="1:159" x14ac:dyDescent="0.25">
      <c r="A11" s="1017" t="s">
        <v>1068</v>
      </c>
      <c r="B11" s="555" t="s">
        <v>1068</v>
      </c>
      <c r="C11" s="555" t="s">
        <v>1068</v>
      </c>
      <c r="D11" s="555" t="s">
        <v>1068</v>
      </c>
      <c r="E11" s="555" t="s">
        <v>1081</v>
      </c>
      <c r="I11" s="362" t="s">
        <v>1082</v>
      </c>
      <c r="K11" s="1023"/>
      <c r="L11" s="1019">
        <f>SUM(K12:K13)</f>
        <v>587478268</v>
      </c>
      <c r="P11" s="1022"/>
    </row>
    <row r="12" spans="1:159" x14ac:dyDescent="0.25">
      <c r="A12" s="1017" t="s">
        <v>1068</v>
      </c>
      <c r="B12" s="555" t="s">
        <v>1068</v>
      </c>
      <c r="C12" s="555" t="s">
        <v>1068</v>
      </c>
      <c r="D12" s="555" t="s">
        <v>1068</v>
      </c>
      <c r="E12" s="555" t="s">
        <v>1081</v>
      </c>
      <c r="F12" s="555" t="s">
        <v>1073</v>
      </c>
      <c r="G12" s="555"/>
      <c r="H12" s="555"/>
      <c r="I12" s="555"/>
      <c r="J12" s="362" t="s">
        <v>1083</v>
      </c>
      <c r="K12" s="1023">
        <v>530400000</v>
      </c>
      <c r="L12" s="1019"/>
      <c r="N12" s="1024"/>
      <c r="O12" s="1025"/>
      <c r="P12" s="1026"/>
    </row>
    <row r="13" spans="1:159" x14ac:dyDescent="0.25">
      <c r="A13" s="1017" t="s">
        <v>1068</v>
      </c>
      <c r="B13" s="555" t="s">
        <v>1068</v>
      </c>
      <c r="C13" s="555" t="s">
        <v>1068</v>
      </c>
      <c r="D13" s="555" t="s">
        <v>1068</v>
      </c>
      <c r="E13" s="555" t="s">
        <v>1081</v>
      </c>
      <c r="F13" s="555" t="s">
        <v>1076</v>
      </c>
      <c r="G13" s="555"/>
      <c r="H13" s="555"/>
      <c r="I13" s="555"/>
      <c r="J13" s="362" t="s">
        <v>1084</v>
      </c>
      <c r="K13" s="1023">
        <v>57078268</v>
      </c>
      <c r="L13" s="1019"/>
      <c r="N13" s="1024"/>
      <c r="O13" s="1025"/>
      <c r="P13" s="1026"/>
    </row>
    <row r="14" spans="1:159" s="555" customFormat="1" x14ac:dyDescent="0.25">
      <c r="A14" s="1017" t="s">
        <v>1068</v>
      </c>
      <c r="B14" s="555" t="s">
        <v>1068</v>
      </c>
      <c r="C14" s="555" t="s">
        <v>1068</v>
      </c>
      <c r="D14" s="555" t="s">
        <v>1068</v>
      </c>
      <c r="E14" s="555" t="s">
        <v>1085</v>
      </c>
      <c r="I14" s="555" t="s">
        <v>1086</v>
      </c>
      <c r="L14" s="1023">
        <v>2601500</v>
      </c>
      <c r="M14" s="989"/>
      <c r="N14" s="1021"/>
      <c r="O14" s="1021"/>
      <c r="P14" s="1022"/>
    </row>
    <row r="15" spans="1:159" x14ac:dyDescent="0.25">
      <c r="A15" s="1017" t="s">
        <v>1068</v>
      </c>
      <c r="B15" s="555" t="s">
        <v>1068</v>
      </c>
      <c r="C15" s="555" t="s">
        <v>1068</v>
      </c>
      <c r="D15" s="555" t="s">
        <v>1068</v>
      </c>
      <c r="E15" s="555" t="s">
        <v>1087</v>
      </c>
      <c r="G15" s="555"/>
      <c r="H15" s="555"/>
      <c r="I15" s="555" t="s">
        <v>1088</v>
      </c>
      <c r="J15" s="555"/>
      <c r="K15" s="555"/>
      <c r="L15" s="1023">
        <v>2660810</v>
      </c>
      <c r="P15" s="1022"/>
    </row>
    <row r="16" spans="1:159" x14ac:dyDescent="0.25">
      <c r="A16" s="1017" t="s">
        <v>1068</v>
      </c>
      <c r="B16" s="555" t="s">
        <v>1068</v>
      </c>
      <c r="C16" s="555" t="s">
        <v>1068</v>
      </c>
      <c r="D16" s="555" t="s">
        <v>1068</v>
      </c>
      <c r="E16" s="555" t="s">
        <v>1089</v>
      </c>
      <c r="G16" s="555"/>
      <c r="H16" s="555"/>
      <c r="I16" s="555" t="s">
        <v>1090</v>
      </c>
      <c r="J16" s="555"/>
      <c r="L16" s="1027">
        <v>6945000</v>
      </c>
      <c r="P16" s="1022"/>
    </row>
    <row r="17" spans="1:16" x14ac:dyDescent="0.25">
      <c r="A17" s="1017" t="s">
        <v>1068</v>
      </c>
      <c r="B17" s="555" t="s">
        <v>1068</v>
      </c>
      <c r="C17" s="555" t="s">
        <v>1068</v>
      </c>
      <c r="D17" s="555" t="s">
        <v>1068</v>
      </c>
      <c r="E17" s="555" t="s">
        <v>1091</v>
      </c>
      <c r="G17" s="555"/>
      <c r="H17" s="555"/>
      <c r="I17" s="555" t="s">
        <v>1092</v>
      </c>
      <c r="J17" s="555"/>
      <c r="K17" s="555"/>
      <c r="L17" s="1023">
        <v>465200</v>
      </c>
      <c r="P17" s="1022"/>
    </row>
    <row r="18" spans="1:16" x14ac:dyDescent="0.25">
      <c r="A18" s="1017" t="s">
        <v>1068</v>
      </c>
      <c r="B18" s="555" t="s">
        <v>1068</v>
      </c>
      <c r="C18" s="555" t="s">
        <v>1068</v>
      </c>
      <c r="D18" s="555" t="s">
        <v>1068</v>
      </c>
      <c r="E18" s="555" t="s">
        <v>1093</v>
      </c>
      <c r="G18" s="555"/>
      <c r="H18" s="555"/>
      <c r="I18" s="555" t="s">
        <v>1094</v>
      </c>
      <c r="J18" s="555"/>
      <c r="K18" s="555"/>
      <c r="L18" s="1023">
        <v>485836</v>
      </c>
      <c r="P18" s="1022"/>
    </row>
    <row r="19" spans="1:16" x14ac:dyDescent="0.25">
      <c r="A19" s="1017" t="s">
        <v>1068</v>
      </c>
      <c r="B19" s="555" t="s">
        <v>1068</v>
      </c>
      <c r="C19" s="555" t="s">
        <v>1068</v>
      </c>
      <c r="D19" s="555" t="s">
        <v>1068</v>
      </c>
      <c r="E19" s="555" t="s">
        <v>1095</v>
      </c>
      <c r="G19" s="555"/>
      <c r="H19" s="555"/>
      <c r="I19" s="555" t="s">
        <v>1096</v>
      </c>
      <c r="J19" s="555"/>
      <c r="K19" s="555"/>
      <c r="L19" s="1023">
        <v>5063500</v>
      </c>
      <c r="P19" s="1022"/>
    </row>
    <row r="20" spans="1:16" x14ac:dyDescent="0.25">
      <c r="A20" s="1017" t="s">
        <v>1068</v>
      </c>
      <c r="B20" s="555" t="s">
        <v>1068</v>
      </c>
      <c r="C20" s="555" t="s">
        <v>1068</v>
      </c>
      <c r="D20" s="555" t="s">
        <v>1068</v>
      </c>
      <c r="E20" s="555" t="s">
        <v>1097</v>
      </c>
      <c r="G20" s="555"/>
      <c r="H20" s="555"/>
      <c r="I20" s="555" t="s">
        <v>1098</v>
      </c>
      <c r="J20" s="555"/>
      <c r="K20" s="555"/>
      <c r="L20" s="1023">
        <v>816545</v>
      </c>
      <c r="P20" s="1022"/>
    </row>
    <row r="21" spans="1:16" x14ac:dyDescent="0.25">
      <c r="A21" s="1017" t="s">
        <v>1068</v>
      </c>
      <c r="B21" s="555" t="s">
        <v>1068</v>
      </c>
      <c r="C21" s="555" t="s">
        <v>1068</v>
      </c>
      <c r="D21" s="555" t="s">
        <v>1068</v>
      </c>
      <c r="E21" s="555" t="s">
        <v>1099</v>
      </c>
      <c r="G21" s="555"/>
      <c r="H21" s="555"/>
      <c r="I21" s="555" t="s">
        <v>1100</v>
      </c>
      <c r="J21" s="555"/>
      <c r="K21" s="555"/>
      <c r="L21" s="1018">
        <v>4655800</v>
      </c>
      <c r="P21" s="1022"/>
    </row>
    <row r="22" spans="1:16" x14ac:dyDescent="0.25">
      <c r="A22" s="1017" t="s">
        <v>1068</v>
      </c>
      <c r="B22" s="555" t="s">
        <v>1068</v>
      </c>
      <c r="C22" s="555" t="s">
        <v>1068</v>
      </c>
      <c r="D22" s="555" t="s">
        <v>1068</v>
      </c>
      <c r="E22" s="555" t="s">
        <v>1101</v>
      </c>
      <c r="G22" s="555"/>
      <c r="H22" s="555"/>
      <c r="I22" s="555" t="s">
        <v>1102</v>
      </c>
      <c r="J22" s="555"/>
      <c r="K22" s="1023"/>
      <c r="L22" s="1019">
        <f>SUM(K23:K24)</f>
        <v>73640899</v>
      </c>
      <c r="P22" s="1022"/>
    </row>
    <row r="23" spans="1:16" x14ac:dyDescent="0.25">
      <c r="A23" s="1017" t="s">
        <v>1068</v>
      </c>
      <c r="B23" s="555" t="s">
        <v>1068</v>
      </c>
      <c r="C23" s="555" t="s">
        <v>1068</v>
      </c>
      <c r="D23" s="555" t="s">
        <v>1068</v>
      </c>
      <c r="E23" s="555" t="s">
        <v>1101</v>
      </c>
      <c r="F23" s="555" t="s">
        <v>1073</v>
      </c>
      <c r="G23" s="555"/>
      <c r="H23" s="555"/>
      <c r="I23" s="555"/>
      <c r="J23" s="555" t="s">
        <v>1103</v>
      </c>
      <c r="K23" s="1023">
        <v>73640898</v>
      </c>
      <c r="L23" s="1019"/>
      <c r="P23" s="1022"/>
    </row>
    <row r="24" spans="1:16" x14ac:dyDescent="0.25">
      <c r="A24" s="1017" t="s">
        <v>1068</v>
      </c>
      <c r="B24" s="555" t="s">
        <v>1068</v>
      </c>
      <c r="C24" s="555" t="s">
        <v>1068</v>
      </c>
      <c r="D24" s="555" t="s">
        <v>1068</v>
      </c>
      <c r="E24" s="555" t="s">
        <v>1101</v>
      </c>
      <c r="F24" s="555" t="s">
        <v>1076</v>
      </c>
      <c r="G24" s="555"/>
      <c r="H24" s="555"/>
      <c r="I24" s="555"/>
      <c r="J24" s="555" t="s">
        <v>1104</v>
      </c>
      <c r="K24" s="1023">
        <v>1</v>
      </c>
      <c r="L24" s="1019"/>
      <c r="P24" s="1022"/>
    </row>
    <row r="25" spans="1:16" x14ac:dyDescent="0.25">
      <c r="A25" s="1017" t="s">
        <v>1068</v>
      </c>
      <c r="B25" s="555" t="s">
        <v>1068</v>
      </c>
      <c r="C25" s="555" t="s">
        <v>1068</v>
      </c>
      <c r="D25" s="555" t="s">
        <v>1068</v>
      </c>
      <c r="E25" s="555" t="s">
        <v>1105</v>
      </c>
      <c r="G25" s="555"/>
      <c r="H25" s="555"/>
      <c r="I25" s="555" t="s">
        <v>1106</v>
      </c>
      <c r="J25" s="555"/>
      <c r="K25" s="555"/>
      <c r="L25" s="1023">
        <v>35440000</v>
      </c>
      <c r="P25" s="1022"/>
    </row>
    <row r="26" spans="1:16" x14ac:dyDescent="0.25">
      <c r="A26" s="1017" t="s">
        <v>1068</v>
      </c>
      <c r="B26" s="555" t="s">
        <v>1068</v>
      </c>
      <c r="C26" s="555" t="s">
        <v>1068</v>
      </c>
      <c r="D26" s="555" t="s">
        <v>1068</v>
      </c>
      <c r="E26" s="555" t="s">
        <v>1107</v>
      </c>
      <c r="G26" s="555"/>
      <c r="H26" s="555"/>
      <c r="I26" s="555" t="s">
        <v>1108</v>
      </c>
      <c r="J26" s="555"/>
      <c r="K26" s="555"/>
      <c r="L26" s="1023">
        <v>1965000</v>
      </c>
      <c r="P26" s="1022"/>
    </row>
    <row r="27" spans="1:16" x14ac:dyDescent="0.25">
      <c r="A27" s="1017" t="s">
        <v>1068</v>
      </c>
      <c r="B27" s="555" t="s">
        <v>1068</v>
      </c>
      <c r="C27" s="555" t="s">
        <v>1068</v>
      </c>
      <c r="D27" s="555" t="s">
        <v>1068</v>
      </c>
      <c r="E27" s="555" t="s">
        <v>1109</v>
      </c>
      <c r="I27" s="362" t="s">
        <v>1110</v>
      </c>
      <c r="K27" s="1023"/>
      <c r="L27" s="1019">
        <f>(K28+K29+K30+K31+K32+K33+K34+K35+K36)</f>
        <v>37780885</v>
      </c>
      <c r="P27" s="1022"/>
    </row>
    <row r="28" spans="1:16" x14ac:dyDescent="0.25">
      <c r="A28" s="1017" t="s">
        <v>1068</v>
      </c>
      <c r="B28" s="555" t="s">
        <v>1068</v>
      </c>
      <c r="C28" s="555" t="s">
        <v>1068</v>
      </c>
      <c r="D28" s="555" t="s">
        <v>1068</v>
      </c>
      <c r="E28" s="555" t="s">
        <v>1109</v>
      </c>
      <c r="F28" s="555" t="s">
        <v>1073</v>
      </c>
      <c r="J28" s="362" t="s">
        <v>1111</v>
      </c>
      <c r="K28" s="1023">
        <v>7550785</v>
      </c>
      <c r="L28" s="1019"/>
      <c r="P28" s="1022"/>
    </row>
    <row r="29" spans="1:16" x14ac:dyDescent="0.25">
      <c r="A29" s="1017" t="s">
        <v>1068</v>
      </c>
      <c r="B29" s="555" t="s">
        <v>1068</v>
      </c>
      <c r="C29" s="555" t="s">
        <v>1068</v>
      </c>
      <c r="D29" s="555" t="s">
        <v>1068</v>
      </c>
      <c r="E29" s="555" t="s">
        <v>1109</v>
      </c>
      <c r="F29" s="555" t="s">
        <v>1076</v>
      </c>
      <c r="G29" s="555"/>
      <c r="H29" s="555"/>
      <c r="I29" s="555"/>
      <c r="J29" s="555" t="s">
        <v>1112</v>
      </c>
      <c r="K29" s="1023">
        <v>5710670</v>
      </c>
      <c r="L29" s="1019"/>
      <c r="P29" s="1022"/>
    </row>
    <row r="30" spans="1:16" x14ac:dyDescent="0.25">
      <c r="A30" s="1017" t="s">
        <v>1068</v>
      </c>
      <c r="B30" s="555" t="s">
        <v>1068</v>
      </c>
      <c r="C30" s="555" t="s">
        <v>1068</v>
      </c>
      <c r="D30" s="555" t="s">
        <v>1068</v>
      </c>
      <c r="E30" s="555" t="s">
        <v>1109</v>
      </c>
      <c r="F30" s="555" t="s">
        <v>1081</v>
      </c>
      <c r="G30" s="555"/>
      <c r="H30" s="555"/>
      <c r="I30" s="555"/>
      <c r="J30" s="555" t="s">
        <v>1113</v>
      </c>
      <c r="K30" s="1023">
        <v>5347500</v>
      </c>
      <c r="L30" s="1019"/>
      <c r="P30" s="1022"/>
    </row>
    <row r="31" spans="1:16" x14ac:dyDescent="0.25">
      <c r="A31" s="1017" t="s">
        <v>1068</v>
      </c>
      <c r="B31" s="555" t="s">
        <v>1068</v>
      </c>
      <c r="C31" s="555" t="s">
        <v>1068</v>
      </c>
      <c r="D31" s="555" t="s">
        <v>1068</v>
      </c>
      <c r="E31" s="555" t="s">
        <v>1109</v>
      </c>
      <c r="F31" s="555" t="s">
        <v>1085</v>
      </c>
      <c r="G31" s="555"/>
      <c r="H31" s="555"/>
      <c r="I31" s="555"/>
      <c r="J31" s="555" t="s">
        <v>1114</v>
      </c>
      <c r="K31" s="1023">
        <v>4095000</v>
      </c>
      <c r="L31" s="1019"/>
      <c r="M31" s="1028"/>
      <c r="P31" s="1022"/>
    </row>
    <row r="32" spans="1:16" x14ac:dyDescent="0.25">
      <c r="A32" s="1017" t="s">
        <v>1068</v>
      </c>
      <c r="B32" s="555" t="s">
        <v>1068</v>
      </c>
      <c r="C32" s="555" t="s">
        <v>1068</v>
      </c>
      <c r="D32" s="555" t="s">
        <v>1068</v>
      </c>
      <c r="E32" s="555" t="s">
        <v>1109</v>
      </c>
      <c r="F32" s="555" t="s">
        <v>1087</v>
      </c>
      <c r="G32" s="555"/>
      <c r="H32" s="555"/>
      <c r="I32" s="555"/>
      <c r="J32" s="555" t="s">
        <v>1115</v>
      </c>
      <c r="K32" s="1023">
        <v>8620450</v>
      </c>
      <c r="L32" s="1019"/>
      <c r="M32" s="1028"/>
      <c r="P32" s="1022"/>
    </row>
    <row r="33" spans="1:16" x14ac:dyDescent="0.25">
      <c r="A33" s="1017" t="s">
        <v>1068</v>
      </c>
      <c r="B33" s="555" t="s">
        <v>1068</v>
      </c>
      <c r="C33" s="555" t="s">
        <v>1068</v>
      </c>
      <c r="D33" s="555" t="s">
        <v>1068</v>
      </c>
      <c r="E33" s="555" t="s">
        <v>1109</v>
      </c>
      <c r="F33" s="555" t="s">
        <v>1089</v>
      </c>
      <c r="G33" s="555"/>
      <c r="H33" s="555"/>
      <c r="I33" s="555"/>
      <c r="J33" s="555" t="s">
        <v>1116</v>
      </c>
      <c r="K33" s="1023">
        <v>3620340</v>
      </c>
      <c r="L33" s="1019"/>
      <c r="M33" s="1028"/>
      <c r="P33" s="1022"/>
    </row>
    <row r="34" spans="1:16" x14ac:dyDescent="0.25">
      <c r="A34" s="1017" t="str">
        <f t="shared" ref="A34:E35" si="0">A33</f>
        <v>1.</v>
      </c>
      <c r="B34" s="555" t="str">
        <f t="shared" si="0"/>
        <v>1.</v>
      </c>
      <c r="C34" s="555" t="str">
        <f t="shared" si="0"/>
        <v>1.</v>
      </c>
      <c r="D34" s="555" t="str">
        <f t="shared" si="0"/>
        <v>1.</v>
      </c>
      <c r="E34" s="555" t="str">
        <f t="shared" si="0"/>
        <v>15.</v>
      </c>
      <c r="F34" s="555" t="s">
        <v>1091</v>
      </c>
      <c r="G34" s="555"/>
      <c r="H34" s="555"/>
      <c r="I34" s="555"/>
      <c r="J34" s="555" t="s">
        <v>1117</v>
      </c>
      <c r="K34" s="1023">
        <v>1705000</v>
      </c>
      <c r="L34" s="1019"/>
      <c r="M34" s="1028"/>
      <c r="P34" s="1022"/>
    </row>
    <row r="35" spans="1:16" x14ac:dyDescent="0.25">
      <c r="A35" s="1017" t="str">
        <f t="shared" si="0"/>
        <v>1.</v>
      </c>
      <c r="B35" s="555" t="str">
        <f t="shared" si="0"/>
        <v>1.</v>
      </c>
      <c r="C35" s="555" t="str">
        <f t="shared" si="0"/>
        <v>1.</v>
      </c>
      <c r="D35" s="555" t="str">
        <f t="shared" si="0"/>
        <v>1.</v>
      </c>
      <c r="E35" s="555" t="str">
        <f t="shared" si="0"/>
        <v>15.</v>
      </c>
      <c r="F35" s="555" t="s">
        <v>1093</v>
      </c>
      <c r="G35" s="555"/>
      <c r="H35" s="555"/>
      <c r="I35" s="555"/>
      <c r="J35" s="555" t="s">
        <v>1118</v>
      </c>
      <c r="K35" s="1023">
        <v>452600</v>
      </c>
      <c r="L35" s="1019"/>
      <c r="M35" s="1028"/>
      <c r="P35" s="1022"/>
    </row>
    <row r="36" spans="1:16" x14ac:dyDescent="0.25">
      <c r="A36" s="1017" t="s">
        <v>1068</v>
      </c>
      <c r="B36" s="555" t="s">
        <v>1068</v>
      </c>
      <c r="C36" s="555" t="s">
        <v>1068</v>
      </c>
      <c r="D36" s="555" t="s">
        <v>1068</v>
      </c>
      <c r="E36" s="555" t="s">
        <v>1109</v>
      </c>
      <c r="F36" s="555" t="s">
        <v>1095</v>
      </c>
      <c r="G36" s="555"/>
      <c r="H36" s="555"/>
      <c r="I36" s="555"/>
      <c r="J36" s="555" t="s">
        <v>1119</v>
      </c>
      <c r="K36" s="1023">
        <v>678540</v>
      </c>
      <c r="L36" s="1019"/>
      <c r="P36" s="1022"/>
    </row>
    <row r="37" spans="1:16" x14ac:dyDescent="0.25">
      <c r="A37" s="1017" t="s">
        <v>1068</v>
      </c>
      <c r="B37" s="555" t="s">
        <v>1068</v>
      </c>
      <c r="C37" s="555" t="s">
        <v>1068</v>
      </c>
      <c r="D37" s="555" t="s">
        <v>1068</v>
      </c>
      <c r="E37" s="555" t="s">
        <v>1120</v>
      </c>
      <c r="G37" s="555"/>
      <c r="H37" s="555"/>
      <c r="I37" s="555" t="s">
        <v>1121</v>
      </c>
      <c r="K37" s="1023"/>
      <c r="L37" s="1019">
        <v>5298500</v>
      </c>
      <c r="P37" s="1022"/>
    </row>
    <row r="38" spans="1:16" x14ac:dyDescent="0.25">
      <c r="A38" s="1017" t="s">
        <v>1068</v>
      </c>
      <c r="B38" s="555" t="s">
        <v>1068</v>
      </c>
      <c r="C38" s="555" t="s">
        <v>1068</v>
      </c>
      <c r="D38" s="555" t="s">
        <v>1068</v>
      </c>
      <c r="E38" s="555" t="s">
        <v>1122</v>
      </c>
      <c r="I38" s="362" t="s">
        <v>1123</v>
      </c>
      <c r="K38" s="1023"/>
      <c r="L38" s="1019">
        <f>SUM(K39:K42)</f>
        <v>203326671</v>
      </c>
      <c r="P38" s="1022"/>
    </row>
    <row r="39" spans="1:16" x14ac:dyDescent="0.25">
      <c r="A39" s="1017" t="s">
        <v>1068</v>
      </c>
      <c r="B39" s="555" t="s">
        <v>1068</v>
      </c>
      <c r="C39" s="555" t="s">
        <v>1068</v>
      </c>
      <c r="D39" s="555" t="s">
        <v>1068</v>
      </c>
      <c r="E39" s="555" t="s">
        <v>1122</v>
      </c>
      <c r="F39" s="555" t="s">
        <v>1073</v>
      </c>
      <c r="J39" s="555" t="s">
        <v>1124</v>
      </c>
      <c r="K39" s="1018">
        <v>1</v>
      </c>
      <c r="L39" s="1029"/>
      <c r="P39" s="1022"/>
    </row>
    <row r="40" spans="1:16" x14ac:dyDescent="0.25">
      <c r="A40" s="1017" t="s">
        <v>1068</v>
      </c>
      <c r="B40" s="555" t="s">
        <v>1068</v>
      </c>
      <c r="C40" s="555" t="s">
        <v>1068</v>
      </c>
      <c r="D40" s="555" t="s">
        <v>1068</v>
      </c>
      <c r="E40" s="555" t="s">
        <v>1122</v>
      </c>
      <c r="F40" s="555" t="s">
        <v>1076</v>
      </c>
      <c r="G40" s="555"/>
      <c r="H40" s="555"/>
      <c r="I40" s="555"/>
      <c r="J40" s="555" t="s">
        <v>1125</v>
      </c>
      <c r="K40" s="1023">
        <v>47910800</v>
      </c>
      <c r="L40" s="1019"/>
      <c r="P40" s="1022"/>
    </row>
    <row r="41" spans="1:16" x14ac:dyDescent="0.25">
      <c r="A41" s="1017" t="s">
        <v>1068</v>
      </c>
      <c r="B41" s="555" t="s">
        <v>1068</v>
      </c>
      <c r="C41" s="555" t="s">
        <v>1068</v>
      </c>
      <c r="D41" s="555" t="s">
        <v>1068</v>
      </c>
      <c r="E41" s="555" t="s">
        <v>1122</v>
      </c>
      <c r="F41" s="555" t="s">
        <v>1081</v>
      </c>
      <c r="G41" s="555"/>
      <c r="H41" s="555"/>
      <c r="I41" s="555"/>
      <c r="J41" s="555" t="s">
        <v>1126</v>
      </c>
      <c r="K41" s="1023">
        <v>155385220</v>
      </c>
      <c r="L41" s="1019"/>
      <c r="P41" s="1022"/>
    </row>
    <row r="42" spans="1:16" ht="11" thickBot="1" x14ac:dyDescent="0.3">
      <c r="A42" s="1017" t="s">
        <v>1068</v>
      </c>
      <c r="B42" s="555" t="s">
        <v>1068</v>
      </c>
      <c r="C42" s="555" t="s">
        <v>1068</v>
      </c>
      <c r="D42" s="555" t="s">
        <v>1068</v>
      </c>
      <c r="E42" s="555" t="s">
        <v>1122</v>
      </c>
      <c r="F42" s="555" t="s">
        <v>1085</v>
      </c>
      <c r="G42" s="555"/>
      <c r="H42" s="555"/>
      <c r="I42" s="555"/>
      <c r="J42" s="555" t="s">
        <v>1127</v>
      </c>
      <c r="K42" s="1023">
        <v>30650</v>
      </c>
      <c r="L42" s="1019"/>
      <c r="P42" s="1022"/>
    </row>
    <row r="43" spans="1:16" ht="11" thickBot="1" x14ac:dyDescent="0.3">
      <c r="A43" s="1030" t="s">
        <v>1068</v>
      </c>
      <c r="B43" s="1031" t="s">
        <v>1068</v>
      </c>
      <c r="C43" s="1031" t="s">
        <v>1068</v>
      </c>
      <c r="D43" s="1031" t="s">
        <v>1128</v>
      </c>
      <c r="E43" s="1032"/>
      <c r="F43" s="1032"/>
      <c r="G43" s="1032"/>
      <c r="H43" s="1032"/>
      <c r="I43" s="1031" t="s">
        <v>1129</v>
      </c>
      <c r="J43" s="1032"/>
      <c r="K43" s="1033"/>
      <c r="L43" s="1034"/>
      <c r="M43" s="1035">
        <f>SUM(L44:L72)</f>
        <v>106498074</v>
      </c>
      <c r="N43" s="1031"/>
      <c r="O43" s="1031"/>
      <c r="P43" s="1036"/>
    </row>
    <row r="44" spans="1:16" s="555" customFormat="1" hidden="1" x14ac:dyDescent="0.25">
      <c r="A44" s="1037"/>
      <c r="B44" s="1038"/>
      <c r="C44" s="1038"/>
      <c r="D44" s="1038"/>
      <c r="E44" s="1039"/>
      <c r="F44" s="1039"/>
      <c r="G44" s="1039"/>
      <c r="H44" s="1039"/>
      <c r="I44" s="1039" t="s">
        <v>1130</v>
      </c>
      <c r="J44" s="1039"/>
      <c r="K44" s="1023"/>
      <c r="L44" s="1019"/>
      <c r="M44" s="989"/>
      <c r="N44" s="1021"/>
      <c r="O44" s="1021"/>
      <c r="P44" s="1022"/>
    </row>
    <row r="45" spans="1:16" s="555" customFormat="1" hidden="1" x14ac:dyDescent="0.25">
      <c r="A45" s="1040"/>
      <c r="B45" s="1021"/>
      <c r="C45" s="1021"/>
      <c r="D45" s="1021"/>
      <c r="I45" s="1021"/>
      <c r="K45" s="1023"/>
      <c r="L45" s="1019"/>
      <c r="M45" s="989"/>
      <c r="N45" s="1021"/>
      <c r="O45" s="1021"/>
      <c r="P45" s="1022"/>
    </row>
    <row r="46" spans="1:16" x14ac:dyDescent="0.25">
      <c r="A46" s="1017" t="s">
        <v>1068</v>
      </c>
      <c r="B46" s="555" t="s">
        <v>1068</v>
      </c>
      <c r="C46" s="555" t="s">
        <v>1068</v>
      </c>
      <c r="D46" s="555" t="s">
        <v>1128</v>
      </c>
      <c r="E46" s="555" t="s">
        <v>1073</v>
      </c>
      <c r="I46" s="362" t="s">
        <v>1131</v>
      </c>
      <c r="K46" s="1023"/>
      <c r="L46" s="1019">
        <f>SUM(K47:K51)</f>
        <v>36951550</v>
      </c>
      <c r="P46" s="1022"/>
    </row>
    <row r="47" spans="1:16" x14ac:dyDescent="0.25">
      <c r="A47" s="1017" t="s">
        <v>1068</v>
      </c>
      <c r="B47" s="555" t="s">
        <v>1068</v>
      </c>
      <c r="C47" s="555" t="s">
        <v>1068</v>
      </c>
      <c r="D47" s="555" t="s">
        <v>1128</v>
      </c>
      <c r="E47" s="555" t="str">
        <f>E46</f>
        <v>01.</v>
      </c>
      <c r="F47" s="555" t="s">
        <v>1073</v>
      </c>
      <c r="J47" s="362" t="s">
        <v>1132</v>
      </c>
      <c r="K47" s="1023">
        <v>34290450</v>
      </c>
      <c r="L47" s="1019"/>
      <c r="P47" s="1022"/>
    </row>
    <row r="48" spans="1:16" x14ac:dyDescent="0.25">
      <c r="A48" s="1017" t="s">
        <v>1068</v>
      </c>
      <c r="B48" s="555" t="s">
        <v>1068</v>
      </c>
      <c r="C48" s="555" t="s">
        <v>1068</v>
      </c>
      <c r="D48" s="555" t="s">
        <v>1128</v>
      </c>
      <c r="E48" s="555" t="str">
        <f>E47</f>
        <v>01.</v>
      </c>
      <c r="F48" s="555" t="s">
        <v>1076</v>
      </c>
      <c r="J48" s="555" t="s">
        <v>1133</v>
      </c>
      <c r="K48" s="1023">
        <v>1785900</v>
      </c>
      <c r="L48" s="1019"/>
      <c r="P48" s="1022"/>
    </row>
    <row r="49" spans="1:16" x14ac:dyDescent="0.25">
      <c r="A49" s="1017" t="s">
        <v>1068</v>
      </c>
      <c r="B49" s="555" t="s">
        <v>1068</v>
      </c>
      <c r="C49" s="555" t="s">
        <v>1068</v>
      </c>
      <c r="D49" s="555" t="s">
        <v>1128</v>
      </c>
      <c r="E49" s="555" t="str">
        <f>E48</f>
        <v>01.</v>
      </c>
      <c r="F49" s="555" t="s">
        <v>1081</v>
      </c>
      <c r="J49" s="555" t="s">
        <v>1134</v>
      </c>
      <c r="K49" s="1023">
        <v>205600</v>
      </c>
      <c r="L49" s="1019"/>
      <c r="P49" s="1022"/>
    </row>
    <row r="50" spans="1:16" x14ac:dyDescent="0.25">
      <c r="A50" s="1017" t="s">
        <v>1068</v>
      </c>
      <c r="B50" s="555" t="s">
        <v>1068</v>
      </c>
      <c r="C50" s="555" t="s">
        <v>1068</v>
      </c>
      <c r="D50" s="555" t="s">
        <v>1128</v>
      </c>
      <c r="E50" s="555" t="str">
        <f>E49</f>
        <v>01.</v>
      </c>
      <c r="F50" s="555" t="s">
        <v>1085</v>
      </c>
      <c r="J50" s="555" t="s">
        <v>1135</v>
      </c>
      <c r="K50" s="1023">
        <v>45600</v>
      </c>
      <c r="L50" s="1019"/>
      <c r="P50" s="1022"/>
    </row>
    <row r="51" spans="1:16" x14ac:dyDescent="0.25">
      <c r="A51" s="1017" t="s">
        <v>1068</v>
      </c>
      <c r="B51" s="555" t="s">
        <v>1068</v>
      </c>
      <c r="C51" s="555" t="s">
        <v>1068</v>
      </c>
      <c r="D51" s="555" t="s">
        <v>1128</v>
      </c>
      <c r="E51" s="555" t="str">
        <f>E50</f>
        <v>01.</v>
      </c>
      <c r="F51" s="555" t="s">
        <v>1087</v>
      </c>
      <c r="J51" s="362" t="s">
        <v>1136</v>
      </c>
      <c r="K51" s="1023">
        <v>624000</v>
      </c>
      <c r="L51" s="1019"/>
      <c r="P51" s="1022"/>
    </row>
    <row r="52" spans="1:16" x14ac:dyDescent="0.25">
      <c r="A52" s="1017" t="s">
        <v>1068</v>
      </c>
      <c r="B52" s="555" t="s">
        <v>1068</v>
      </c>
      <c r="C52" s="555" t="s">
        <v>1068</v>
      </c>
      <c r="D52" s="555" t="s">
        <v>1128</v>
      </c>
      <c r="E52" s="555" t="s">
        <v>1076</v>
      </c>
      <c r="I52" s="362" t="s">
        <v>1137</v>
      </c>
      <c r="J52" s="555"/>
      <c r="K52" s="1023"/>
      <c r="L52" s="1019">
        <f>SUM(K53:K56)</f>
        <v>32092602</v>
      </c>
      <c r="P52" s="1022"/>
    </row>
    <row r="53" spans="1:16" x14ac:dyDescent="0.25">
      <c r="A53" s="1017" t="s">
        <v>1068</v>
      </c>
      <c r="B53" s="555" t="s">
        <v>1068</v>
      </c>
      <c r="C53" s="555" t="s">
        <v>1068</v>
      </c>
      <c r="D53" s="555" t="s">
        <v>1128</v>
      </c>
      <c r="E53" s="555" t="s">
        <v>1076</v>
      </c>
      <c r="F53" s="555" t="s">
        <v>1073</v>
      </c>
      <c r="G53" s="555"/>
      <c r="H53" s="555"/>
      <c r="I53" s="555"/>
      <c r="J53" s="555" t="s">
        <v>1138</v>
      </c>
      <c r="K53" s="1023">
        <v>6850000</v>
      </c>
      <c r="L53" s="1019"/>
      <c r="P53" s="1022"/>
    </row>
    <row r="54" spans="1:16" x14ac:dyDescent="0.25">
      <c r="A54" s="1017" t="s">
        <v>1068</v>
      </c>
      <c r="B54" s="555" t="s">
        <v>1068</v>
      </c>
      <c r="C54" s="555" t="s">
        <v>1068</v>
      </c>
      <c r="D54" s="555" t="s">
        <v>1128</v>
      </c>
      <c r="E54" s="555" t="s">
        <v>1076</v>
      </c>
      <c r="F54" s="555" t="s">
        <v>1076</v>
      </c>
      <c r="G54" s="555"/>
      <c r="H54" s="555"/>
      <c r="I54" s="555"/>
      <c r="J54" s="555" t="s">
        <v>1139</v>
      </c>
      <c r="K54" s="1023">
        <v>1</v>
      </c>
      <c r="L54" s="1019"/>
      <c r="P54" s="1022"/>
    </row>
    <row r="55" spans="1:16" x14ac:dyDescent="0.25">
      <c r="A55" s="1017" t="s">
        <v>1068</v>
      </c>
      <c r="B55" s="555" t="s">
        <v>1068</v>
      </c>
      <c r="C55" s="555" t="s">
        <v>1068</v>
      </c>
      <c r="D55" s="555" t="s">
        <v>1128</v>
      </c>
      <c r="E55" s="555" t="s">
        <v>1076</v>
      </c>
      <c r="F55" s="555" t="s">
        <v>1081</v>
      </c>
      <c r="G55" s="555"/>
      <c r="H55" s="555"/>
      <c r="I55" s="555"/>
      <c r="J55" s="555" t="s">
        <v>1140</v>
      </c>
      <c r="K55" s="1023">
        <v>25242600</v>
      </c>
      <c r="L55" s="1019"/>
      <c r="P55" s="1022"/>
    </row>
    <row r="56" spans="1:16" x14ac:dyDescent="0.25">
      <c r="A56" s="1017" t="s">
        <v>1068</v>
      </c>
      <c r="B56" s="555" t="s">
        <v>1068</v>
      </c>
      <c r="C56" s="555" t="s">
        <v>1068</v>
      </c>
      <c r="D56" s="555" t="s">
        <v>1128</v>
      </c>
      <c r="E56" s="555" t="s">
        <v>1076</v>
      </c>
      <c r="F56" s="555" t="s">
        <v>1085</v>
      </c>
      <c r="G56" s="555"/>
      <c r="H56" s="555"/>
      <c r="I56" s="555"/>
      <c r="J56" s="555" t="s">
        <v>1141</v>
      </c>
      <c r="K56" s="1018">
        <v>1</v>
      </c>
      <c r="L56" s="1019"/>
      <c r="P56" s="1022"/>
    </row>
    <row r="57" spans="1:16" x14ac:dyDescent="0.25">
      <c r="A57" s="1017" t="s">
        <v>1068</v>
      </c>
      <c r="B57" s="555" t="s">
        <v>1068</v>
      </c>
      <c r="C57" s="555" t="s">
        <v>1068</v>
      </c>
      <c r="D57" s="555" t="s">
        <v>1128</v>
      </c>
      <c r="E57" s="555" t="s">
        <v>1081</v>
      </c>
      <c r="I57" s="362" t="s">
        <v>1142</v>
      </c>
      <c r="K57" s="1023"/>
      <c r="L57" s="1019">
        <f>SUM(K58:K61)</f>
        <v>1266500</v>
      </c>
      <c r="P57" s="1022"/>
    </row>
    <row r="58" spans="1:16" x14ac:dyDescent="0.25">
      <c r="A58" s="1017" t="s">
        <v>1068</v>
      </c>
      <c r="B58" s="555" t="s">
        <v>1068</v>
      </c>
      <c r="C58" s="555" t="s">
        <v>1068</v>
      </c>
      <c r="D58" s="555" t="s">
        <v>1128</v>
      </c>
      <c r="E58" s="555" t="s">
        <v>1081</v>
      </c>
      <c r="F58" s="555" t="s">
        <v>1073</v>
      </c>
      <c r="J58" s="555" t="s">
        <v>1143</v>
      </c>
      <c r="K58" s="1023">
        <v>56000</v>
      </c>
      <c r="L58" s="1019"/>
      <c r="P58" s="1022"/>
    </row>
    <row r="59" spans="1:16" ht="11" hidden="1" thickBot="1" x14ac:dyDescent="0.3">
      <c r="A59" s="1017" t="s">
        <v>1068</v>
      </c>
      <c r="B59" s="555" t="s">
        <v>1068</v>
      </c>
      <c r="C59" s="555" t="s">
        <v>1068</v>
      </c>
      <c r="D59" s="555" t="s">
        <v>1128</v>
      </c>
      <c r="E59" s="555" t="s">
        <v>1081</v>
      </c>
      <c r="J59" s="1041" t="s">
        <v>1144</v>
      </c>
      <c r="K59" s="1023">
        <v>0</v>
      </c>
      <c r="L59" s="1019"/>
      <c r="M59" s="1042" t="s">
        <v>1145</v>
      </c>
      <c r="N59" s="1043"/>
      <c r="P59" s="1022"/>
    </row>
    <row r="60" spans="1:16" ht="11" hidden="1" thickBot="1" x14ac:dyDescent="0.3">
      <c r="A60" s="1017" t="s">
        <v>1068</v>
      </c>
      <c r="B60" s="555" t="s">
        <v>1068</v>
      </c>
      <c r="C60" s="555" t="s">
        <v>1068</v>
      </c>
      <c r="D60" s="555" t="s">
        <v>1128</v>
      </c>
      <c r="E60" s="555" t="s">
        <v>1081</v>
      </c>
      <c r="J60" s="1041" t="s">
        <v>1146</v>
      </c>
      <c r="K60" s="1023">
        <v>0</v>
      </c>
      <c r="L60" s="1019"/>
      <c r="M60" s="1042" t="s">
        <v>1145</v>
      </c>
      <c r="N60" s="1043"/>
      <c r="P60" s="1022"/>
    </row>
    <row r="61" spans="1:16" x14ac:dyDescent="0.25">
      <c r="A61" s="1017" t="s">
        <v>1068</v>
      </c>
      <c r="B61" s="555" t="s">
        <v>1068</v>
      </c>
      <c r="C61" s="555" t="s">
        <v>1068</v>
      </c>
      <c r="D61" s="555" t="s">
        <v>1128</v>
      </c>
      <c r="E61" s="555" t="s">
        <v>1081</v>
      </c>
      <c r="F61" s="555" t="s">
        <v>1076</v>
      </c>
      <c r="G61" s="555"/>
      <c r="H61" s="555"/>
      <c r="I61" s="555"/>
      <c r="J61" s="555" t="s">
        <v>1147</v>
      </c>
      <c r="K61" s="1023">
        <v>1210500</v>
      </c>
      <c r="L61" s="1019"/>
      <c r="P61" s="1022"/>
    </row>
    <row r="62" spans="1:16" x14ac:dyDescent="0.25">
      <c r="A62" s="1017" t="s">
        <v>1068</v>
      </c>
      <c r="B62" s="555" t="s">
        <v>1068</v>
      </c>
      <c r="C62" s="555" t="s">
        <v>1068</v>
      </c>
      <c r="D62" s="555" t="s">
        <v>1128</v>
      </c>
      <c r="E62" s="555" t="s">
        <v>1085</v>
      </c>
      <c r="G62" s="555"/>
      <c r="H62" s="555"/>
      <c r="I62" s="555" t="s">
        <v>1148</v>
      </c>
      <c r="J62" s="555"/>
      <c r="K62" s="1023"/>
      <c r="L62" s="1019">
        <f>SUM(K63:K66)</f>
        <v>5667532</v>
      </c>
      <c r="M62" s="1028"/>
      <c r="P62" s="1022"/>
    </row>
    <row r="63" spans="1:16" x14ac:dyDescent="0.25">
      <c r="A63" s="1017" t="s">
        <v>1068</v>
      </c>
      <c r="B63" s="555" t="s">
        <v>1068</v>
      </c>
      <c r="C63" s="555" t="s">
        <v>1068</v>
      </c>
      <c r="D63" s="555" t="s">
        <v>1128</v>
      </c>
      <c r="E63" s="555" t="s">
        <v>1085</v>
      </c>
      <c r="F63" s="555" t="s">
        <v>1073</v>
      </c>
      <c r="G63" s="555"/>
      <c r="H63" s="555"/>
      <c r="I63" s="555"/>
      <c r="J63" s="555" t="s">
        <v>1149</v>
      </c>
      <c r="K63" s="1023">
        <v>358000</v>
      </c>
      <c r="L63" s="1019"/>
      <c r="M63" s="1028"/>
      <c r="P63" s="1022"/>
    </row>
    <row r="64" spans="1:16" x14ac:dyDescent="0.25">
      <c r="A64" s="1017" t="s">
        <v>1068</v>
      </c>
      <c r="B64" s="555" t="s">
        <v>1068</v>
      </c>
      <c r="C64" s="555" t="s">
        <v>1068</v>
      </c>
      <c r="D64" s="555" t="s">
        <v>1128</v>
      </c>
      <c r="E64" s="555" t="s">
        <v>1085</v>
      </c>
      <c r="F64" s="555" t="s">
        <v>1076</v>
      </c>
      <c r="G64" s="555"/>
      <c r="H64" s="555"/>
      <c r="I64" s="555"/>
      <c r="J64" s="555" t="s">
        <v>1150</v>
      </c>
      <c r="K64" s="1023">
        <v>2860832</v>
      </c>
      <c r="L64" s="1019"/>
      <c r="M64" s="1028"/>
      <c r="P64" s="1022"/>
    </row>
    <row r="65" spans="1:159" hidden="1" x14ac:dyDescent="0.25">
      <c r="A65" s="1017" t="s">
        <v>1068</v>
      </c>
      <c r="B65" s="555" t="s">
        <v>1068</v>
      </c>
      <c r="C65" s="555" t="s">
        <v>1068</v>
      </c>
      <c r="D65" s="555" t="s">
        <v>1128</v>
      </c>
      <c r="E65" s="555" t="s">
        <v>1085</v>
      </c>
      <c r="F65" s="555" t="s">
        <v>1081</v>
      </c>
      <c r="G65" s="555"/>
      <c r="H65" s="555"/>
      <c r="I65" s="555"/>
      <c r="J65" s="555" t="s">
        <v>1151</v>
      </c>
      <c r="K65" s="1023">
        <v>0</v>
      </c>
      <c r="L65" s="1019"/>
      <c r="M65" s="1028"/>
      <c r="P65" s="1022"/>
    </row>
    <row r="66" spans="1:159" x14ac:dyDescent="0.25">
      <c r="A66" s="1017" t="s">
        <v>1068</v>
      </c>
      <c r="B66" s="555" t="s">
        <v>1068</v>
      </c>
      <c r="C66" s="555" t="s">
        <v>1068</v>
      </c>
      <c r="D66" s="555" t="s">
        <v>1128</v>
      </c>
      <c r="E66" s="555" t="s">
        <v>1085</v>
      </c>
      <c r="F66" s="555" t="s">
        <v>1085</v>
      </c>
      <c r="G66" s="555"/>
      <c r="H66" s="555"/>
      <c r="I66" s="555"/>
      <c r="J66" s="555" t="s">
        <v>1152</v>
      </c>
      <c r="K66" s="1023">
        <v>2448700</v>
      </c>
      <c r="L66" s="1019"/>
      <c r="M66" s="1028"/>
      <c r="P66" s="1022"/>
    </row>
    <row r="67" spans="1:159" x14ac:dyDescent="0.25">
      <c r="A67" s="1017" t="s">
        <v>1068</v>
      </c>
      <c r="B67" s="555" t="s">
        <v>1068</v>
      </c>
      <c r="C67" s="555" t="s">
        <v>1068</v>
      </c>
      <c r="D67" s="555" t="s">
        <v>1128</v>
      </c>
      <c r="E67" s="555" t="s">
        <v>1087</v>
      </c>
      <c r="G67" s="555"/>
      <c r="H67" s="555"/>
      <c r="I67" s="555" t="s">
        <v>1153</v>
      </c>
      <c r="J67" s="555"/>
      <c r="K67" s="1023"/>
      <c r="L67" s="1019">
        <f>SUM(K68:K73)</f>
        <v>30519890</v>
      </c>
      <c r="M67" s="1028"/>
      <c r="P67" s="1022"/>
    </row>
    <row r="68" spans="1:159" x14ac:dyDescent="0.25">
      <c r="A68" s="1017" t="s">
        <v>1068</v>
      </c>
      <c r="B68" s="555" t="s">
        <v>1068</v>
      </c>
      <c r="C68" s="555" t="s">
        <v>1068</v>
      </c>
      <c r="D68" s="555" t="s">
        <v>1128</v>
      </c>
      <c r="E68" s="555" t="s">
        <v>1087</v>
      </c>
      <c r="F68" s="555" t="s">
        <v>1073</v>
      </c>
      <c r="G68" s="555"/>
      <c r="H68" s="555"/>
      <c r="I68" s="555"/>
      <c r="J68" s="555" t="s">
        <v>1154</v>
      </c>
      <c r="K68" s="1023">
        <v>3658790</v>
      </c>
      <c r="L68" s="1019"/>
      <c r="M68" s="1028"/>
      <c r="P68" s="1022"/>
    </row>
    <row r="69" spans="1:159" x14ac:dyDescent="0.25">
      <c r="A69" s="1017" t="s">
        <v>1068</v>
      </c>
      <c r="B69" s="555" t="s">
        <v>1068</v>
      </c>
      <c r="C69" s="555" t="s">
        <v>1068</v>
      </c>
      <c r="D69" s="555" t="s">
        <v>1128</v>
      </c>
      <c r="E69" s="555" t="s">
        <v>1087</v>
      </c>
      <c r="F69" s="555" t="s">
        <v>1076</v>
      </c>
      <c r="G69" s="555"/>
      <c r="H69" s="555"/>
      <c r="I69" s="555"/>
      <c r="J69" s="555" t="s">
        <v>1155</v>
      </c>
      <c r="K69" s="1023">
        <v>2450600</v>
      </c>
      <c r="L69" s="1019"/>
      <c r="M69" s="1028"/>
      <c r="P69" s="1022"/>
    </row>
    <row r="70" spans="1:159" x14ac:dyDescent="0.25">
      <c r="A70" s="1017" t="s">
        <v>1068</v>
      </c>
      <c r="B70" s="555" t="s">
        <v>1068</v>
      </c>
      <c r="C70" s="555" t="s">
        <v>1068</v>
      </c>
      <c r="D70" s="555" t="s">
        <v>1128</v>
      </c>
      <c r="E70" s="555" t="s">
        <v>1087</v>
      </c>
      <c r="F70" s="555" t="s">
        <v>1081</v>
      </c>
      <c r="G70" s="555"/>
      <c r="H70" s="555"/>
      <c r="I70" s="555"/>
      <c r="J70" s="555" t="s">
        <v>1156</v>
      </c>
      <c r="K70" s="1023">
        <v>60000</v>
      </c>
      <c r="L70" s="1019"/>
      <c r="M70" s="1028"/>
      <c r="P70" s="1022"/>
    </row>
    <row r="71" spans="1:159" hidden="1" x14ac:dyDescent="0.25">
      <c r="A71" s="1044" t="s">
        <v>1068</v>
      </c>
      <c r="B71" s="1045" t="s">
        <v>1068</v>
      </c>
      <c r="C71" s="1045" t="s">
        <v>1068</v>
      </c>
      <c r="D71" s="1045" t="s">
        <v>1128</v>
      </c>
      <c r="E71" s="555" t="s">
        <v>1087</v>
      </c>
      <c r="F71" s="1045"/>
      <c r="G71" s="1045"/>
      <c r="H71" s="1045"/>
      <c r="I71" s="1045"/>
      <c r="J71" s="1043" t="s">
        <v>1157</v>
      </c>
      <c r="K71" s="1018">
        <v>0</v>
      </c>
      <c r="M71" s="1046" t="s">
        <v>1158</v>
      </c>
      <c r="N71" s="1047"/>
      <c r="O71" s="1043"/>
      <c r="P71" s="1048"/>
    </row>
    <row r="72" spans="1:159" x14ac:dyDescent="0.25">
      <c r="A72" s="1017" t="s">
        <v>1068</v>
      </c>
      <c r="B72" s="555" t="s">
        <v>1068</v>
      </c>
      <c r="C72" s="555" t="s">
        <v>1068</v>
      </c>
      <c r="D72" s="555" t="s">
        <v>1128</v>
      </c>
      <c r="E72" s="555" t="s">
        <v>1087</v>
      </c>
      <c r="F72" s="1049" t="s">
        <v>1085</v>
      </c>
      <c r="G72" s="555"/>
      <c r="H72" s="555"/>
      <c r="I72" s="555"/>
      <c r="J72" s="555" t="s">
        <v>1159</v>
      </c>
      <c r="K72" s="1023">
        <v>2150500</v>
      </c>
      <c r="L72" s="1019"/>
      <c r="M72" s="1028"/>
      <c r="P72" s="1022"/>
    </row>
    <row r="73" spans="1:159" ht="11" thickBot="1" x14ac:dyDescent="0.3">
      <c r="A73" s="1017" t="s">
        <v>1068</v>
      </c>
      <c r="B73" s="555" t="s">
        <v>1068</v>
      </c>
      <c r="C73" s="555" t="s">
        <v>1068</v>
      </c>
      <c r="D73" s="555" t="s">
        <v>1128</v>
      </c>
      <c r="E73" s="555" t="s">
        <v>1087</v>
      </c>
      <c r="F73" s="1049">
        <v>6</v>
      </c>
      <c r="G73" s="555"/>
      <c r="H73" s="555"/>
      <c r="I73" s="555"/>
      <c r="J73" s="555" t="s">
        <v>1160</v>
      </c>
      <c r="K73" s="1023">
        <f>(1850000*12)</f>
        <v>22200000</v>
      </c>
      <c r="L73" s="1019"/>
      <c r="M73" s="1028"/>
      <c r="P73" s="1022"/>
    </row>
    <row r="74" spans="1:159" s="1058" customFormat="1" ht="11" thickBot="1" x14ac:dyDescent="0.3">
      <c r="A74" s="1050" t="s">
        <v>1068</v>
      </c>
      <c r="B74" s="1051" t="s">
        <v>1068</v>
      </c>
      <c r="C74" s="1051" t="s">
        <v>1128</v>
      </c>
      <c r="D74" s="1051"/>
      <c r="E74" s="1051"/>
      <c r="F74" s="1052"/>
      <c r="G74" s="1052"/>
      <c r="H74" s="1051" t="s">
        <v>1161</v>
      </c>
      <c r="I74" s="1052"/>
      <c r="J74" s="1052"/>
      <c r="K74" s="1053"/>
      <c r="L74" s="1054"/>
      <c r="M74" s="1055"/>
      <c r="N74" s="1056">
        <f>SUM(M75:M88)</f>
        <v>828630710</v>
      </c>
      <c r="O74" s="1051"/>
      <c r="P74" s="1057"/>
      <c r="Q74" s="1008"/>
      <c r="R74" s="1008"/>
      <c r="S74" s="1008"/>
      <c r="T74" s="1008"/>
      <c r="U74" s="1008"/>
      <c r="V74" s="1008"/>
      <c r="W74" s="1008"/>
      <c r="X74" s="1008"/>
      <c r="Y74" s="1008"/>
      <c r="Z74" s="1008"/>
      <c r="AA74" s="1008"/>
      <c r="AB74" s="1008"/>
      <c r="AC74" s="1008"/>
      <c r="AD74" s="1008"/>
      <c r="AE74" s="1008"/>
      <c r="AF74" s="1008"/>
      <c r="AG74" s="1008"/>
      <c r="AH74" s="1008"/>
      <c r="AI74" s="1008"/>
      <c r="AJ74" s="1008"/>
      <c r="AK74" s="1008"/>
      <c r="AL74" s="1008"/>
      <c r="AM74" s="1008"/>
      <c r="AN74" s="1008"/>
      <c r="AO74" s="1008"/>
      <c r="AP74" s="1008"/>
      <c r="AQ74" s="1008"/>
      <c r="AR74" s="1008"/>
      <c r="AS74" s="1008"/>
      <c r="AT74" s="1008"/>
      <c r="AU74" s="1008"/>
      <c r="AV74" s="1008"/>
      <c r="AW74" s="1008"/>
      <c r="AX74" s="1008"/>
      <c r="AY74" s="1008"/>
      <c r="AZ74" s="1008"/>
      <c r="BA74" s="1008"/>
      <c r="BB74" s="1008"/>
      <c r="BC74" s="1008"/>
      <c r="BD74" s="1008"/>
      <c r="BE74" s="1008"/>
      <c r="BF74" s="1008"/>
      <c r="BG74" s="1008"/>
      <c r="BH74" s="1008"/>
      <c r="BI74" s="1008"/>
      <c r="BJ74" s="1008"/>
      <c r="BK74" s="1008"/>
      <c r="BL74" s="1008"/>
      <c r="BM74" s="1008"/>
      <c r="BN74" s="1008"/>
      <c r="BO74" s="1008"/>
      <c r="BP74" s="1008"/>
      <c r="BQ74" s="1008"/>
      <c r="BR74" s="1008"/>
      <c r="BS74" s="1008"/>
      <c r="BT74" s="1008"/>
      <c r="BU74" s="1008"/>
      <c r="BV74" s="1008"/>
      <c r="BW74" s="1008"/>
      <c r="BX74" s="1008"/>
      <c r="BY74" s="1008"/>
      <c r="BZ74" s="1008"/>
      <c r="CA74" s="1008"/>
      <c r="CB74" s="1008"/>
      <c r="CC74" s="1008"/>
      <c r="CD74" s="1008"/>
      <c r="CE74" s="1008"/>
      <c r="CF74" s="1008"/>
      <c r="CG74" s="1008"/>
      <c r="CH74" s="1008"/>
      <c r="CI74" s="1008"/>
      <c r="CJ74" s="1008"/>
      <c r="CK74" s="1008"/>
      <c r="CL74" s="1008"/>
      <c r="CM74" s="1008"/>
      <c r="CN74" s="1008"/>
      <c r="CO74" s="1008"/>
      <c r="CP74" s="1008"/>
      <c r="CQ74" s="1008"/>
      <c r="CR74" s="1008"/>
      <c r="CS74" s="1008"/>
      <c r="CT74" s="1008"/>
      <c r="CU74" s="1008"/>
      <c r="CV74" s="1008"/>
      <c r="CW74" s="1008"/>
      <c r="CX74" s="1008"/>
      <c r="CY74" s="1008"/>
      <c r="CZ74" s="1008"/>
      <c r="DA74" s="1008"/>
      <c r="DB74" s="1008"/>
      <c r="DC74" s="1008"/>
      <c r="DD74" s="1008"/>
      <c r="DE74" s="1008"/>
      <c r="DF74" s="1008"/>
      <c r="DG74" s="1008"/>
      <c r="DH74" s="1008"/>
      <c r="DI74" s="1008"/>
      <c r="DJ74" s="1008"/>
      <c r="DK74" s="1008"/>
      <c r="DL74" s="1008"/>
      <c r="DM74" s="1008"/>
      <c r="DN74" s="1008"/>
      <c r="DO74" s="1008"/>
      <c r="DP74" s="1008"/>
      <c r="DQ74" s="1008"/>
      <c r="DR74" s="1008"/>
      <c r="DS74" s="1008"/>
      <c r="DT74" s="1008"/>
      <c r="DU74" s="1008"/>
      <c r="DV74" s="1008"/>
      <c r="DW74" s="1008"/>
      <c r="DX74" s="1008"/>
      <c r="DY74" s="1008"/>
      <c r="DZ74" s="1008"/>
      <c r="EA74" s="1008"/>
      <c r="EB74" s="1008"/>
      <c r="EC74" s="1008"/>
      <c r="ED74" s="1008"/>
      <c r="EE74" s="1008"/>
      <c r="EF74" s="1008"/>
      <c r="EG74" s="1008"/>
      <c r="EH74" s="1008"/>
      <c r="EI74" s="1008"/>
      <c r="EJ74" s="1008"/>
      <c r="EK74" s="1008"/>
      <c r="EL74" s="1008"/>
      <c r="EM74" s="1008"/>
      <c r="EN74" s="1008"/>
      <c r="EO74" s="1008"/>
      <c r="EP74" s="1008"/>
      <c r="EQ74" s="1008"/>
      <c r="ER74" s="1008"/>
      <c r="ES74" s="1008"/>
      <c r="ET74" s="1008"/>
      <c r="EU74" s="1008"/>
      <c r="EV74" s="1008"/>
      <c r="EW74" s="1008"/>
      <c r="EX74" s="1008"/>
      <c r="EY74" s="1008"/>
      <c r="EZ74" s="1008"/>
      <c r="FA74" s="1008"/>
      <c r="FB74" s="1008"/>
      <c r="FC74" s="1008"/>
    </row>
    <row r="75" spans="1:159" ht="11" thickBot="1" x14ac:dyDescent="0.3">
      <c r="A75" s="1030" t="s">
        <v>1068</v>
      </c>
      <c r="B75" s="1031" t="s">
        <v>1068</v>
      </c>
      <c r="C75" s="1031" t="s">
        <v>1128</v>
      </c>
      <c r="D75" s="1031" t="s">
        <v>1068</v>
      </c>
      <c r="E75" s="1031"/>
      <c r="F75" s="1032"/>
      <c r="G75" s="1032"/>
      <c r="H75" s="1032"/>
      <c r="I75" s="1031" t="s">
        <v>1162</v>
      </c>
      <c r="J75" s="1032"/>
      <c r="K75" s="1033"/>
      <c r="L75" s="1034"/>
      <c r="M75" s="1059">
        <f>SUM(L76:L87)</f>
        <v>65870004</v>
      </c>
      <c r="N75" s="1031"/>
      <c r="O75" s="1031"/>
      <c r="P75" s="1036"/>
    </row>
    <row r="76" spans="1:159" x14ac:dyDescent="0.25">
      <c r="A76" s="1017" t="s">
        <v>1068</v>
      </c>
      <c r="B76" s="555" t="s">
        <v>1068</v>
      </c>
      <c r="C76" s="555" t="s">
        <v>1128</v>
      </c>
      <c r="D76" s="555" t="s">
        <v>1068</v>
      </c>
      <c r="E76" s="555" t="s">
        <v>1073</v>
      </c>
      <c r="G76" s="555"/>
      <c r="H76" s="555"/>
      <c r="I76" s="555" t="s">
        <v>1163</v>
      </c>
      <c r="J76" s="555"/>
      <c r="K76" s="1023"/>
      <c r="L76" s="1019">
        <f>SUM(K83:K85)</f>
        <v>65870002</v>
      </c>
      <c r="M76" s="1028"/>
      <c r="P76" s="1022"/>
    </row>
    <row r="77" spans="1:159" hidden="1" x14ac:dyDescent="0.25">
      <c r="A77" s="1017" t="s">
        <v>1068</v>
      </c>
      <c r="B77" s="555" t="s">
        <v>1068</v>
      </c>
      <c r="C77" s="555" t="s">
        <v>1128</v>
      </c>
      <c r="D77" s="555" t="s">
        <v>1068</v>
      </c>
      <c r="E77" s="555" t="s">
        <v>1073</v>
      </c>
      <c r="J77" s="362" t="s">
        <v>1164</v>
      </c>
      <c r="K77" s="1023"/>
      <c r="L77" s="1019"/>
      <c r="M77" s="1028"/>
      <c r="P77" s="1022"/>
    </row>
    <row r="78" spans="1:159" hidden="1" x14ac:dyDescent="0.25">
      <c r="A78" s="1017" t="s">
        <v>1068</v>
      </c>
      <c r="B78" s="555" t="s">
        <v>1068</v>
      </c>
      <c r="C78" s="555" t="s">
        <v>1128</v>
      </c>
      <c r="D78" s="555" t="s">
        <v>1068</v>
      </c>
      <c r="E78" s="555" t="s">
        <v>1073</v>
      </c>
      <c r="J78" s="362" t="s">
        <v>1165</v>
      </c>
      <c r="K78" s="1023"/>
      <c r="L78" s="1019"/>
      <c r="M78" s="1028"/>
      <c r="P78" s="1022"/>
    </row>
    <row r="79" spans="1:159" hidden="1" x14ac:dyDescent="0.25">
      <c r="A79" s="1017" t="s">
        <v>1068</v>
      </c>
      <c r="B79" s="555" t="s">
        <v>1068</v>
      </c>
      <c r="C79" s="555" t="s">
        <v>1128</v>
      </c>
      <c r="D79" s="555" t="s">
        <v>1068</v>
      </c>
      <c r="E79" s="555" t="s">
        <v>1073</v>
      </c>
      <c r="J79" s="362" t="s">
        <v>1166</v>
      </c>
      <c r="K79" s="1023"/>
      <c r="L79" s="1019"/>
      <c r="M79" s="1028"/>
      <c r="P79" s="1022"/>
    </row>
    <row r="80" spans="1:159" hidden="1" x14ac:dyDescent="0.25">
      <c r="A80" s="1017" t="s">
        <v>1068</v>
      </c>
      <c r="B80" s="555" t="s">
        <v>1068</v>
      </c>
      <c r="C80" s="555" t="s">
        <v>1128</v>
      </c>
      <c r="D80" s="555" t="s">
        <v>1068</v>
      </c>
      <c r="E80" s="555" t="s">
        <v>1073</v>
      </c>
      <c r="J80" s="362" t="s">
        <v>1167</v>
      </c>
      <c r="K80" s="1023"/>
      <c r="L80" s="1019"/>
      <c r="M80" s="1028"/>
      <c r="P80" s="1022"/>
    </row>
    <row r="81" spans="1:159" hidden="1" x14ac:dyDescent="0.25">
      <c r="A81" s="1017" t="s">
        <v>1068</v>
      </c>
      <c r="B81" s="555" t="s">
        <v>1068</v>
      </c>
      <c r="C81" s="555" t="s">
        <v>1128</v>
      </c>
      <c r="D81" s="555" t="s">
        <v>1068</v>
      </c>
      <c r="E81" s="555" t="s">
        <v>1073</v>
      </c>
      <c r="G81" s="555"/>
      <c r="H81" s="555"/>
      <c r="J81" s="555" t="s">
        <v>1168</v>
      </c>
      <c r="K81" s="1023"/>
      <c r="L81" s="1019"/>
      <c r="M81" s="1028"/>
      <c r="P81" s="1022"/>
    </row>
    <row r="82" spans="1:159" hidden="1" x14ac:dyDescent="0.25">
      <c r="A82" s="1017" t="s">
        <v>1068</v>
      </c>
      <c r="B82" s="555" t="s">
        <v>1068</v>
      </c>
      <c r="C82" s="555" t="s">
        <v>1128</v>
      </c>
      <c r="D82" s="555" t="s">
        <v>1068</v>
      </c>
      <c r="E82" s="555" t="s">
        <v>1073</v>
      </c>
      <c r="J82" s="362" t="s">
        <v>1169</v>
      </c>
      <c r="K82" s="1023"/>
      <c r="L82" s="1019"/>
      <c r="M82" s="1028"/>
      <c r="P82" s="1022"/>
    </row>
    <row r="83" spans="1:159" x14ac:dyDescent="0.25">
      <c r="A83" s="1017" t="s">
        <v>1068</v>
      </c>
      <c r="B83" s="555" t="s">
        <v>1068</v>
      </c>
      <c r="C83" s="555" t="s">
        <v>1128</v>
      </c>
      <c r="D83" s="555" t="s">
        <v>1068</v>
      </c>
      <c r="E83" s="555" t="s">
        <v>1073</v>
      </c>
      <c r="F83" s="555" t="s">
        <v>1073</v>
      </c>
      <c r="J83" s="555" t="s">
        <v>1170</v>
      </c>
      <c r="K83" s="1023">
        <v>65870000</v>
      </c>
      <c r="L83" s="1019"/>
      <c r="M83" s="1028"/>
      <c r="P83" s="1022"/>
    </row>
    <row r="84" spans="1:159" x14ac:dyDescent="0.25">
      <c r="A84" s="1017" t="s">
        <v>1068</v>
      </c>
      <c r="B84" s="555" t="s">
        <v>1068</v>
      </c>
      <c r="C84" s="555" t="s">
        <v>1128</v>
      </c>
      <c r="D84" s="555" t="s">
        <v>1068</v>
      </c>
      <c r="E84" s="555" t="s">
        <v>1073</v>
      </c>
      <c r="F84" s="555" t="s">
        <v>1076</v>
      </c>
      <c r="J84" s="555" t="s">
        <v>1171</v>
      </c>
      <c r="K84" s="1023">
        <v>1</v>
      </c>
      <c r="L84" s="1019"/>
      <c r="M84" s="1028"/>
      <c r="P84" s="1022"/>
    </row>
    <row r="85" spans="1:159" x14ac:dyDescent="0.25">
      <c r="A85" s="1017" t="s">
        <v>1068</v>
      </c>
      <c r="B85" s="555" t="s">
        <v>1068</v>
      </c>
      <c r="C85" s="555" t="s">
        <v>1128</v>
      </c>
      <c r="D85" s="555" t="s">
        <v>1068</v>
      </c>
      <c r="E85" s="555" t="s">
        <v>1073</v>
      </c>
      <c r="F85" s="555" t="s">
        <v>1081</v>
      </c>
      <c r="J85" s="555" t="s">
        <v>1172</v>
      </c>
      <c r="K85" s="1018">
        <v>1</v>
      </c>
      <c r="L85" s="1019"/>
      <c r="M85" s="1029"/>
      <c r="P85" s="1022"/>
    </row>
    <row r="86" spans="1:159" x14ac:dyDescent="0.25">
      <c r="A86" s="1017" t="s">
        <v>1068</v>
      </c>
      <c r="B86" s="555" t="s">
        <v>1068</v>
      </c>
      <c r="C86" s="555" t="s">
        <v>1128</v>
      </c>
      <c r="D86" s="555" t="s">
        <v>1068</v>
      </c>
      <c r="E86" s="555" t="s">
        <v>1076</v>
      </c>
      <c r="I86" s="362" t="s">
        <v>1173</v>
      </c>
      <c r="K86" s="1023"/>
      <c r="L86" s="1019">
        <v>1</v>
      </c>
      <c r="M86" s="1028"/>
      <c r="P86" s="1022"/>
    </row>
    <row r="87" spans="1:159" ht="11" thickBot="1" x14ac:dyDescent="0.3">
      <c r="A87" s="1017" t="s">
        <v>1068</v>
      </c>
      <c r="B87" s="555" t="s">
        <v>1068</v>
      </c>
      <c r="C87" s="555" t="s">
        <v>1128</v>
      </c>
      <c r="D87" s="555" t="s">
        <v>1068</v>
      </c>
      <c r="E87" s="555" t="s">
        <v>1081</v>
      </c>
      <c r="I87" s="555" t="s">
        <v>1174</v>
      </c>
      <c r="J87" s="555"/>
      <c r="K87" s="1023"/>
      <c r="L87" s="1019">
        <v>1</v>
      </c>
      <c r="M87" s="1028"/>
      <c r="P87" s="1022"/>
    </row>
    <row r="88" spans="1:159" ht="11" thickBot="1" x14ac:dyDescent="0.3">
      <c r="A88" s="1030" t="s">
        <v>1068</v>
      </c>
      <c r="B88" s="1031" t="s">
        <v>1068</v>
      </c>
      <c r="C88" s="1031" t="s">
        <v>1128</v>
      </c>
      <c r="D88" s="1031" t="s">
        <v>1128</v>
      </c>
      <c r="E88" s="1032"/>
      <c r="F88" s="1032"/>
      <c r="G88" s="1032"/>
      <c r="H88" s="1032"/>
      <c r="I88" s="1031" t="s">
        <v>1175</v>
      </c>
      <c r="J88" s="1032"/>
      <c r="K88" s="1033"/>
      <c r="L88" s="1034"/>
      <c r="M88" s="1059">
        <f>SUM(L89:L92)</f>
        <v>762760706</v>
      </c>
      <c r="N88" s="1033"/>
      <c r="O88" s="1033"/>
      <c r="P88" s="1060"/>
    </row>
    <row r="89" spans="1:159" x14ac:dyDescent="0.25">
      <c r="A89" s="1061" t="s">
        <v>1068</v>
      </c>
      <c r="B89" s="1062" t="s">
        <v>1068</v>
      </c>
      <c r="C89" s="1062" t="s">
        <v>1128</v>
      </c>
      <c r="D89" s="1062" t="s">
        <v>1128</v>
      </c>
      <c r="E89" s="1062" t="s">
        <v>1073</v>
      </c>
      <c r="F89" s="1062"/>
      <c r="G89" s="1063"/>
      <c r="H89" s="1063"/>
      <c r="I89" s="1063" t="s">
        <v>1176</v>
      </c>
      <c r="J89" s="1063"/>
      <c r="K89" s="1064"/>
      <c r="L89" s="1065">
        <v>670653805</v>
      </c>
      <c r="M89" s="1066"/>
      <c r="N89" s="1067"/>
      <c r="O89" s="1067"/>
      <c r="P89" s="1068"/>
      <c r="Q89" s="989"/>
      <c r="R89" s="1021"/>
      <c r="S89" s="1021"/>
      <c r="T89" s="1021"/>
    </row>
    <row r="90" spans="1:159" x14ac:dyDescent="0.25">
      <c r="A90" s="1017" t="s">
        <v>1068</v>
      </c>
      <c r="B90" s="555" t="s">
        <v>1068</v>
      </c>
      <c r="C90" s="555" t="s">
        <v>1128</v>
      </c>
      <c r="D90" s="555" t="s">
        <v>1128</v>
      </c>
      <c r="E90" s="555" t="s">
        <v>1076</v>
      </c>
      <c r="G90" s="555"/>
      <c r="H90" s="555"/>
      <c r="I90" s="555" t="s">
        <v>1177</v>
      </c>
      <c r="J90" s="555"/>
      <c r="K90" s="1023"/>
      <c r="L90" s="1019">
        <v>1</v>
      </c>
      <c r="M90" s="1028"/>
      <c r="P90" s="1022"/>
    </row>
    <row r="91" spans="1:159" x14ac:dyDescent="0.25">
      <c r="A91" s="1017" t="s">
        <v>1068</v>
      </c>
      <c r="B91" s="555" t="s">
        <v>1068</v>
      </c>
      <c r="C91" s="555" t="s">
        <v>1128</v>
      </c>
      <c r="D91" s="555" t="s">
        <v>1128</v>
      </c>
      <c r="E91" s="555" t="s">
        <v>1081</v>
      </c>
      <c r="I91" s="362" t="s">
        <v>1178</v>
      </c>
      <c r="K91" s="1023"/>
      <c r="L91" s="1019">
        <v>84050600</v>
      </c>
      <c r="M91" s="1028"/>
      <c r="P91" s="1022"/>
    </row>
    <row r="92" spans="1:159" ht="11" thickBot="1" x14ac:dyDescent="0.3">
      <c r="A92" s="1069" t="str">
        <f>A91</f>
        <v>1.</v>
      </c>
      <c r="B92" s="1070" t="str">
        <f>B91</f>
        <v>1.</v>
      </c>
      <c r="C92" s="1070" t="str">
        <f>C91</f>
        <v>2.</v>
      </c>
      <c r="D92" s="1070" t="str">
        <f>D91</f>
        <v>2.</v>
      </c>
      <c r="E92" s="1070" t="s">
        <v>1085</v>
      </c>
      <c r="F92" s="1070"/>
      <c r="G92" s="1070"/>
      <c r="H92" s="1070"/>
      <c r="I92" s="1070" t="s">
        <v>1179</v>
      </c>
      <c r="J92" s="1071"/>
      <c r="K92" s="1072"/>
      <c r="L92" s="1073">
        <v>8056300</v>
      </c>
      <c r="M92" s="1074"/>
      <c r="N92" s="1071"/>
      <c r="O92" s="1071"/>
      <c r="P92" s="1075"/>
      <c r="Q92" s="1021"/>
      <c r="R92" s="1021"/>
      <c r="S92" s="1021"/>
    </row>
    <row r="93" spans="1:159" ht="11" thickBot="1" x14ac:dyDescent="0.3">
      <c r="A93" s="992" t="s">
        <v>1068</v>
      </c>
      <c r="B93" s="993" t="s">
        <v>1128</v>
      </c>
      <c r="C93" s="993"/>
      <c r="D93" s="993"/>
      <c r="E93" s="993"/>
      <c r="F93" s="993"/>
      <c r="G93" s="993" t="s">
        <v>1180</v>
      </c>
      <c r="H93" s="994"/>
      <c r="I93" s="994"/>
      <c r="J93" s="994"/>
      <c r="K93" s="1076"/>
      <c r="L93" s="996"/>
      <c r="M93" s="997"/>
      <c r="N93" s="993"/>
      <c r="O93" s="998">
        <f>SUM(N94:N106)</f>
        <v>59060004</v>
      </c>
      <c r="P93" s="999"/>
    </row>
    <row r="94" spans="1:159" s="1058" customFormat="1" ht="11" thickBot="1" x14ac:dyDescent="0.3">
      <c r="A94" s="1077" t="s">
        <v>1068</v>
      </c>
      <c r="B94" s="1078" t="s">
        <v>1128</v>
      </c>
      <c r="C94" s="1078" t="s">
        <v>1068</v>
      </c>
      <c r="D94" s="1078"/>
      <c r="E94" s="1079"/>
      <c r="F94" s="1079"/>
      <c r="G94" s="1079"/>
      <c r="H94" s="1078" t="s">
        <v>1181</v>
      </c>
      <c r="I94" s="1079"/>
      <c r="J94" s="1079"/>
      <c r="K94" s="1080"/>
      <c r="L94" s="1081"/>
      <c r="M94" s="1082"/>
      <c r="N94" s="1083">
        <f>SUM(M95)</f>
        <v>60001</v>
      </c>
      <c r="O94" s="1078"/>
      <c r="P94" s="1084"/>
      <c r="Q94" s="1008"/>
      <c r="R94" s="1008"/>
      <c r="S94" s="1008"/>
      <c r="T94" s="1008"/>
      <c r="U94" s="1008"/>
      <c r="V94" s="1008"/>
      <c r="W94" s="1008"/>
      <c r="X94" s="1008"/>
      <c r="Y94" s="1008"/>
      <c r="Z94" s="1008"/>
      <c r="AA94" s="1008"/>
      <c r="AB94" s="1008"/>
      <c r="AC94" s="1008"/>
      <c r="AD94" s="1008"/>
      <c r="AE94" s="1008"/>
      <c r="AF94" s="1008"/>
      <c r="AG94" s="1008"/>
      <c r="AH94" s="1008"/>
      <c r="AI94" s="1008"/>
      <c r="AJ94" s="1008"/>
      <c r="AK94" s="1008"/>
      <c r="AL94" s="1008"/>
      <c r="AM94" s="1008"/>
      <c r="AN94" s="1008"/>
      <c r="AO94" s="1008"/>
      <c r="AP94" s="1008"/>
      <c r="AQ94" s="1008"/>
      <c r="AR94" s="1008"/>
      <c r="AS94" s="1008"/>
      <c r="AT94" s="1008"/>
      <c r="AU94" s="1008"/>
      <c r="AV94" s="1008"/>
      <c r="AW94" s="1008"/>
      <c r="AX94" s="1008"/>
      <c r="AY94" s="1008"/>
      <c r="AZ94" s="1008"/>
      <c r="BA94" s="1008"/>
      <c r="BB94" s="1008"/>
      <c r="BC94" s="1008"/>
      <c r="BD94" s="1008"/>
      <c r="BE94" s="1008"/>
      <c r="BF94" s="1008"/>
      <c r="BG94" s="1008"/>
      <c r="BH94" s="1008"/>
      <c r="BI94" s="1008"/>
      <c r="BJ94" s="1008"/>
      <c r="BK94" s="1008"/>
      <c r="BL94" s="1008"/>
      <c r="BM94" s="1008"/>
      <c r="BN94" s="1008"/>
      <c r="BO94" s="1008"/>
      <c r="BP94" s="1008"/>
      <c r="BQ94" s="1008"/>
      <c r="BR94" s="1008"/>
      <c r="BS94" s="1008"/>
      <c r="BT94" s="1008"/>
      <c r="BU94" s="1008"/>
      <c r="BV94" s="1008"/>
      <c r="BW94" s="1008"/>
      <c r="BX94" s="1008"/>
      <c r="BY94" s="1008"/>
      <c r="BZ94" s="1008"/>
      <c r="CA94" s="1008"/>
      <c r="CB94" s="1008"/>
      <c r="CC94" s="1008"/>
      <c r="CD94" s="1008"/>
      <c r="CE94" s="1008"/>
      <c r="CF94" s="1008"/>
      <c r="CG94" s="1008"/>
      <c r="CH94" s="1008"/>
      <c r="CI94" s="1008"/>
      <c r="CJ94" s="1008"/>
      <c r="CK94" s="1008"/>
      <c r="CL94" s="1008"/>
      <c r="CM94" s="1008"/>
      <c r="CN94" s="1008"/>
      <c r="CO94" s="1008"/>
      <c r="CP94" s="1008"/>
      <c r="CQ94" s="1008"/>
      <c r="CR94" s="1008"/>
      <c r="CS94" s="1008"/>
      <c r="CT94" s="1008"/>
      <c r="CU94" s="1008"/>
      <c r="CV94" s="1008"/>
      <c r="CW94" s="1008"/>
      <c r="CX94" s="1008"/>
      <c r="CY94" s="1008"/>
      <c r="CZ94" s="1008"/>
      <c r="DA94" s="1008"/>
      <c r="DB94" s="1008"/>
      <c r="DC94" s="1008"/>
      <c r="DD94" s="1008"/>
      <c r="DE94" s="1008"/>
      <c r="DF94" s="1008"/>
      <c r="DG94" s="1008"/>
      <c r="DH94" s="1008"/>
      <c r="DI94" s="1008"/>
      <c r="DJ94" s="1008"/>
      <c r="DK94" s="1008"/>
      <c r="DL94" s="1008"/>
      <c r="DM94" s="1008"/>
      <c r="DN94" s="1008"/>
      <c r="DO94" s="1008"/>
      <c r="DP94" s="1008"/>
      <c r="DQ94" s="1008"/>
      <c r="DR94" s="1008"/>
      <c r="DS94" s="1008"/>
      <c r="DT94" s="1008"/>
      <c r="DU94" s="1008"/>
      <c r="DV94" s="1008"/>
      <c r="DW94" s="1008"/>
      <c r="DX94" s="1008"/>
      <c r="DY94" s="1008"/>
      <c r="DZ94" s="1008"/>
      <c r="EA94" s="1008"/>
      <c r="EB94" s="1008"/>
      <c r="EC94" s="1008"/>
      <c r="ED94" s="1008"/>
      <c r="EE94" s="1008"/>
      <c r="EF94" s="1008"/>
      <c r="EG94" s="1008"/>
      <c r="EH94" s="1008"/>
      <c r="EI94" s="1008"/>
      <c r="EJ94" s="1008"/>
      <c r="EK94" s="1008"/>
      <c r="EL94" s="1008"/>
      <c r="EM94" s="1008"/>
      <c r="EN94" s="1008"/>
      <c r="EO94" s="1008"/>
      <c r="EP94" s="1008"/>
      <c r="EQ94" s="1008"/>
      <c r="ER94" s="1008"/>
      <c r="ES94" s="1008"/>
      <c r="ET94" s="1008"/>
      <c r="EU94" s="1008"/>
      <c r="EV94" s="1008"/>
      <c r="EW94" s="1008"/>
      <c r="EX94" s="1008"/>
      <c r="EY94" s="1008"/>
      <c r="EZ94" s="1008"/>
      <c r="FA94" s="1008"/>
      <c r="FB94" s="1008"/>
      <c r="FC94" s="1008"/>
    </row>
    <row r="95" spans="1:159" ht="11" thickBot="1" x14ac:dyDescent="0.3">
      <c r="A95" s="1030" t="s">
        <v>1068</v>
      </c>
      <c r="B95" s="1031" t="s">
        <v>1128</v>
      </c>
      <c r="C95" s="1031" t="s">
        <v>1068</v>
      </c>
      <c r="D95" s="1031" t="s">
        <v>1068</v>
      </c>
      <c r="E95" s="1032"/>
      <c r="F95" s="1032"/>
      <c r="G95" s="1031"/>
      <c r="H95" s="1031"/>
      <c r="I95" s="1031" t="s">
        <v>1182</v>
      </c>
      <c r="J95" s="1031"/>
      <c r="K95" s="1033"/>
      <c r="L95" s="1034"/>
      <c r="M95" s="1059">
        <f>SUM(L96:L98)</f>
        <v>60001</v>
      </c>
      <c r="N95" s="1031"/>
      <c r="O95" s="1031"/>
      <c r="P95" s="1036"/>
    </row>
    <row r="96" spans="1:159" x14ac:dyDescent="0.25">
      <c r="A96" s="1017" t="s">
        <v>1068</v>
      </c>
      <c r="B96" s="555" t="s">
        <v>1128</v>
      </c>
      <c r="C96" s="555" t="s">
        <v>1068</v>
      </c>
      <c r="D96" s="555" t="s">
        <v>1068</v>
      </c>
      <c r="E96" s="555" t="s">
        <v>1073</v>
      </c>
      <c r="I96" s="362" t="s">
        <v>1183</v>
      </c>
      <c r="K96" s="1023"/>
      <c r="L96" s="1019">
        <v>1</v>
      </c>
      <c r="M96" s="1028"/>
      <c r="P96" s="1022"/>
    </row>
    <row r="97" spans="1:159" x14ac:dyDescent="0.25">
      <c r="A97" s="1017" t="s">
        <v>1068</v>
      </c>
      <c r="B97" s="555" t="s">
        <v>1128</v>
      </c>
      <c r="C97" s="555" t="s">
        <v>1068</v>
      </c>
      <c r="D97" s="555" t="s">
        <v>1068</v>
      </c>
      <c r="E97" s="555" t="s">
        <v>1076</v>
      </c>
      <c r="I97" s="362" t="s">
        <v>1184</v>
      </c>
      <c r="K97" s="1023"/>
      <c r="L97" s="1019">
        <v>15000</v>
      </c>
      <c r="M97" s="1028"/>
      <c r="P97" s="1022"/>
    </row>
    <row r="98" spans="1:159" ht="11" thickBot="1" x14ac:dyDescent="0.3">
      <c r="A98" s="1017" t="s">
        <v>1068</v>
      </c>
      <c r="B98" s="555" t="s">
        <v>1128</v>
      </c>
      <c r="C98" s="555" t="s">
        <v>1068</v>
      </c>
      <c r="D98" s="555" t="s">
        <v>1068</v>
      </c>
      <c r="E98" s="555" t="s">
        <v>1081</v>
      </c>
      <c r="G98" s="555"/>
      <c r="H98" s="555"/>
      <c r="I98" s="555" t="s">
        <v>1185</v>
      </c>
      <c r="J98" s="555"/>
      <c r="K98" s="1023"/>
      <c r="L98" s="1019">
        <v>45000</v>
      </c>
      <c r="M98" s="1028"/>
      <c r="P98" s="1022"/>
    </row>
    <row r="99" spans="1:159" s="1008" customFormat="1" ht="11" thickBot="1" x14ac:dyDescent="0.3">
      <c r="A99" s="992" t="s">
        <v>1068</v>
      </c>
      <c r="B99" s="993" t="s">
        <v>1128</v>
      </c>
      <c r="C99" s="993" t="s">
        <v>1128</v>
      </c>
      <c r="D99" s="993"/>
      <c r="E99" s="993"/>
      <c r="F99" s="994"/>
      <c r="G99" s="994"/>
      <c r="H99" s="993" t="s">
        <v>1186</v>
      </c>
      <c r="I99" s="994"/>
      <c r="J99" s="994"/>
      <c r="K99" s="1076"/>
      <c r="L99" s="996"/>
      <c r="M99" s="997"/>
      <c r="N99" s="998">
        <f>SUM(M100)</f>
        <v>59000003</v>
      </c>
      <c r="O99" s="993"/>
      <c r="P99" s="999"/>
    </row>
    <row r="100" spans="1:159" ht="11" thickBot="1" x14ac:dyDescent="0.3">
      <c r="A100" s="1030" t="s">
        <v>1068</v>
      </c>
      <c r="B100" s="1031" t="s">
        <v>1128</v>
      </c>
      <c r="C100" s="1031" t="s">
        <v>1128</v>
      </c>
      <c r="D100" s="1031" t="s">
        <v>1068</v>
      </c>
      <c r="E100" s="1031"/>
      <c r="F100" s="1032"/>
      <c r="G100" s="1031"/>
      <c r="H100" s="1031"/>
      <c r="I100" s="1031" t="s">
        <v>1187</v>
      </c>
      <c r="J100" s="1031"/>
      <c r="K100" s="1033"/>
      <c r="L100" s="1034"/>
      <c r="M100" s="1059">
        <f>SUM(L101:L106)</f>
        <v>59000003</v>
      </c>
      <c r="N100" s="1031"/>
      <c r="O100" s="1031"/>
      <c r="P100" s="1036"/>
    </row>
    <row r="101" spans="1:159" x14ac:dyDescent="0.25">
      <c r="A101" s="1017" t="s">
        <v>1068</v>
      </c>
      <c r="B101" s="555" t="s">
        <v>1128</v>
      </c>
      <c r="C101" s="555" t="s">
        <v>1128</v>
      </c>
      <c r="D101" s="555" t="s">
        <v>1068</v>
      </c>
      <c r="E101" s="555" t="s">
        <v>1073</v>
      </c>
      <c r="I101" s="555" t="s">
        <v>1163</v>
      </c>
      <c r="K101" s="1023"/>
      <c r="L101" s="1019">
        <f>SUM(K102:K104)</f>
        <v>59000001</v>
      </c>
      <c r="M101" s="1028"/>
      <c r="P101" s="1022"/>
    </row>
    <row r="102" spans="1:159" x14ac:dyDescent="0.25">
      <c r="A102" s="1017" t="s">
        <v>1068</v>
      </c>
      <c r="B102" s="555" t="s">
        <v>1128</v>
      </c>
      <c r="C102" s="555" t="s">
        <v>1128</v>
      </c>
      <c r="D102" s="555" t="s">
        <v>1068</v>
      </c>
      <c r="E102" s="555" t="s">
        <v>1073</v>
      </c>
      <c r="F102" s="555" t="s">
        <v>1073</v>
      </c>
      <c r="I102" s="555"/>
      <c r="J102" s="555" t="s">
        <v>1188</v>
      </c>
      <c r="K102" s="1023">
        <v>43000000</v>
      </c>
      <c r="L102" s="1019"/>
      <c r="M102" s="1028"/>
      <c r="P102" s="1022"/>
      <c r="R102" s="1018"/>
    </row>
    <row r="103" spans="1:159" x14ac:dyDescent="0.25">
      <c r="A103" s="1017" t="s">
        <v>1068</v>
      </c>
      <c r="B103" s="555" t="s">
        <v>1128</v>
      </c>
      <c r="C103" s="555" t="s">
        <v>1128</v>
      </c>
      <c r="D103" s="555" t="s">
        <v>1068</v>
      </c>
      <c r="E103" s="555" t="s">
        <v>1073</v>
      </c>
      <c r="F103" s="555" t="s">
        <v>1076</v>
      </c>
      <c r="I103" s="555"/>
      <c r="J103" s="555" t="s">
        <v>1189</v>
      </c>
      <c r="K103" s="1023">
        <v>16000000</v>
      </c>
      <c r="L103" s="1019"/>
      <c r="M103" s="1028"/>
      <c r="P103" s="1022"/>
    </row>
    <row r="104" spans="1:159" x14ac:dyDescent="0.25">
      <c r="A104" s="1017" t="s">
        <v>1068</v>
      </c>
      <c r="B104" s="555" t="s">
        <v>1128</v>
      </c>
      <c r="C104" s="555" t="s">
        <v>1128</v>
      </c>
      <c r="D104" s="555" t="s">
        <v>1068</v>
      </c>
      <c r="E104" s="555" t="s">
        <v>1073</v>
      </c>
      <c r="F104" s="555" t="s">
        <v>1081</v>
      </c>
      <c r="I104" s="555"/>
      <c r="J104" s="555" t="s">
        <v>1172</v>
      </c>
      <c r="K104" s="1023">
        <v>1</v>
      </c>
      <c r="L104" s="1019"/>
      <c r="M104" s="1028"/>
      <c r="P104" s="1022"/>
    </row>
    <row r="105" spans="1:159" x14ac:dyDescent="0.25">
      <c r="A105" s="1017" t="s">
        <v>1068</v>
      </c>
      <c r="B105" s="555" t="s">
        <v>1128</v>
      </c>
      <c r="C105" s="555" t="s">
        <v>1190</v>
      </c>
      <c r="D105" s="555" t="s">
        <v>1068</v>
      </c>
      <c r="E105" s="555" t="s">
        <v>1076</v>
      </c>
      <c r="I105" s="362" t="s">
        <v>1173</v>
      </c>
      <c r="K105" s="1023"/>
      <c r="L105" s="1019">
        <v>1</v>
      </c>
      <c r="M105" s="1028"/>
      <c r="P105" s="1022"/>
    </row>
    <row r="106" spans="1:159" ht="11" thickBot="1" x14ac:dyDescent="0.3">
      <c r="A106" s="1017" t="s">
        <v>1068</v>
      </c>
      <c r="B106" s="555" t="s">
        <v>1128</v>
      </c>
      <c r="C106" s="555" t="s">
        <v>1190</v>
      </c>
      <c r="D106" s="555" t="s">
        <v>1068</v>
      </c>
      <c r="E106" s="555" t="s">
        <v>1081</v>
      </c>
      <c r="I106" s="555" t="s">
        <v>1174</v>
      </c>
      <c r="K106" s="1023"/>
      <c r="L106" s="1019">
        <v>1</v>
      </c>
      <c r="M106" s="1028"/>
      <c r="P106" s="1022"/>
    </row>
    <row r="107" spans="1:159" ht="11" thickBot="1" x14ac:dyDescent="0.3">
      <c r="A107" s="1050" t="s">
        <v>1068</v>
      </c>
      <c r="B107" s="1051" t="s">
        <v>1190</v>
      </c>
      <c r="C107" s="1051"/>
      <c r="D107" s="1052"/>
      <c r="E107" s="1052"/>
      <c r="F107" s="1052"/>
      <c r="G107" s="1051" t="s">
        <v>1191</v>
      </c>
      <c r="H107" s="1052"/>
      <c r="I107" s="1052"/>
      <c r="J107" s="1052"/>
      <c r="K107" s="1053"/>
      <c r="L107" s="1054"/>
      <c r="M107" s="1055"/>
      <c r="N107" s="1051"/>
      <c r="O107" s="1056">
        <f>SUM(N108:N129)</f>
        <v>13</v>
      </c>
      <c r="P107" s="1057"/>
    </row>
    <row r="108" spans="1:159" s="1058" customFormat="1" ht="11" thickBot="1" x14ac:dyDescent="0.3">
      <c r="A108" s="992" t="s">
        <v>1068</v>
      </c>
      <c r="B108" s="993" t="s">
        <v>1190</v>
      </c>
      <c r="C108" s="993" t="s">
        <v>1068</v>
      </c>
      <c r="D108" s="993"/>
      <c r="E108" s="993"/>
      <c r="F108" s="993"/>
      <c r="G108" s="994"/>
      <c r="H108" s="993" t="s">
        <v>1192</v>
      </c>
      <c r="I108" s="994"/>
      <c r="J108" s="994"/>
      <c r="K108" s="1076"/>
      <c r="L108" s="996"/>
      <c r="M108" s="997"/>
      <c r="N108" s="998">
        <f>SUM(M109:M121)</f>
        <v>8</v>
      </c>
      <c r="O108" s="993"/>
      <c r="P108" s="999"/>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8"/>
      <c r="AU108" s="1008"/>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8"/>
      <c r="EA108" s="1008"/>
      <c r="EB108" s="1008"/>
      <c r="EC108" s="1008"/>
      <c r="ED108" s="1008"/>
      <c r="EE108" s="1008"/>
      <c r="EF108" s="1008"/>
      <c r="EG108" s="1008"/>
      <c r="EH108" s="1008"/>
      <c r="EI108" s="1008"/>
      <c r="EJ108" s="1008"/>
      <c r="EK108" s="1008"/>
      <c r="EL108" s="1008"/>
      <c r="EM108" s="1008"/>
      <c r="EN108" s="1008"/>
      <c r="EO108" s="1008"/>
      <c r="EP108" s="1008"/>
      <c r="EQ108" s="1008"/>
      <c r="ER108" s="1008"/>
      <c r="ES108" s="1008"/>
      <c r="ET108" s="1008"/>
      <c r="EU108" s="1008"/>
      <c r="EV108" s="1008"/>
      <c r="EW108" s="1008"/>
      <c r="EX108" s="1008"/>
      <c r="EY108" s="1008"/>
      <c r="EZ108" s="1008"/>
      <c r="FA108" s="1008"/>
      <c r="FB108" s="1008"/>
      <c r="FC108" s="1008"/>
    </row>
    <row r="109" spans="1:159" ht="11" thickBot="1" x14ac:dyDescent="0.3">
      <c r="A109" s="1030" t="s">
        <v>1068</v>
      </c>
      <c r="B109" s="1031" t="s">
        <v>1190</v>
      </c>
      <c r="C109" s="1031" t="s">
        <v>1068</v>
      </c>
      <c r="D109" s="1031" t="s">
        <v>1068</v>
      </c>
      <c r="E109" s="1031"/>
      <c r="F109" s="1031"/>
      <c r="G109" s="1031"/>
      <c r="H109" s="1031"/>
      <c r="I109" s="1031" t="s">
        <v>1193</v>
      </c>
      <c r="J109" s="1031"/>
      <c r="K109" s="1033"/>
      <c r="L109" s="1034"/>
      <c r="M109" s="1059">
        <f>SUM(L110)</f>
        <v>1</v>
      </c>
      <c r="N109" s="1031"/>
      <c r="O109" s="1031"/>
      <c r="P109" s="1036"/>
    </row>
    <row r="110" spans="1:159" ht="11" thickBot="1" x14ac:dyDescent="0.3">
      <c r="A110" s="1017" t="s">
        <v>1068</v>
      </c>
      <c r="B110" s="555" t="s">
        <v>1190</v>
      </c>
      <c r="C110" s="555" t="s">
        <v>1068</v>
      </c>
      <c r="D110" s="555" t="s">
        <v>1068</v>
      </c>
      <c r="E110" s="555" t="s">
        <v>1073</v>
      </c>
      <c r="G110" s="555"/>
      <c r="H110" s="555"/>
      <c r="I110" s="555" t="s">
        <v>1194</v>
      </c>
      <c r="J110" s="555"/>
      <c r="K110" s="1023"/>
      <c r="L110" s="1019">
        <v>1</v>
      </c>
      <c r="M110" s="1028"/>
      <c r="P110" s="1022"/>
    </row>
    <row r="111" spans="1:159" ht="11" thickBot="1" x14ac:dyDescent="0.3">
      <c r="A111" s="1030" t="s">
        <v>1068</v>
      </c>
      <c r="B111" s="1031" t="s">
        <v>1190</v>
      </c>
      <c r="C111" s="1031" t="s">
        <v>1068</v>
      </c>
      <c r="D111" s="1031" t="s">
        <v>1128</v>
      </c>
      <c r="E111" s="1032"/>
      <c r="F111" s="1032"/>
      <c r="G111" s="1031"/>
      <c r="H111" s="1031"/>
      <c r="I111" s="1031" t="s">
        <v>1195</v>
      </c>
      <c r="J111" s="1031"/>
      <c r="K111" s="1033"/>
      <c r="L111" s="1034"/>
      <c r="M111" s="1059">
        <f>SUM(L112:L114)</f>
        <v>3</v>
      </c>
      <c r="N111" s="1031"/>
      <c r="O111" s="1031"/>
      <c r="P111" s="1036"/>
    </row>
    <row r="112" spans="1:159" x14ac:dyDescent="0.25">
      <c r="A112" s="1017" t="s">
        <v>1068</v>
      </c>
      <c r="B112" s="555" t="s">
        <v>1190</v>
      </c>
      <c r="C112" s="555" t="s">
        <v>1068</v>
      </c>
      <c r="D112" s="555" t="s">
        <v>1128</v>
      </c>
      <c r="E112" s="555" t="s">
        <v>1073</v>
      </c>
      <c r="I112" s="362" t="s">
        <v>1196</v>
      </c>
      <c r="K112" s="1023"/>
      <c r="L112" s="1019">
        <v>1</v>
      </c>
      <c r="M112" s="1028"/>
      <c r="P112" s="1022"/>
    </row>
    <row r="113" spans="1:159" x14ac:dyDescent="0.25">
      <c r="A113" s="1017" t="s">
        <v>1068</v>
      </c>
      <c r="B113" s="555" t="s">
        <v>1190</v>
      </c>
      <c r="C113" s="555" t="s">
        <v>1068</v>
      </c>
      <c r="D113" s="555" t="s">
        <v>1128</v>
      </c>
      <c r="E113" s="555" t="s">
        <v>1076</v>
      </c>
      <c r="I113" s="362" t="s">
        <v>1197</v>
      </c>
      <c r="K113" s="1023"/>
      <c r="L113" s="1019">
        <v>1</v>
      </c>
      <c r="M113" s="1028"/>
      <c r="P113" s="1022"/>
    </row>
    <row r="114" spans="1:159" ht="11" thickBot="1" x14ac:dyDescent="0.3">
      <c r="A114" s="1017" t="s">
        <v>1068</v>
      </c>
      <c r="B114" s="555" t="s">
        <v>1190</v>
      </c>
      <c r="C114" s="555" t="s">
        <v>1068</v>
      </c>
      <c r="D114" s="555" t="s">
        <v>1128</v>
      </c>
      <c r="E114" s="555" t="s">
        <v>1081</v>
      </c>
      <c r="I114" s="362" t="s">
        <v>1198</v>
      </c>
      <c r="K114" s="1023"/>
      <c r="L114" s="1019">
        <v>1</v>
      </c>
      <c r="M114" s="1028"/>
      <c r="P114" s="1022"/>
    </row>
    <row r="115" spans="1:159" ht="11" thickBot="1" x14ac:dyDescent="0.3">
      <c r="A115" s="1030" t="s">
        <v>1068</v>
      </c>
      <c r="B115" s="1031" t="s">
        <v>1190</v>
      </c>
      <c r="C115" s="1031" t="s">
        <v>1068</v>
      </c>
      <c r="D115" s="1031" t="s">
        <v>1190</v>
      </c>
      <c r="E115" s="1032"/>
      <c r="F115" s="1032"/>
      <c r="G115" s="1031"/>
      <c r="H115" s="1031"/>
      <c r="I115" s="1031" t="s">
        <v>1199</v>
      </c>
      <c r="J115" s="1032"/>
      <c r="K115" s="1033"/>
      <c r="L115" s="1034"/>
      <c r="M115" s="1059">
        <f>SUM(L116)</f>
        <v>1</v>
      </c>
      <c r="N115" s="1031"/>
      <c r="O115" s="1031"/>
      <c r="P115" s="1036"/>
    </row>
    <row r="116" spans="1:159" ht="11" thickBot="1" x14ac:dyDescent="0.3">
      <c r="A116" s="1017" t="s">
        <v>1068</v>
      </c>
      <c r="B116" s="555" t="s">
        <v>1190</v>
      </c>
      <c r="C116" s="555" t="s">
        <v>1068</v>
      </c>
      <c r="D116" s="555" t="s">
        <v>1190</v>
      </c>
      <c r="E116" s="555" t="s">
        <v>1073</v>
      </c>
      <c r="G116" s="555"/>
      <c r="H116" s="555"/>
      <c r="I116" s="555" t="s">
        <v>1200</v>
      </c>
      <c r="J116" s="555"/>
      <c r="K116" s="1023"/>
      <c r="L116" s="1019">
        <v>1</v>
      </c>
      <c r="M116" s="1028"/>
      <c r="P116" s="1022"/>
    </row>
    <row r="117" spans="1:159" ht="11" thickBot="1" x14ac:dyDescent="0.3">
      <c r="A117" s="1030" t="s">
        <v>1068</v>
      </c>
      <c r="B117" s="1031" t="s">
        <v>1190</v>
      </c>
      <c r="C117" s="1031" t="s">
        <v>1068</v>
      </c>
      <c r="D117" s="1031" t="s">
        <v>1201</v>
      </c>
      <c r="E117" s="1032"/>
      <c r="F117" s="1032"/>
      <c r="G117" s="1031"/>
      <c r="H117" s="1031"/>
      <c r="I117" s="1031" t="s">
        <v>1202</v>
      </c>
      <c r="J117" s="1032"/>
      <c r="K117" s="1033"/>
      <c r="L117" s="1034"/>
      <c r="M117" s="1059">
        <f>SUM(L118)</f>
        <v>1</v>
      </c>
      <c r="N117" s="1031"/>
      <c r="O117" s="1031"/>
      <c r="P117" s="1036"/>
    </row>
    <row r="118" spans="1:159" ht="11" thickBot="1" x14ac:dyDescent="0.3">
      <c r="A118" s="1017" t="s">
        <v>1068</v>
      </c>
      <c r="B118" s="555" t="s">
        <v>1190</v>
      </c>
      <c r="C118" s="555" t="s">
        <v>1068</v>
      </c>
      <c r="D118" s="555" t="s">
        <v>1201</v>
      </c>
      <c r="E118" s="555" t="s">
        <v>1073</v>
      </c>
      <c r="G118" s="555"/>
      <c r="H118" s="555"/>
      <c r="I118" s="555" t="s">
        <v>1203</v>
      </c>
      <c r="J118" s="555"/>
      <c r="K118" s="1023"/>
      <c r="L118" s="1019">
        <v>1</v>
      </c>
      <c r="M118" s="1028"/>
      <c r="P118" s="1022"/>
    </row>
    <row r="119" spans="1:159" ht="11" thickBot="1" x14ac:dyDescent="0.3">
      <c r="A119" s="1030" t="s">
        <v>1068</v>
      </c>
      <c r="B119" s="1031" t="s">
        <v>1190</v>
      </c>
      <c r="C119" s="1031" t="s">
        <v>1068</v>
      </c>
      <c r="D119" s="1031" t="s">
        <v>1204</v>
      </c>
      <c r="E119" s="1032"/>
      <c r="F119" s="1032"/>
      <c r="G119" s="1031"/>
      <c r="H119" s="1031"/>
      <c r="I119" s="1031" t="s">
        <v>1205</v>
      </c>
      <c r="J119" s="1032"/>
      <c r="K119" s="1033"/>
      <c r="L119" s="1034"/>
      <c r="M119" s="1059">
        <f>SUM(L120:L121)</f>
        <v>2</v>
      </c>
      <c r="N119" s="1031"/>
      <c r="O119" s="1031"/>
      <c r="P119" s="1036"/>
    </row>
    <row r="120" spans="1:159" x14ac:dyDescent="0.25">
      <c r="A120" s="1017" t="s">
        <v>1068</v>
      </c>
      <c r="B120" s="555" t="s">
        <v>1190</v>
      </c>
      <c r="C120" s="555" t="s">
        <v>1068</v>
      </c>
      <c r="D120" s="555" t="s">
        <v>1204</v>
      </c>
      <c r="E120" s="555" t="s">
        <v>1073</v>
      </c>
      <c r="G120" s="555"/>
      <c r="H120" s="555"/>
      <c r="I120" s="555" t="s">
        <v>1206</v>
      </c>
      <c r="J120" s="555"/>
      <c r="K120" s="1023"/>
      <c r="L120" s="1019">
        <v>1</v>
      </c>
      <c r="M120" s="1028"/>
      <c r="P120" s="1022"/>
    </row>
    <row r="121" spans="1:159" ht="11" thickBot="1" x14ac:dyDescent="0.3">
      <c r="A121" s="1017" t="s">
        <v>1068</v>
      </c>
      <c r="B121" s="555" t="s">
        <v>1190</v>
      </c>
      <c r="C121" s="555" t="s">
        <v>1068</v>
      </c>
      <c r="D121" s="555" t="s">
        <v>1204</v>
      </c>
      <c r="E121" s="555" t="s">
        <v>1076</v>
      </c>
      <c r="G121" s="555"/>
      <c r="H121" s="555"/>
      <c r="I121" s="555" t="s">
        <v>1207</v>
      </c>
      <c r="J121" s="555"/>
      <c r="K121" s="1023"/>
      <c r="L121" s="1019">
        <v>1</v>
      </c>
      <c r="M121" s="1028"/>
      <c r="P121" s="1022"/>
    </row>
    <row r="122" spans="1:159" s="1058" customFormat="1" ht="11" thickBot="1" x14ac:dyDescent="0.3">
      <c r="A122" s="992" t="s">
        <v>1068</v>
      </c>
      <c r="B122" s="993" t="s">
        <v>1190</v>
      </c>
      <c r="C122" s="993" t="s">
        <v>1128</v>
      </c>
      <c r="D122" s="993"/>
      <c r="E122" s="993"/>
      <c r="F122" s="994"/>
      <c r="G122" s="994"/>
      <c r="H122" s="993" t="s">
        <v>1208</v>
      </c>
      <c r="I122" s="994"/>
      <c r="J122" s="994"/>
      <c r="K122" s="1076"/>
      <c r="L122" s="996"/>
      <c r="M122" s="997"/>
      <c r="N122" s="998">
        <f>SUM(M123:M130)</f>
        <v>5</v>
      </c>
      <c r="O122" s="993"/>
      <c r="P122" s="999"/>
      <c r="Q122" s="1008"/>
      <c r="R122" s="1008"/>
      <c r="S122" s="1008"/>
      <c r="T122" s="1008"/>
      <c r="U122" s="1008"/>
      <c r="V122" s="1008"/>
      <c r="W122" s="1008"/>
      <c r="X122" s="1008"/>
      <c r="Y122" s="1008"/>
      <c r="Z122" s="1008"/>
      <c r="AA122" s="1008"/>
      <c r="AB122" s="1008"/>
      <c r="AC122" s="1008"/>
      <c r="AD122" s="1008"/>
      <c r="AE122" s="1008"/>
      <c r="AF122" s="1008"/>
      <c r="AG122" s="1008"/>
      <c r="AH122" s="1008"/>
      <c r="AI122" s="1008"/>
      <c r="AJ122" s="1008"/>
      <c r="AK122" s="1008"/>
      <c r="AL122" s="1008"/>
      <c r="AM122" s="1008"/>
      <c r="AN122" s="1008"/>
      <c r="AO122" s="1008"/>
      <c r="AP122" s="1008"/>
      <c r="AQ122" s="1008"/>
      <c r="AR122" s="1008"/>
      <c r="AS122" s="1008"/>
      <c r="AT122" s="1008"/>
      <c r="AU122" s="1008"/>
      <c r="AV122" s="1008"/>
      <c r="AW122" s="1008"/>
      <c r="AX122" s="1008"/>
      <c r="AY122" s="1008"/>
      <c r="AZ122" s="1008"/>
      <c r="BA122" s="1008"/>
      <c r="BB122" s="1008"/>
      <c r="BC122" s="1008"/>
      <c r="BD122" s="1008"/>
      <c r="BE122" s="1008"/>
      <c r="BF122" s="1008"/>
      <c r="BG122" s="1008"/>
      <c r="BH122" s="1008"/>
      <c r="BI122" s="1008"/>
      <c r="BJ122" s="1008"/>
      <c r="BK122" s="1008"/>
      <c r="BL122" s="1008"/>
      <c r="BM122" s="1008"/>
      <c r="BN122" s="1008"/>
      <c r="BO122" s="1008"/>
      <c r="BP122" s="1008"/>
      <c r="BQ122" s="1008"/>
      <c r="BR122" s="1008"/>
      <c r="BS122" s="1008"/>
      <c r="BT122" s="1008"/>
      <c r="BU122" s="1008"/>
      <c r="BV122" s="1008"/>
      <c r="BW122" s="1008"/>
      <c r="BX122" s="1008"/>
      <c r="BY122" s="1008"/>
      <c r="BZ122" s="1008"/>
      <c r="CA122" s="1008"/>
      <c r="CB122" s="1008"/>
      <c r="CC122" s="1008"/>
      <c r="CD122" s="1008"/>
      <c r="CE122" s="1008"/>
      <c r="CF122" s="1008"/>
      <c r="CG122" s="1008"/>
      <c r="CH122" s="1008"/>
      <c r="CI122" s="1008"/>
      <c r="CJ122" s="1008"/>
      <c r="CK122" s="1008"/>
      <c r="CL122" s="1008"/>
      <c r="CM122" s="1008"/>
      <c r="CN122" s="1008"/>
      <c r="CO122" s="1008"/>
      <c r="CP122" s="1008"/>
      <c r="CQ122" s="1008"/>
      <c r="CR122" s="1008"/>
      <c r="CS122" s="1008"/>
      <c r="CT122" s="1008"/>
      <c r="CU122" s="1008"/>
      <c r="CV122" s="1008"/>
      <c r="CW122" s="1008"/>
      <c r="CX122" s="1008"/>
      <c r="CY122" s="1008"/>
      <c r="CZ122" s="1008"/>
      <c r="DA122" s="1008"/>
      <c r="DB122" s="1008"/>
      <c r="DC122" s="1008"/>
      <c r="DD122" s="1008"/>
      <c r="DE122" s="1008"/>
      <c r="DF122" s="1008"/>
      <c r="DG122" s="1008"/>
      <c r="DH122" s="1008"/>
      <c r="DI122" s="1008"/>
      <c r="DJ122" s="1008"/>
      <c r="DK122" s="1008"/>
      <c r="DL122" s="1008"/>
      <c r="DM122" s="1008"/>
      <c r="DN122" s="1008"/>
      <c r="DO122" s="1008"/>
      <c r="DP122" s="1008"/>
      <c r="DQ122" s="1008"/>
      <c r="DR122" s="1008"/>
      <c r="DS122" s="1008"/>
      <c r="DT122" s="1008"/>
      <c r="DU122" s="1008"/>
      <c r="DV122" s="1008"/>
      <c r="DW122" s="1008"/>
      <c r="DX122" s="1008"/>
      <c r="DY122" s="1008"/>
      <c r="DZ122" s="1008"/>
      <c r="EA122" s="1008"/>
      <c r="EB122" s="1008"/>
      <c r="EC122" s="1008"/>
      <c r="ED122" s="1008"/>
      <c r="EE122" s="1008"/>
      <c r="EF122" s="1008"/>
      <c r="EG122" s="1008"/>
      <c r="EH122" s="1008"/>
      <c r="EI122" s="1008"/>
      <c r="EJ122" s="1008"/>
      <c r="EK122" s="1008"/>
      <c r="EL122" s="1008"/>
      <c r="EM122" s="1008"/>
      <c r="EN122" s="1008"/>
      <c r="EO122" s="1008"/>
      <c r="EP122" s="1008"/>
      <c r="EQ122" s="1008"/>
      <c r="ER122" s="1008"/>
      <c r="ES122" s="1008"/>
      <c r="ET122" s="1008"/>
      <c r="EU122" s="1008"/>
      <c r="EV122" s="1008"/>
      <c r="EW122" s="1008"/>
      <c r="EX122" s="1008"/>
      <c r="EY122" s="1008"/>
      <c r="EZ122" s="1008"/>
      <c r="FA122" s="1008"/>
      <c r="FB122" s="1008"/>
      <c r="FC122" s="1008"/>
    </row>
    <row r="123" spans="1:159" ht="11" thickBot="1" x14ac:dyDescent="0.3">
      <c r="A123" s="1030" t="s">
        <v>1068</v>
      </c>
      <c r="B123" s="1031" t="s">
        <v>1190</v>
      </c>
      <c r="C123" s="1031" t="s">
        <v>1128</v>
      </c>
      <c r="D123" s="1031" t="s">
        <v>1068</v>
      </c>
      <c r="E123" s="1031"/>
      <c r="F123" s="1032"/>
      <c r="G123" s="1032"/>
      <c r="H123" s="1031"/>
      <c r="I123" s="1031" t="s">
        <v>1209</v>
      </c>
      <c r="J123" s="1032"/>
      <c r="K123" s="1033"/>
      <c r="L123" s="1034"/>
      <c r="M123" s="1059">
        <f>SUM(L124:L126)</f>
        <v>3</v>
      </c>
      <c r="N123" s="1031"/>
      <c r="O123" s="1031"/>
      <c r="P123" s="1036"/>
    </row>
    <row r="124" spans="1:159" x14ac:dyDescent="0.25">
      <c r="A124" s="1017" t="s">
        <v>1068</v>
      </c>
      <c r="B124" s="555" t="s">
        <v>1190</v>
      </c>
      <c r="C124" s="555" t="s">
        <v>1128</v>
      </c>
      <c r="D124" s="555" t="s">
        <v>1068</v>
      </c>
      <c r="E124" s="555" t="s">
        <v>1073</v>
      </c>
      <c r="G124" s="555"/>
      <c r="H124" s="555"/>
      <c r="I124" s="555" t="s">
        <v>1210</v>
      </c>
      <c r="L124" s="1019">
        <v>1</v>
      </c>
      <c r="M124" s="1028"/>
      <c r="P124" s="1022"/>
    </row>
    <row r="125" spans="1:159" x14ac:dyDescent="0.25">
      <c r="A125" s="1017" t="s">
        <v>1068</v>
      </c>
      <c r="B125" s="555" t="s">
        <v>1190</v>
      </c>
      <c r="C125" s="555" t="s">
        <v>1128</v>
      </c>
      <c r="D125" s="555" t="s">
        <v>1068</v>
      </c>
      <c r="E125" s="555" t="s">
        <v>1076</v>
      </c>
      <c r="G125" s="555"/>
      <c r="H125" s="555"/>
      <c r="I125" s="555" t="s">
        <v>1211</v>
      </c>
      <c r="J125" s="555"/>
      <c r="K125" s="1023"/>
      <c r="L125" s="1019">
        <v>1</v>
      </c>
      <c r="M125" s="1028"/>
      <c r="P125" s="1022"/>
    </row>
    <row r="126" spans="1:159" ht="11" thickBot="1" x14ac:dyDescent="0.3">
      <c r="A126" s="1017" t="str">
        <f>A123</f>
        <v>1.</v>
      </c>
      <c r="B126" s="555" t="str">
        <f>B123</f>
        <v>3.</v>
      </c>
      <c r="C126" s="555" t="str">
        <f>C123</f>
        <v>2.</v>
      </c>
      <c r="D126" s="555" t="str">
        <f>D123</f>
        <v>1.</v>
      </c>
      <c r="E126" s="555" t="s">
        <v>1081</v>
      </c>
      <c r="G126" s="555"/>
      <c r="H126" s="555"/>
      <c r="I126" s="555" t="s">
        <v>1212</v>
      </c>
      <c r="J126" s="555"/>
      <c r="K126" s="1023"/>
      <c r="L126" s="1019">
        <v>1</v>
      </c>
      <c r="M126" s="1028"/>
      <c r="P126" s="1022"/>
    </row>
    <row r="127" spans="1:159" ht="11" thickBot="1" x14ac:dyDescent="0.3">
      <c r="A127" s="1030" t="s">
        <v>1068</v>
      </c>
      <c r="B127" s="1031" t="s">
        <v>1190</v>
      </c>
      <c r="C127" s="1031" t="s">
        <v>1128</v>
      </c>
      <c r="D127" s="1031" t="s">
        <v>1128</v>
      </c>
      <c r="E127" s="1031"/>
      <c r="F127" s="1032"/>
      <c r="G127" s="1032"/>
      <c r="H127" s="1031"/>
      <c r="I127" s="1031" t="s">
        <v>1213</v>
      </c>
      <c r="J127" s="1032"/>
      <c r="K127" s="1033"/>
      <c r="L127" s="1034"/>
      <c r="M127" s="1059">
        <f>SUM(L128:L129)</f>
        <v>2</v>
      </c>
      <c r="N127" s="1031"/>
      <c r="O127" s="1031"/>
      <c r="P127" s="1036"/>
    </row>
    <row r="128" spans="1:159" x14ac:dyDescent="0.25">
      <c r="A128" s="1017" t="s">
        <v>1068</v>
      </c>
      <c r="B128" s="555" t="s">
        <v>1190</v>
      </c>
      <c r="C128" s="555" t="s">
        <v>1128</v>
      </c>
      <c r="D128" s="555" t="s">
        <v>1128</v>
      </c>
      <c r="E128" s="555" t="s">
        <v>1073</v>
      </c>
      <c r="I128" s="555" t="s">
        <v>1214</v>
      </c>
      <c r="J128" s="555"/>
      <c r="K128" s="1023"/>
      <c r="L128" s="1019">
        <v>1</v>
      </c>
      <c r="M128" s="1028"/>
      <c r="P128" s="1022"/>
    </row>
    <row r="129" spans="1:159" ht="11" thickBot="1" x14ac:dyDescent="0.3">
      <c r="A129" s="1017" t="s">
        <v>1068</v>
      </c>
      <c r="B129" s="555" t="s">
        <v>1190</v>
      </c>
      <c r="C129" s="555" t="s">
        <v>1128</v>
      </c>
      <c r="D129" s="555" t="s">
        <v>1128</v>
      </c>
      <c r="E129" s="555" t="s">
        <v>1076</v>
      </c>
      <c r="I129" s="362" t="s">
        <v>1215</v>
      </c>
      <c r="K129" s="1023"/>
      <c r="L129" s="1019">
        <v>1</v>
      </c>
      <c r="M129" s="1028"/>
      <c r="P129" s="1022"/>
    </row>
    <row r="130" spans="1:159" ht="11" thickBot="1" x14ac:dyDescent="0.3">
      <c r="A130" s="1050" t="s">
        <v>1068</v>
      </c>
      <c r="B130" s="1051" t="s">
        <v>1201</v>
      </c>
      <c r="C130" s="1052"/>
      <c r="D130" s="1052"/>
      <c r="E130" s="1052"/>
      <c r="F130" s="1052"/>
      <c r="G130" s="1051" t="s">
        <v>448</v>
      </c>
      <c r="H130" s="1051"/>
      <c r="I130" s="1052"/>
      <c r="J130" s="1052"/>
      <c r="K130" s="1053"/>
      <c r="L130" s="1054"/>
      <c r="M130" s="1055"/>
      <c r="N130" s="1056"/>
      <c r="O130" s="1056">
        <f>SUM(N131)</f>
        <v>1518310</v>
      </c>
      <c r="P130" s="1085"/>
    </row>
    <row r="131" spans="1:159" s="1058" customFormat="1" ht="11" thickBot="1" x14ac:dyDescent="0.3">
      <c r="A131" s="1086" t="s">
        <v>1068</v>
      </c>
      <c r="B131" s="1087" t="s">
        <v>1201</v>
      </c>
      <c r="C131" s="1087" t="s">
        <v>1068</v>
      </c>
      <c r="D131" s="1087"/>
      <c r="E131" s="1087"/>
      <c r="F131" s="1087"/>
      <c r="G131" s="1087"/>
      <c r="H131" s="1087" t="s">
        <v>1216</v>
      </c>
      <c r="I131" s="1087"/>
      <c r="J131" s="1088"/>
      <c r="K131" s="1089"/>
      <c r="L131" s="1090"/>
      <c r="M131" s="1090"/>
      <c r="N131" s="1091">
        <v>1518310</v>
      </c>
      <c r="O131" s="1091"/>
      <c r="P131" s="1092"/>
      <c r="Q131" s="1008"/>
      <c r="R131" s="1008"/>
      <c r="S131" s="1008"/>
      <c r="T131" s="1008"/>
      <c r="U131" s="1008"/>
      <c r="V131" s="1008"/>
      <c r="W131" s="1008"/>
      <c r="X131" s="1008"/>
      <c r="Y131" s="1008"/>
      <c r="Z131" s="1008"/>
      <c r="AA131" s="1008"/>
      <c r="AB131" s="1008"/>
      <c r="AC131" s="1008"/>
      <c r="AD131" s="1008"/>
      <c r="AE131" s="1008"/>
      <c r="AF131" s="1008"/>
      <c r="AG131" s="1008"/>
      <c r="AH131" s="1008"/>
      <c r="AI131" s="1008"/>
      <c r="AJ131" s="1008"/>
      <c r="AK131" s="1008"/>
      <c r="AL131" s="1008"/>
      <c r="AM131" s="1008"/>
      <c r="AN131" s="1008"/>
      <c r="AO131" s="1008"/>
      <c r="AP131" s="1008"/>
      <c r="AQ131" s="1008"/>
      <c r="AR131" s="1008"/>
      <c r="AS131" s="1008"/>
      <c r="AT131" s="1008"/>
      <c r="AU131" s="1008"/>
      <c r="AV131" s="1008"/>
      <c r="AW131" s="1008"/>
      <c r="AX131" s="1008"/>
      <c r="AY131" s="1008"/>
      <c r="AZ131" s="1008"/>
      <c r="BA131" s="1008"/>
      <c r="BB131" s="1008"/>
      <c r="BC131" s="1008"/>
      <c r="BD131" s="1008"/>
      <c r="BE131" s="1008"/>
      <c r="BF131" s="1008"/>
      <c r="BG131" s="1008"/>
      <c r="BH131" s="1008"/>
      <c r="BI131" s="1008"/>
      <c r="BJ131" s="1008"/>
      <c r="BK131" s="1008"/>
      <c r="BL131" s="1008"/>
      <c r="BM131" s="1008"/>
      <c r="BN131" s="1008"/>
      <c r="BO131" s="1008"/>
      <c r="BP131" s="1008"/>
      <c r="BQ131" s="1008"/>
      <c r="BR131" s="1008"/>
      <c r="BS131" s="1008"/>
      <c r="BT131" s="1008"/>
      <c r="BU131" s="1008"/>
      <c r="BV131" s="1008"/>
      <c r="BW131" s="1008"/>
      <c r="BX131" s="1008"/>
      <c r="BY131" s="1008"/>
      <c r="BZ131" s="1008"/>
      <c r="CA131" s="1008"/>
      <c r="CB131" s="1008"/>
      <c r="CC131" s="1008"/>
      <c r="CD131" s="1008"/>
      <c r="CE131" s="1008"/>
      <c r="CF131" s="1008"/>
      <c r="CG131" s="1008"/>
      <c r="CH131" s="1008"/>
      <c r="CI131" s="1008"/>
      <c r="CJ131" s="1008"/>
      <c r="CK131" s="1008"/>
      <c r="CL131" s="1008"/>
      <c r="CM131" s="1008"/>
      <c r="CN131" s="1008"/>
      <c r="CO131" s="1008"/>
      <c r="CP131" s="1008"/>
      <c r="CQ131" s="1008"/>
      <c r="CR131" s="1008"/>
      <c r="CS131" s="1008"/>
      <c r="CT131" s="1008"/>
      <c r="CU131" s="1008"/>
      <c r="CV131" s="1008"/>
      <c r="CW131" s="1008"/>
      <c r="CX131" s="1008"/>
      <c r="CY131" s="1008"/>
      <c r="CZ131" s="1008"/>
      <c r="DA131" s="1008"/>
      <c r="DB131" s="1008"/>
      <c r="DC131" s="1008"/>
      <c r="DD131" s="1008"/>
      <c r="DE131" s="1008"/>
      <c r="DF131" s="1008"/>
      <c r="DG131" s="1008"/>
      <c r="DH131" s="1008"/>
      <c r="DI131" s="1008"/>
      <c r="DJ131" s="1008"/>
      <c r="DK131" s="1008"/>
      <c r="DL131" s="1008"/>
      <c r="DM131" s="1008"/>
      <c r="DN131" s="1008"/>
      <c r="DO131" s="1008"/>
      <c r="DP131" s="1008"/>
      <c r="DQ131" s="1008"/>
      <c r="DR131" s="1008"/>
      <c r="DS131" s="1008"/>
      <c r="DT131" s="1008"/>
      <c r="DU131" s="1008"/>
      <c r="DV131" s="1008"/>
      <c r="DW131" s="1008"/>
      <c r="DX131" s="1008"/>
      <c r="DY131" s="1008"/>
      <c r="DZ131" s="1008"/>
      <c r="EA131" s="1008"/>
      <c r="EB131" s="1008"/>
      <c r="EC131" s="1008"/>
      <c r="ED131" s="1008"/>
      <c r="EE131" s="1008"/>
      <c r="EF131" s="1008"/>
      <c r="EG131" s="1008"/>
      <c r="EH131" s="1008"/>
      <c r="EI131" s="1008"/>
      <c r="EJ131" s="1008"/>
      <c r="EK131" s="1008"/>
      <c r="EL131" s="1008"/>
      <c r="EM131" s="1008"/>
      <c r="EN131" s="1008"/>
      <c r="EO131" s="1008"/>
      <c r="EP131" s="1008"/>
      <c r="EQ131" s="1008"/>
      <c r="ER131" s="1008"/>
      <c r="ES131" s="1008"/>
      <c r="ET131" s="1008"/>
      <c r="EU131" s="1008"/>
      <c r="EV131" s="1008"/>
      <c r="EW131" s="1008"/>
      <c r="EX131" s="1008"/>
      <c r="EY131" s="1008"/>
      <c r="EZ131" s="1008"/>
      <c r="FA131" s="1008"/>
      <c r="FB131" s="1008"/>
      <c r="FC131" s="1008"/>
    </row>
    <row r="132" spans="1:159" x14ac:dyDescent="0.25">
      <c r="K132" s="1019"/>
      <c r="L132" s="1019"/>
      <c r="M132" s="1028"/>
    </row>
    <row r="133" spans="1:159" x14ac:dyDescent="0.25">
      <c r="K133" s="1019"/>
      <c r="L133" s="1019"/>
      <c r="M133" s="1028"/>
    </row>
    <row r="134" spans="1:159" x14ac:dyDescent="0.25">
      <c r="K134" s="1019"/>
      <c r="L134" s="1019"/>
      <c r="M134" s="1028"/>
    </row>
    <row r="135" spans="1:159" x14ac:dyDescent="0.25">
      <c r="K135" s="1019"/>
      <c r="L135" s="1019"/>
      <c r="M135" s="1028"/>
    </row>
    <row r="136" spans="1:159" x14ac:dyDescent="0.25">
      <c r="K136" s="1019"/>
      <c r="L136" s="1019"/>
      <c r="M136" s="1028"/>
    </row>
    <row r="137" spans="1:159" x14ac:dyDescent="0.25">
      <c r="K137" s="1019"/>
      <c r="L137" s="1019"/>
      <c r="M137" s="1028"/>
    </row>
    <row r="138" spans="1:159" x14ac:dyDescent="0.25">
      <c r="K138" s="1019"/>
      <c r="L138" s="1019"/>
      <c r="M138" s="1028"/>
    </row>
    <row r="139" spans="1:159" x14ac:dyDescent="0.25">
      <c r="K139" s="1019"/>
      <c r="L139" s="1019"/>
      <c r="M139" s="1028"/>
    </row>
    <row r="140" spans="1:159" x14ac:dyDescent="0.25">
      <c r="K140" s="1019"/>
      <c r="L140" s="1019"/>
      <c r="M140" s="1028"/>
    </row>
    <row r="141" spans="1:159" x14ac:dyDescent="0.25">
      <c r="K141" s="1019"/>
      <c r="L141" s="1019"/>
      <c r="M141" s="1028"/>
    </row>
    <row r="142" spans="1:159" x14ac:dyDescent="0.25">
      <c r="K142" s="1019"/>
      <c r="L142" s="1019"/>
      <c r="M142" s="1028"/>
    </row>
    <row r="143" spans="1:159" x14ac:dyDescent="0.25">
      <c r="K143" s="1019"/>
      <c r="L143" s="1019"/>
      <c r="M143" s="1028"/>
    </row>
    <row r="144" spans="1:159" x14ac:dyDescent="0.25">
      <c r="K144" s="1019"/>
      <c r="L144" s="1019"/>
      <c r="M144" s="1028"/>
    </row>
    <row r="145" spans="11:13" x14ac:dyDescent="0.25">
      <c r="K145" s="1019"/>
      <c r="L145" s="1019"/>
      <c r="M145" s="1028"/>
    </row>
    <row r="146" spans="11:13" x14ac:dyDescent="0.25">
      <c r="K146" s="1019"/>
      <c r="L146" s="1019"/>
      <c r="M146" s="1028"/>
    </row>
    <row r="147" spans="11:13" x14ac:dyDescent="0.25">
      <c r="K147" s="1019"/>
      <c r="L147" s="1019"/>
      <c r="M147" s="1028"/>
    </row>
    <row r="148" spans="11:13" x14ac:dyDescent="0.25">
      <c r="K148" s="1019"/>
      <c r="L148" s="1019"/>
      <c r="M148" s="1028"/>
    </row>
    <row r="149" spans="11:13" x14ac:dyDescent="0.25">
      <c r="K149" s="1019"/>
      <c r="L149" s="1019"/>
      <c r="M149" s="1028"/>
    </row>
    <row r="150" spans="11:13" x14ac:dyDescent="0.25">
      <c r="K150" s="1019"/>
      <c r="L150" s="1019"/>
      <c r="M150" s="1028"/>
    </row>
    <row r="151" spans="11:13" x14ac:dyDescent="0.25">
      <c r="K151" s="1019"/>
      <c r="L151" s="1019"/>
      <c r="M151" s="1028"/>
    </row>
    <row r="152" spans="11:13" x14ac:dyDescent="0.25">
      <c r="K152" s="1019"/>
      <c r="L152" s="1019"/>
      <c r="M152" s="1028"/>
    </row>
    <row r="153" spans="11:13" x14ac:dyDescent="0.25">
      <c r="K153" s="1019"/>
      <c r="L153" s="1019"/>
      <c r="M153" s="1028"/>
    </row>
    <row r="154" spans="11:13" x14ac:dyDescent="0.25">
      <c r="K154" s="1019"/>
      <c r="L154" s="1019"/>
      <c r="M154" s="1028"/>
    </row>
    <row r="155" spans="11:13" x14ac:dyDescent="0.25">
      <c r="K155" s="1019"/>
      <c r="L155" s="1019"/>
      <c r="M155" s="1028"/>
    </row>
    <row r="156" spans="11:13" x14ac:dyDescent="0.25">
      <c r="K156" s="1019"/>
      <c r="L156" s="1019"/>
      <c r="M156" s="1028"/>
    </row>
    <row r="157" spans="11:13" x14ac:dyDescent="0.25">
      <c r="K157" s="1019"/>
      <c r="L157" s="1019"/>
      <c r="M157" s="1028"/>
    </row>
    <row r="158" spans="11:13" x14ac:dyDescent="0.25">
      <c r="K158" s="1019"/>
      <c r="L158" s="1019"/>
      <c r="M158" s="1028"/>
    </row>
    <row r="159" spans="11:13" x14ac:dyDescent="0.25">
      <c r="K159" s="1019"/>
      <c r="L159" s="1019"/>
      <c r="M159" s="1028"/>
    </row>
    <row r="160" spans="11:13" x14ac:dyDescent="0.25">
      <c r="K160" s="1019"/>
      <c r="L160" s="1019"/>
      <c r="M160" s="1028"/>
    </row>
    <row r="161" spans="11:13" x14ac:dyDescent="0.25">
      <c r="K161" s="1019"/>
      <c r="L161" s="1019"/>
      <c r="M161" s="1028"/>
    </row>
    <row r="162" spans="11:13" x14ac:dyDescent="0.25">
      <c r="K162" s="1019"/>
      <c r="L162" s="1019"/>
      <c r="M162" s="1028"/>
    </row>
    <row r="163" spans="11:13" x14ac:dyDescent="0.25">
      <c r="K163" s="1019"/>
      <c r="L163" s="1019"/>
      <c r="M163" s="1028"/>
    </row>
    <row r="164" spans="11:13" x14ac:dyDescent="0.25">
      <c r="K164" s="1019"/>
      <c r="L164" s="1019"/>
      <c r="M164" s="1028"/>
    </row>
    <row r="165" spans="11:13" x14ac:dyDescent="0.25">
      <c r="K165" s="1019"/>
      <c r="L165" s="1019"/>
      <c r="M165" s="1028"/>
    </row>
    <row r="166" spans="11:13" x14ac:dyDescent="0.25">
      <c r="K166" s="1019"/>
      <c r="L166" s="1019"/>
      <c r="M166" s="1028"/>
    </row>
    <row r="167" spans="11:13" x14ac:dyDescent="0.25">
      <c r="K167" s="1019"/>
      <c r="L167" s="1019"/>
      <c r="M167" s="1028"/>
    </row>
    <row r="168" spans="11:13" x14ac:dyDescent="0.25">
      <c r="K168" s="1019"/>
      <c r="L168" s="1019"/>
      <c r="M168" s="1028"/>
    </row>
    <row r="169" spans="11:13" x14ac:dyDescent="0.25">
      <c r="K169" s="1019"/>
      <c r="L169" s="1019"/>
      <c r="M169" s="1028"/>
    </row>
    <row r="170" spans="11:13" x14ac:dyDescent="0.25">
      <c r="K170" s="1019"/>
      <c r="L170" s="1019"/>
      <c r="M170" s="1028"/>
    </row>
    <row r="171" spans="11:13" x14ac:dyDescent="0.25">
      <c r="K171" s="1019"/>
      <c r="L171" s="1019"/>
      <c r="M171" s="1028"/>
    </row>
    <row r="172" spans="11:13" x14ac:dyDescent="0.25">
      <c r="K172" s="1019"/>
      <c r="L172" s="1019"/>
      <c r="M172" s="1028"/>
    </row>
    <row r="173" spans="11:13" x14ac:dyDescent="0.25">
      <c r="K173" s="1019"/>
      <c r="L173" s="1019"/>
      <c r="M173" s="1028"/>
    </row>
    <row r="174" spans="11:13" x14ac:dyDescent="0.25">
      <c r="K174" s="1019"/>
      <c r="L174" s="1019"/>
      <c r="M174" s="1028"/>
    </row>
    <row r="175" spans="11:13" x14ac:dyDescent="0.25">
      <c r="K175" s="1019"/>
      <c r="L175" s="1019"/>
      <c r="M175" s="1028"/>
    </row>
    <row r="176" spans="11:13" x14ac:dyDescent="0.25">
      <c r="K176" s="1019"/>
      <c r="L176" s="1019"/>
      <c r="M176" s="1028"/>
    </row>
    <row r="177" spans="11:13" x14ac:dyDescent="0.25">
      <c r="K177" s="1019"/>
      <c r="L177" s="1019"/>
      <c r="M177" s="1028"/>
    </row>
    <row r="178" spans="11:13" x14ac:dyDescent="0.25">
      <c r="K178" s="1019"/>
      <c r="L178" s="1019"/>
      <c r="M178" s="1028"/>
    </row>
    <row r="179" spans="11:13" x14ac:dyDescent="0.25">
      <c r="K179" s="1019"/>
      <c r="L179" s="1019"/>
      <c r="M179" s="1028"/>
    </row>
    <row r="180" spans="11:13" x14ac:dyDescent="0.25">
      <c r="K180" s="1019"/>
      <c r="L180" s="1019"/>
      <c r="M180" s="1028"/>
    </row>
    <row r="181" spans="11:13" x14ac:dyDescent="0.25">
      <c r="K181" s="1019"/>
      <c r="L181" s="1019"/>
      <c r="M181" s="1028"/>
    </row>
    <row r="182" spans="11:13" x14ac:dyDescent="0.25">
      <c r="K182" s="1019"/>
      <c r="L182" s="1019"/>
      <c r="M182" s="1028"/>
    </row>
    <row r="183" spans="11:13" x14ac:dyDescent="0.25">
      <c r="K183" s="1019"/>
      <c r="L183" s="1019"/>
      <c r="M183" s="1028"/>
    </row>
    <row r="184" spans="11:13" x14ac:dyDescent="0.25">
      <c r="K184" s="1019"/>
      <c r="L184" s="1019"/>
      <c r="M184" s="1028"/>
    </row>
    <row r="185" spans="11:13" x14ac:dyDescent="0.25">
      <c r="K185" s="1019"/>
      <c r="L185" s="1019"/>
      <c r="M185" s="1028"/>
    </row>
    <row r="186" spans="11:13" x14ac:dyDescent="0.25">
      <c r="K186" s="1019"/>
      <c r="L186" s="1019"/>
      <c r="M186" s="1028"/>
    </row>
    <row r="187" spans="11:13" x14ac:dyDescent="0.25">
      <c r="K187" s="1019"/>
      <c r="L187" s="1019"/>
      <c r="M187" s="1028"/>
    </row>
    <row r="188" spans="11:13" x14ac:dyDescent="0.25">
      <c r="K188" s="1019"/>
      <c r="L188" s="1019"/>
      <c r="M188" s="1028"/>
    </row>
    <row r="189" spans="11:13" x14ac:dyDescent="0.25">
      <c r="K189" s="1019"/>
      <c r="L189" s="1019"/>
      <c r="M189" s="1028"/>
    </row>
    <row r="190" spans="11:13" x14ac:dyDescent="0.25">
      <c r="K190" s="1019"/>
      <c r="L190" s="1019"/>
      <c r="M190" s="1028"/>
    </row>
    <row r="191" spans="11:13" x14ac:dyDescent="0.25">
      <c r="K191" s="1019"/>
      <c r="L191" s="1019"/>
      <c r="M191" s="1028"/>
    </row>
    <row r="192" spans="11:13" x14ac:dyDescent="0.25">
      <c r="K192" s="1019"/>
      <c r="L192" s="1019"/>
      <c r="M192" s="1028"/>
    </row>
    <row r="193" spans="11:13" x14ac:dyDescent="0.25">
      <c r="K193" s="1019"/>
      <c r="L193" s="1019"/>
      <c r="M193" s="1028"/>
    </row>
    <row r="194" spans="11:13" x14ac:dyDescent="0.25">
      <c r="K194" s="1019"/>
      <c r="L194" s="1019"/>
      <c r="M194" s="1028"/>
    </row>
    <row r="195" spans="11:13" x14ac:dyDescent="0.25">
      <c r="K195" s="1019"/>
      <c r="L195" s="1019"/>
      <c r="M195" s="1028"/>
    </row>
    <row r="196" spans="11:13" x14ac:dyDescent="0.25">
      <c r="K196" s="1019"/>
      <c r="L196" s="1019"/>
      <c r="M196" s="1028"/>
    </row>
    <row r="197" spans="11:13" x14ac:dyDescent="0.25">
      <c r="K197" s="1019"/>
      <c r="L197" s="1019"/>
      <c r="M197" s="1028"/>
    </row>
    <row r="198" spans="11:13" x14ac:dyDescent="0.25">
      <c r="K198" s="1019"/>
      <c r="L198" s="1019"/>
      <c r="M198" s="1028"/>
    </row>
    <row r="199" spans="11:13" x14ac:dyDescent="0.25">
      <c r="K199" s="1019"/>
      <c r="L199" s="1019"/>
      <c r="M199" s="1028"/>
    </row>
    <row r="200" spans="11:13" x14ac:dyDescent="0.25">
      <c r="K200" s="1019"/>
      <c r="L200" s="1019"/>
      <c r="M200" s="1028"/>
    </row>
    <row r="201" spans="11:13" x14ac:dyDescent="0.25">
      <c r="K201" s="1019"/>
      <c r="L201" s="1019"/>
      <c r="M201" s="1028"/>
    </row>
    <row r="202" spans="11:13" x14ac:dyDescent="0.25">
      <c r="K202" s="1019"/>
      <c r="L202" s="1019"/>
      <c r="M202" s="1028"/>
    </row>
    <row r="203" spans="11:13" x14ac:dyDescent="0.25">
      <c r="K203" s="1019"/>
      <c r="L203" s="1019"/>
      <c r="M203" s="1028"/>
    </row>
    <row r="204" spans="11:13" x14ac:dyDescent="0.25">
      <c r="K204" s="1019"/>
      <c r="L204" s="1019"/>
      <c r="M204" s="1028"/>
    </row>
    <row r="205" spans="11:13" x14ac:dyDescent="0.25">
      <c r="K205" s="1019"/>
      <c r="L205" s="1019"/>
      <c r="M205" s="1028"/>
    </row>
    <row r="206" spans="11:13" x14ac:dyDescent="0.25">
      <c r="K206" s="1019"/>
      <c r="L206" s="1019"/>
      <c r="M206" s="1028"/>
    </row>
    <row r="207" spans="11:13" x14ac:dyDescent="0.25">
      <c r="K207" s="1019"/>
      <c r="L207" s="1019"/>
      <c r="M207" s="1028"/>
    </row>
    <row r="208" spans="11:13" x14ac:dyDescent="0.25">
      <c r="K208" s="1019"/>
      <c r="L208" s="1019"/>
      <c r="M208" s="1028"/>
    </row>
    <row r="209" spans="11:13" x14ac:dyDescent="0.25">
      <c r="K209" s="1019"/>
      <c r="L209" s="1019"/>
      <c r="M209" s="1028"/>
    </row>
    <row r="210" spans="11:13" x14ac:dyDescent="0.25">
      <c r="K210" s="1019"/>
      <c r="L210" s="1019"/>
      <c r="M210" s="1028"/>
    </row>
    <row r="211" spans="11:13" x14ac:dyDescent="0.25">
      <c r="K211" s="1019"/>
      <c r="L211" s="1019"/>
      <c r="M211" s="1028"/>
    </row>
    <row r="212" spans="11:13" x14ac:dyDescent="0.25">
      <c r="K212" s="1019"/>
      <c r="L212" s="1019"/>
      <c r="M212" s="1028"/>
    </row>
    <row r="213" spans="11:13" x14ac:dyDescent="0.25">
      <c r="K213" s="1019"/>
      <c r="L213" s="1019"/>
      <c r="M213" s="1028"/>
    </row>
    <row r="214" spans="11:13" x14ac:dyDescent="0.25">
      <c r="K214" s="1019"/>
      <c r="L214" s="1019"/>
      <c r="M214" s="1028"/>
    </row>
    <row r="215" spans="11:13" x14ac:dyDescent="0.25">
      <c r="K215" s="1019"/>
      <c r="L215" s="1019"/>
      <c r="M215" s="1028"/>
    </row>
    <row r="216" spans="11:13" x14ac:dyDescent="0.25">
      <c r="K216" s="1019"/>
      <c r="L216" s="1019"/>
      <c r="M216" s="1028"/>
    </row>
    <row r="217" spans="11:13" x14ac:dyDescent="0.25">
      <c r="K217" s="1019"/>
      <c r="L217" s="1019"/>
      <c r="M217" s="1028"/>
    </row>
    <row r="218" spans="11:13" x14ac:dyDescent="0.25">
      <c r="K218" s="1019"/>
      <c r="L218" s="1019"/>
      <c r="M218" s="1028"/>
    </row>
    <row r="219" spans="11:13" x14ac:dyDescent="0.25">
      <c r="K219" s="1019"/>
      <c r="L219" s="1019"/>
      <c r="M219" s="1028"/>
    </row>
    <row r="220" spans="11:13" x14ac:dyDescent="0.25">
      <c r="K220" s="1019"/>
      <c r="L220" s="1019"/>
      <c r="M220" s="1028"/>
    </row>
    <row r="221" spans="11:13" x14ac:dyDescent="0.25">
      <c r="K221" s="1019"/>
      <c r="L221" s="1019"/>
      <c r="M221" s="1028"/>
    </row>
    <row r="222" spans="11:13" x14ac:dyDescent="0.25">
      <c r="K222" s="1019"/>
      <c r="L222" s="1019"/>
      <c r="M222" s="1028"/>
    </row>
    <row r="223" spans="11:13" x14ac:dyDescent="0.25">
      <c r="K223" s="1019"/>
      <c r="L223" s="1019"/>
      <c r="M223" s="1028"/>
    </row>
    <row r="224" spans="11:13" x14ac:dyDescent="0.25">
      <c r="K224" s="1019"/>
      <c r="L224" s="1019"/>
      <c r="M224" s="1028"/>
    </row>
    <row r="225" spans="11:13" x14ac:dyDescent="0.25">
      <c r="K225" s="1019"/>
      <c r="L225" s="1019"/>
      <c r="M225" s="1028"/>
    </row>
    <row r="226" spans="11:13" x14ac:dyDescent="0.25">
      <c r="K226" s="1019"/>
      <c r="L226" s="1019"/>
      <c r="M226" s="1028"/>
    </row>
    <row r="227" spans="11:13" x14ac:dyDescent="0.25">
      <c r="K227" s="1019"/>
      <c r="L227" s="1019"/>
      <c r="M227" s="1028"/>
    </row>
    <row r="228" spans="11:13" x14ac:dyDescent="0.25">
      <c r="K228" s="1019"/>
      <c r="L228" s="1019"/>
      <c r="M228" s="1028"/>
    </row>
    <row r="229" spans="11:13" x14ac:dyDescent="0.25">
      <c r="K229" s="1019"/>
      <c r="L229" s="1019"/>
      <c r="M229" s="1028"/>
    </row>
    <row r="230" spans="11:13" x14ac:dyDescent="0.25">
      <c r="K230" s="1019"/>
      <c r="L230" s="1019"/>
      <c r="M230" s="1028"/>
    </row>
    <row r="231" spans="11:13" x14ac:dyDescent="0.25">
      <c r="K231" s="1019"/>
      <c r="L231" s="1019"/>
      <c r="M231" s="1028"/>
    </row>
    <row r="232" spans="11:13" x14ac:dyDescent="0.25">
      <c r="K232" s="1019"/>
      <c r="L232" s="1019"/>
      <c r="M232" s="1028"/>
    </row>
    <row r="233" spans="11:13" x14ac:dyDescent="0.25">
      <c r="K233" s="1019"/>
      <c r="L233" s="1019"/>
      <c r="M233" s="1028"/>
    </row>
    <row r="234" spans="11:13" x14ac:dyDescent="0.25">
      <c r="K234" s="1019"/>
      <c r="L234" s="1019"/>
      <c r="M234" s="1028"/>
    </row>
    <row r="235" spans="11:13" x14ac:dyDescent="0.25">
      <c r="K235" s="1019"/>
      <c r="L235" s="1019"/>
      <c r="M235" s="1028"/>
    </row>
    <row r="236" spans="11:13" x14ac:dyDescent="0.25">
      <c r="K236" s="1019"/>
      <c r="L236" s="1019"/>
      <c r="M236" s="1028"/>
    </row>
    <row r="237" spans="11:13" x14ac:dyDescent="0.25">
      <c r="K237" s="1019"/>
      <c r="L237" s="1019"/>
      <c r="M237" s="1028"/>
    </row>
    <row r="238" spans="11:13" x14ac:dyDescent="0.25">
      <c r="K238" s="1019"/>
      <c r="L238" s="1019"/>
      <c r="M238" s="1028"/>
    </row>
    <row r="239" spans="11:13" x14ac:dyDescent="0.25">
      <c r="K239" s="1019"/>
      <c r="L239" s="1019"/>
      <c r="M239" s="1028"/>
    </row>
    <row r="240" spans="11:13" x14ac:dyDescent="0.25">
      <c r="K240" s="1019"/>
      <c r="L240" s="1019"/>
      <c r="M240" s="1028"/>
    </row>
    <row r="241" spans="11:13" x14ac:dyDescent="0.25">
      <c r="K241" s="1019"/>
      <c r="L241" s="1019"/>
      <c r="M241" s="1028"/>
    </row>
    <row r="242" spans="11:13" x14ac:dyDescent="0.25">
      <c r="K242" s="1019"/>
      <c r="L242" s="1019"/>
      <c r="M242" s="1028"/>
    </row>
    <row r="243" spans="11:13" x14ac:dyDescent="0.25">
      <c r="K243" s="1019"/>
      <c r="L243" s="1019"/>
      <c r="M243" s="1028"/>
    </row>
    <row r="244" spans="11:13" x14ac:dyDescent="0.25">
      <c r="K244" s="1019"/>
      <c r="L244" s="1019"/>
      <c r="M244" s="1028"/>
    </row>
    <row r="245" spans="11:13" x14ac:dyDescent="0.25">
      <c r="K245" s="1019"/>
      <c r="L245" s="1019"/>
      <c r="M245" s="1028"/>
    </row>
    <row r="246" spans="11:13" x14ac:dyDescent="0.25">
      <c r="K246" s="1019"/>
      <c r="L246" s="1019"/>
      <c r="M246" s="1028"/>
    </row>
    <row r="247" spans="11:13" x14ac:dyDescent="0.25">
      <c r="K247" s="1019"/>
      <c r="L247" s="1019"/>
      <c r="M247" s="1028"/>
    </row>
    <row r="248" spans="11:13" x14ac:dyDescent="0.25">
      <c r="K248" s="1019"/>
      <c r="L248" s="1019"/>
      <c r="M248" s="1028"/>
    </row>
    <row r="249" spans="11:13" x14ac:dyDescent="0.25">
      <c r="K249" s="1019"/>
      <c r="L249" s="1019"/>
      <c r="M249" s="1028"/>
    </row>
    <row r="250" spans="11:13" x14ac:dyDescent="0.25">
      <c r="K250" s="1019"/>
      <c r="L250" s="1019"/>
      <c r="M250" s="1028"/>
    </row>
    <row r="251" spans="11:13" x14ac:dyDescent="0.25">
      <c r="K251" s="1019"/>
      <c r="L251" s="1019"/>
      <c r="M251" s="1028"/>
    </row>
    <row r="252" spans="11:13" x14ac:dyDescent="0.25">
      <c r="K252" s="1019"/>
      <c r="L252" s="1019"/>
      <c r="M252" s="1028"/>
    </row>
    <row r="253" spans="11:13" x14ac:dyDescent="0.25">
      <c r="K253" s="1019"/>
      <c r="L253" s="1019"/>
      <c r="M253" s="1028"/>
    </row>
    <row r="254" spans="11:13" x14ac:dyDescent="0.25">
      <c r="K254" s="1019"/>
      <c r="L254" s="1019"/>
      <c r="M254" s="1028"/>
    </row>
    <row r="255" spans="11:13" x14ac:dyDescent="0.25">
      <c r="K255" s="1019"/>
      <c r="L255" s="1019"/>
      <c r="M255" s="1028"/>
    </row>
    <row r="256" spans="11:13" x14ac:dyDescent="0.25">
      <c r="K256" s="1019"/>
      <c r="L256" s="1019"/>
      <c r="M256" s="1028"/>
    </row>
    <row r="257" spans="11:13" x14ac:dyDescent="0.25">
      <c r="K257" s="1019"/>
      <c r="L257" s="1019"/>
      <c r="M257" s="1028"/>
    </row>
    <row r="258" spans="11:13" x14ac:dyDescent="0.25">
      <c r="K258" s="1019"/>
      <c r="L258" s="1019"/>
      <c r="M258" s="1028"/>
    </row>
    <row r="259" spans="11:13" x14ac:dyDescent="0.25">
      <c r="K259" s="1019"/>
      <c r="L259" s="1019"/>
      <c r="M259" s="1028"/>
    </row>
    <row r="260" spans="11:13" x14ac:dyDescent="0.25">
      <c r="K260" s="1019"/>
      <c r="L260" s="1019"/>
      <c r="M260" s="1028"/>
    </row>
    <row r="261" spans="11:13" x14ac:dyDescent="0.25">
      <c r="K261" s="1019"/>
      <c r="L261" s="1019"/>
      <c r="M261" s="1028"/>
    </row>
    <row r="262" spans="11:13" x14ac:dyDescent="0.25">
      <c r="K262" s="1019"/>
      <c r="L262" s="1019"/>
      <c r="M262" s="1028"/>
    </row>
    <row r="263" spans="11:13" x14ac:dyDescent="0.25">
      <c r="K263" s="1019"/>
      <c r="L263" s="1019"/>
      <c r="M263" s="1028"/>
    </row>
    <row r="264" spans="11:13" x14ac:dyDescent="0.25">
      <c r="K264" s="1019"/>
      <c r="L264" s="1019"/>
      <c r="M264" s="1028"/>
    </row>
    <row r="265" spans="11:13" x14ac:dyDescent="0.25">
      <c r="K265" s="1019"/>
      <c r="L265" s="1019"/>
      <c r="M265" s="1028"/>
    </row>
    <row r="266" spans="11:13" x14ac:dyDescent="0.25">
      <c r="K266" s="1019"/>
      <c r="L266" s="1019"/>
      <c r="M266" s="1028"/>
    </row>
    <row r="267" spans="11:13" x14ac:dyDescent="0.25">
      <c r="K267" s="1019"/>
      <c r="L267" s="1019"/>
      <c r="M267" s="1028"/>
    </row>
    <row r="268" spans="11:13" x14ac:dyDescent="0.25">
      <c r="K268" s="1019"/>
      <c r="L268" s="1019"/>
      <c r="M268" s="1028"/>
    </row>
    <row r="269" spans="11:13" x14ac:dyDescent="0.25">
      <c r="K269" s="1019"/>
      <c r="L269" s="1019"/>
      <c r="M269" s="1028"/>
    </row>
    <row r="270" spans="11:13" x14ac:dyDescent="0.25">
      <c r="K270" s="1019"/>
      <c r="L270" s="1019"/>
      <c r="M270" s="1028"/>
    </row>
    <row r="271" spans="11:13" x14ac:dyDescent="0.25">
      <c r="K271" s="1019"/>
      <c r="L271" s="1019"/>
      <c r="M271" s="1028"/>
    </row>
    <row r="272" spans="11:13" x14ac:dyDescent="0.25">
      <c r="K272" s="1019"/>
      <c r="L272" s="1019"/>
      <c r="M272" s="1028"/>
    </row>
    <row r="273" spans="11:13" x14ac:dyDescent="0.25">
      <c r="K273" s="1019"/>
      <c r="L273" s="1019"/>
      <c r="M273" s="1028"/>
    </row>
    <row r="274" spans="11:13" x14ac:dyDescent="0.25">
      <c r="K274" s="1019"/>
      <c r="L274" s="1019"/>
      <c r="M274" s="1028"/>
    </row>
    <row r="275" spans="11:13" x14ac:dyDescent="0.25">
      <c r="K275" s="1019"/>
      <c r="L275" s="1019"/>
      <c r="M275" s="1028"/>
    </row>
    <row r="276" spans="11:13" x14ac:dyDescent="0.25">
      <c r="K276" s="1019"/>
      <c r="L276" s="1019"/>
      <c r="M276" s="1028"/>
    </row>
    <row r="277" spans="11:13" x14ac:dyDescent="0.25">
      <c r="K277" s="1019"/>
      <c r="L277" s="1019"/>
      <c r="M277" s="1028"/>
    </row>
    <row r="278" spans="11:13" x14ac:dyDescent="0.25">
      <c r="K278" s="1019"/>
      <c r="L278" s="1019"/>
      <c r="M278" s="1028"/>
    </row>
    <row r="279" spans="11:13" x14ac:dyDescent="0.25">
      <c r="K279" s="1019"/>
      <c r="L279" s="1019"/>
      <c r="M279" s="1028"/>
    </row>
    <row r="280" spans="11:13" x14ac:dyDescent="0.25">
      <c r="K280" s="1019"/>
      <c r="L280" s="1019"/>
      <c r="M280" s="1028"/>
    </row>
    <row r="281" spans="11:13" x14ac:dyDescent="0.25">
      <c r="K281" s="1019"/>
      <c r="L281" s="1019"/>
      <c r="M281" s="1028"/>
    </row>
    <row r="282" spans="11:13" x14ac:dyDescent="0.25">
      <c r="K282" s="1019"/>
      <c r="L282" s="1019"/>
      <c r="M282" s="1028"/>
    </row>
    <row r="283" spans="11:13" x14ac:dyDescent="0.25">
      <c r="K283" s="1019"/>
      <c r="L283" s="1019"/>
      <c r="M283" s="1028"/>
    </row>
    <row r="284" spans="11:13" x14ac:dyDescent="0.25">
      <c r="K284" s="1019"/>
      <c r="L284" s="1019"/>
      <c r="M284" s="1028"/>
    </row>
    <row r="285" spans="11:13" x14ac:dyDescent="0.25">
      <c r="K285" s="1019"/>
      <c r="L285" s="1019"/>
      <c r="M285" s="1028"/>
    </row>
    <row r="286" spans="11:13" x14ac:dyDescent="0.25">
      <c r="K286" s="1019"/>
      <c r="L286" s="1019"/>
      <c r="M286" s="1028"/>
    </row>
    <row r="287" spans="11:13" x14ac:dyDescent="0.25">
      <c r="K287" s="1019"/>
      <c r="L287" s="1019"/>
      <c r="M287" s="1028"/>
    </row>
    <row r="288" spans="11:13" x14ac:dyDescent="0.25">
      <c r="K288" s="1019"/>
      <c r="L288" s="1019"/>
      <c r="M288" s="1028"/>
    </row>
    <row r="289" spans="11:13" x14ac:dyDescent="0.25">
      <c r="K289" s="1019"/>
      <c r="L289" s="1019"/>
      <c r="M289" s="1028"/>
    </row>
    <row r="290" spans="11:13" x14ac:dyDescent="0.25">
      <c r="K290" s="1019"/>
      <c r="L290" s="1019"/>
      <c r="M290" s="1028"/>
    </row>
    <row r="291" spans="11:13" x14ac:dyDescent="0.25">
      <c r="K291" s="1019"/>
      <c r="L291" s="1019"/>
      <c r="M291" s="1028"/>
    </row>
    <row r="292" spans="11:13" x14ac:dyDescent="0.25">
      <c r="K292" s="1019"/>
      <c r="L292" s="1019"/>
      <c r="M292" s="1028"/>
    </row>
    <row r="293" spans="11:13" x14ac:dyDescent="0.25">
      <c r="K293" s="1019"/>
      <c r="L293" s="1019"/>
      <c r="M293" s="1028"/>
    </row>
    <row r="294" spans="11:13" x14ac:dyDescent="0.25">
      <c r="K294" s="1019"/>
      <c r="L294" s="1019"/>
      <c r="M294" s="1028"/>
    </row>
    <row r="295" spans="11:13" x14ac:dyDescent="0.25">
      <c r="K295" s="1019"/>
      <c r="L295" s="1019"/>
      <c r="M295" s="1028"/>
    </row>
    <row r="296" spans="11:13" x14ac:dyDescent="0.25">
      <c r="K296" s="1019"/>
      <c r="L296" s="1019"/>
      <c r="M296" s="1028"/>
    </row>
    <row r="297" spans="11:13" x14ac:dyDescent="0.25">
      <c r="K297" s="1019"/>
      <c r="L297" s="1019"/>
      <c r="M297" s="1028"/>
    </row>
    <row r="298" spans="11:13" x14ac:dyDescent="0.25">
      <c r="K298" s="1019"/>
      <c r="L298" s="1019"/>
      <c r="M298" s="1028"/>
    </row>
    <row r="299" spans="11:13" x14ac:dyDescent="0.25">
      <c r="K299" s="1019"/>
      <c r="L299" s="1019"/>
      <c r="M299" s="1028"/>
    </row>
    <row r="300" spans="11:13" x14ac:dyDescent="0.25">
      <c r="K300" s="1019"/>
      <c r="L300" s="1019"/>
      <c r="M300" s="1028"/>
    </row>
    <row r="301" spans="11:13" x14ac:dyDescent="0.25">
      <c r="K301" s="1019"/>
      <c r="L301" s="1019"/>
      <c r="M301" s="1028"/>
    </row>
    <row r="302" spans="11:13" x14ac:dyDescent="0.25">
      <c r="K302" s="1019"/>
      <c r="L302" s="1019"/>
      <c r="M302" s="1028"/>
    </row>
    <row r="303" spans="11:13" x14ac:dyDescent="0.25">
      <c r="K303" s="1019"/>
      <c r="L303" s="1019"/>
      <c r="M303" s="1028"/>
    </row>
    <row r="304" spans="11:13" x14ac:dyDescent="0.25">
      <c r="K304" s="1019"/>
      <c r="L304" s="1019"/>
      <c r="M304" s="1028"/>
    </row>
    <row r="305" spans="11:13" x14ac:dyDescent="0.25">
      <c r="K305" s="1019"/>
      <c r="L305" s="1019"/>
      <c r="M305" s="1028"/>
    </row>
    <row r="306" spans="11:13" x14ac:dyDescent="0.25">
      <c r="K306" s="1019"/>
      <c r="L306" s="1019"/>
      <c r="M306" s="1028"/>
    </row>
    <row r="307" spans="11:13" x14ac:dyDescent="0.25">
      <c r="K307" s="1019"/>
      <c r="L307" s="1019"/>
      <c r="M307" s="1028"/>
    </row>
    <row r="308" spans="11:13" x14ac:dyDescent="0.25">
      <c r="K308" s="1019"/>
      <c r="L308" s="1019"/>
      <c r="M308" s="1028"/>
    </row>
    <row r="309" spans="11:13" x14ac:dyDescent="0.25">
      <c r="K309" s="1019"/>
      <c r="L309" s="1019"/>
      <c r="M309" s="1028"/>
    </row>
    <row r="310" spans="11:13" x14ac:dyDescent="0.25">
      <c r="K310" s="1019"/>
      <c r="L310" s="1019"/>
      <c r="M310" s="1028"/>
    </row>
    <row r="311" spans="11:13" x14ac:dyDescent="0.25">
      <c r="K311" s="1019"/>
      <c r="L311" s="1019"/>
      <c r="M311" s="1028"/>
    </row>
    <row r="312" spans="11:13" x14ac:dyDescent="0.25">
      <c r="K312" s="1019"/>
      <c r="L312" s="1019"/>
      <c r="M312" s="1028"/>
    </row>
    <row r="313" spans="11:13" x14ac:dyDescent="0.25">
      <c r="K313" s="1019"/>
      <c r="L313" s="1019"/>
      <c r="M313" s="1028"/>
    </row>
    <row r="314" spans="11:13" x14ac:dyDescent="0.25">
      <c r="K314" s="1019"/>
      <c r="L314" s="1019"/>
      <c r="M314" s="1028"/>
    </row>
    <row r="315" spans="11:13" x14ac:dyDescent="0.25">
      <c r="K315" s="1019"/>
      <c r="L315" s="1019"/>
      <c r="M315" s="1028"/>
    </row>
    <row r="316" spans="11:13" x14ac:dyDescent="0.25">
      <c r="K316" s="1019"/>
      <c r="L316" s="1019"/>
      <c r="M316" s="1028"/>
    </row>
    <row r="317" spans="11:13" x14ac:dyDescent="0.25">
      <c r="K317" s="1019"/>
      <c r="L317" s="1019"/>
      <c r="M317" s="1028"/>
    </row>
    <row r="318" spans="11:13" x14ac:dyDescent="0.25">
      <c r="K318" s="1019"/>
      <c r="L318" s="1019"/>
      <c r="M318" s="1028"/>
    </row>
    <row r="319" spans="11:13" x14ac:dyDescent="0.25">
      <c r="K319" s="1019"/>
      <c r="L319" s="1019"/>
      <c r="M319" s="1028"/>
    </row>
    <row r="320" spans="11:13" x14ac:dyDescent="0.25">
      <c r="K320" s="1019"/>
      <c r="L320" s="1019"/>
      <c r="M320" s="1028"/>
    </row>
    <row r="321" spans="11:13" x14ac:dyDescent="0.25">
      <c r="K321" s="1019"/>
      <c r="L321" s="1019"/>
      <c r="M321" s="1028"/>
    </row>
    <row r="322" spans="11:13" x14ac:dyDescent="0.25">
      <c r="K322" s="1019"/>
      <c r="L322" s="1019"/>
      <c r="M322" s="1028"/>
    </row>
    <row r="323" spans="11:13" x14ac:dyDescent="0.25">
      <c r="K323" s="1019"/>
      <c r="L323" s="1019"/>
      <c r="M323" s="1028"/>
    </row>
    <row r="324" spans="11:13" x14ac:dyDescent="0.25">
      <c r="K324" s="1019"/>
      <c r="L324" s="1019"/>
      <c r="M324" s="1028"/>
    </row>
    <row r="325" spans="11:13" x14ac:dyDescent="0.25">
      <c r="K325" s="1019"/>
      <c r="L325" s="1019"/>
      <c r="M325" s="1028"/>
    </row>
    <row r="326" spans="11:13" x14ac:dyDescent="0.25">
      <c r="K326" s="1019"/>
      <c r="L326" s="1019"/>
      <c r="M326" s="1028"/>
    </row>
    <row r="327" spans="11:13" x14ac:dyDescent="0.25">
      <c r="K327" s="1019"/>
      <c r="L327" s="1019"/>
      <c r="M327" s="1028"/>
    </row>
    <row r="328" spans="11:13" x14ac:dyDescent="0.25">
      <c r="K328" s="1019"/>
      <c r="L328" s="1019"/>
      <c r="M328" s="1028"/>
    </row>
    <row r="329" spans="11:13" x14ac:dyDescent="0.25">
      <c r="K329" s="1019"/>
      <c r="L329" s="1019"/>
      <c r="M329" s="1028"/>
    </row>
    <row r="330" spans="11:13" x14ac:dyDescent="0.25">
      <c r="K330" s="1019"/>
      <c r="L330" s="1019"/>
      <c r="M330" s="1028"/>
    </row>
    <row r="331" spans="11:13" x14ac:dyDescent="0.25">
      <c r="K331" s="1019"/>
      <c r="L331" s="1019"/>
      <c r="M331" s="1028"/>
    </row>
    <row r="332" spans="11:13" x14ac:dyDescent="0.25">
      <c r="K332" s="1019"/>
      <c r="L332" s="1019"/>
      <c r="M332" s="1028"/>
    </row>
    <row r="333" spans="11:13" x14ac:dyDescent="0.25">
      <c r="K333" s="1019"/>
      <c r="L333" s="1019"/>
      <c r="M333" s="1028"/>
    </row>
    <row r="334" spans="11:13" x14ac:dyDescent="0.25">
      <c r="K334" s="1019"/>
      <c r="L334" s="1019"/>
      <c r="M334" s="1028"/>
    </row>
    <row r="335" spans="11:13" x14ac:dyDescent="0.25">
      <c r="K335" s="1019"/>
      <c r="L335" s="1019"/>
      <c r="M335" s="1028"/>
    </row>
    <row r="336" spans="11:13" x14ac:dyDescent="0.25">
      <c r="K336" s="1019"/>
      <c r="L336" s="1019"/>
      <c r="M336" s="1028"/>
    </row>
    <row r="337" spans="11:13" x14ac:dyDescent="0.25">
      <c r="K337" s="1019"/>
      <c r="L337" s="1019"/>
      <c r="M337" s="1028"/>
    </row>
    <row r="338" spans="11:13" x14ac:dyDescent="0.25">
      <c r="K338" s="1019"/>
      <c r="L338" s="1019"/>
      <c r="M338" s="1028"/>
    </row>
    <row r="339" spans="11:13" x14ac:dyDescent="0.25">
      <c r="K339" s="1019"/>
      <c r="L339" s="1019"/>
      <c r="M339" s="1028"/>
    </row>
    <row r="340" spans="11:13" x14ac:dyDescent="0.25">
      <c r="K340" s="1019"/>
      <c r="L340" s="1019"/>
      <c r="M340" s="1028"/>
    </row>
    <row r="341" spans="11:13" x14ac:dyDescent="0.25">
      <c r="K341" s="1019"/>
      <c r="L341" s="1019"/>
      <c r="M341" s="1028"/>
    </row>
    <row r="342" spans="11:13" x14ac:dyDescent="0.25">
      <c r="K342" s="1019"/>
      <c r="L342" s="1019"/>
      <c r="M342" s="1028"/>
    </row>
    <row r="343" spans="11:13" x14ac:dyDescent="0.25">
      <c r="K343" s="1019"/>
      <c r="L343" s="1019"/>
      <c r="M343" s="1028"/>
    </row>
    <row r="344" spans="11:13" x14ac:dyDescent="0.25">
      <c r="K344" s="1019"/>
      <c r="L344" s="1019"/>
      <c r="M344" s="1028"/>
    </row>
    <row r="345" spans="11:13" x14ac:dyDescent="0.25">
      <c r="K345" s="1019"/>
      <c r="L345" s="1019"/>
      <c r="M345" s="1028"/>
    </row>
    <row r="346" spans="11:13" x14ac:dyDescent="0.25">
      <c r="K346" s="1019"/>
      <c r="L346" s="1019"/>
      <c r="M346" s="1028"/>
    </row>
    <row r="347" spans="11:13" x14ac:dyDescent="0.25">
      <c r="K347" s="1019"/>
      <c r="L347" s="1019"/>
      <c r="M347" s="1028"/>
    </row>
    <row r="348" spans="11:13" x14ac:dyDescent="0.25">
      <c r="K348" s="1019"/>
      <c r="L348" s="1019"/>
      <c r="M348" s="1028"/>
    </row>
    <row r="349" spans="11:13" x14ac:dyDescent="0.25">
      <c r="K349" s="1019"/>
      <c r="L349" s="1019"/>
      <c r="M349" s="1028"/>
    </row>
    <row r="350" spans="11:13" x14ac:dyDescent="0.25">
      <c r="K350" s="1019"/>
      <c r="L350" s="1019"/>
      <c r="M350" s="1028"/>
    </row>
    <row r="351" spans="11:13" x14ac:dyDescent="0.25">
      <c r="K351" s="1019"/>
      <c r="L351" s="1019"/>
      <c r="M351" s="1028"/>
    </row>
    <row r="352" spans="11:13" x14ac:dyDescent="0.25">
      <c r="K352" s="1019"/>
      <c r="L352" s="1019"/>
      <c r="M352" s="1028"/>
    </row>
    <row r="353" spans="11:13" x14ac:dyDescent="0.25">
      <c r="K353" s="1019"/>
      <c r="L353" s="1019"/>
      <c r="M353" s="1028"/>
    </row>
    <row r="354" spans="11:13" x14ac:dyDescent="0.25">
      <c r="K354" s="1019"/>
      <c r="L354" s="1019"/>
      <c r="M354" s="1028"/>
    </row>
    <row r="355" spans="11:13" x14ac:dyDescent="0.25">
      <c r="K355" s="1019"/>
      <c r="L355" s="1019"/>
      <c r="M355" s="1028"/>
    </row>
    <row r="356" spans="11:13" x14ac:dyDescent="0.25">
      <c r="K356" s="1019"/>
      <c r="L356" s="1019"/>
      <c r="M356" s="1028"/>
    </row>
    <row r="357" spans="11:13" x14ac:dyDescent="0.25">
      <c r="K357" s="1019"/>
      <c r="L357" s="1019"/>
      <c r="M357" s="1028"/>
    </row>
    <row r="358" spans="11:13" x14ac:dyDescent="0.25">
      <c r="K358" s="1019"/>
      <c r="L358" s="1019"/>
      <c r="M358" s="1028"/>
    </row>
    <row r="359" spans="11:13" x14ac:dyDescent="0.25">
      <c r="K359" s="1019"/>
      <c r="L359" s="1019"/>
      <c r="M359" s="1028"/>
    </row>
    <row r="360" spans="11:13" x14ac:dyDescent="0.25">
      <c r="K360" s="1019"/>
      <c r="L360" s="1019"/>
      <c r="M360" s="1028"/>
    </row>
    <row r="361" spans="11:13" x14ac:dyDescent="0.25">
      <c r="K361" s="1019"/>
      <c r="L361" s="1019"/>
      <c r="M361" s="1028"/>
    </row>
    <row r="362" spans="11:13" x14ac:dyDescent="0.25">
      <c r="K362" s="1019"/>
      <c r="L362" s="1019"/>
      <c r="M362" s="1028"/>
    </row>
    <row r="363" spans="11:13" x14ac:dyDescent="0.25">
      <c r="K363" s="1019"/>
      <c r="L363" s="1019"/>
      <c r="M363" s="1028"/>
    </row>
    <row r="364" spans="11:13" x14ac:dyDescent="0.25">
      <c r="K364" s="1019"/>
      <c r="L364" s="1019"/>
      <c r="M364" s="1028"/>
    </row>
    <row r="365" spans="11:13" x14ac:dyDescent="0.25">
      <c r="K365" s="1019"/>
      <c r="L365" s="1019"/>
      <c r="M365" s="1028"/>
    </row>
    <row r="366" spans="11:13" x14ac:dyDescent="0.25">
      <c r="K366" s="1019"/>
      <c r="L366" s="1019"/>
      <c r="M366" s="1028"/>
    </row>
    <row r="367" spans="11:13" x14ac:dyDescent="0.25">
      <c r="K367" s="1019"/>
      <c r="L367" s="1019"/>
      <c r="M367" s="1028"/>
    </row>
    <row r="368" spans="11:13" x14ac:dyDescent="0.25">
      <c r="K368" s="1019"/>
      <c r="L368" s="1019"/>
      <c r="M368" s="1028"/>
    </row>
    <row r="369" spans="11:13" x14ac:dyDescent="0.25">
      <c r="K369" s="1019"/>
      <c r="L369" s="1019"/>
      <c r="M369" s="1028"/>
    </row>
    <row r="370" spans="11:13" x14ac:dyDescent="0.25">
      <c r="K370" s="1019"/>
      <c r="L370" s="1019"/>
      <c r="M370" s="1028"/>
    </row>
    <row r="371" spans="11:13" x14ac:dyDescent="0.25">
      <c r="K371" s="1019"/>
      <c r="L371" s="1019"/>
      <c r="M371" s="1028"/>
    </row>
    <row r="372" spans="11:13" x14ac:dyDescent="0.25">
      <c r="K372" s="1019"/>
      <c r="L372" s="1019"/>
      <c r="M372" s="1028"/>
    </row>
    <row r="373" spans="11:13" x14ac:dyDescent="0.25">
      <c r="K373" s="1019"/>
      <c r="L373" s="1019"/>
      <c r="M373" s="1028"/>
    </row>
    <row r="374" spans="11:13" x14ac:dyDescent="0.25">
      <c r="K374" s="1019"/>
      <c r="L374" s="1019"/>
      <c r="M374" s="1028"/>
    </row>
    <row r="375" spans="11:13" x14ac:dyDescent="0.25">
      <c r="K375" s="1019"/>
      <c r="L375" s="1019"/>
      <c r="M375" s="1028"/>
    </row>
    <row r="376" spans="11:13" x14ac:dyDescent="0.25">
      <c r="K376" s="1019"/>
      <c r="L376" s="1019"/>
      <c r="M376" s="1028"/>
    </row>
    <row r="377" spans="11:13" x14ac:dyDescent="0.25">
      <c r="K377" s="1019"/>
      <c r="L377" s="1019"/>
      <c r="M377" s="1028"/>
    </row>
    <row r="378" spans="11:13" x14ac:dyDescent="0.25">
      <c r="K378" s="1019"/>
      <c r="L378" s="1019"/>
      <c r="M378" s="1028"/>
    </row>
    <row r="379" spans="11:13" x14ac:dyDescent="0.25">
      <c r="K379" s="1019"/>
      <c r="L379" s="1019"/>
      <c r="M379" s="1028"/>
    </row>
    <row r="380" spans="11:13" x14ac:dyDescent="0.25">
      <c r="K380" s="1019"/>
      <c r="L380" s="1019"/>
      <c r="M380" s="1028"/>
    </row>
    <row r="381" spans="11:13" x14ac:dyDescent="0.25">
      <c r="K381" s="1019"/>
      <c r="L381" s="1019"/>
      <c r="M381" s="1028"/>
    </row>
    <row r="382" spans="11:13" x14ac:dyDescent="0.25">
      <c r="K382" s="1019"/>
      <c r="L382" s="1019"/>
      <c r="M382" s="1028"/>
    </row>
    <row r="383" spans="11:13" x14ac:dyDescent="0.25">
      <c r="K383" s="1019"/>
      <c r="L383" s="1019"/>
      <c r="M383" s="1028"/>
    </row>
    <row r="384" spans="11:13" x14ac:dyDescent="0.25">
      <c r="K384" s="1019"/>
      <c r="L384" s="1019"/>
      <c r="M384" s="1028"/>
    </row>
    <row r="385" spans="11:13" x14ac:dyDescent="0.25">
      <c r="K385" s="1019"/>
      <c r="L385" s="1019"/>
      <c r="M385" s="1028"/>
    </row>
    <row r="386" spans="11:13" x14ac:dyDescent="0.25">
      <c r="K386" s="1019"/>
      <c r="L386" s="1019"/>
      <c r="M386" s="1028"/>
    </row>
    <row r="387" spans="11:13" x14ac:dyDescent="0.25">
      <c r="K387" s="1019"/>
      <c r="L387" s="1019"/>
      <c r="M387" s="1028"/>
    </row>
    <row r="388" spans="11:13" x14ac:dyDescent="0.25">
      <c r="K388" s="1019"/>
      <c r="L388" s="1019"/>
      <c r="M388" s="1028"/>
    </row>
    <row r="389" spans="11:13" x14ac:dyDescent="0.25">
      <c r="K389" s="1019"/>
      <c r="L389" s="1019"/>
      <c r="M389" s="1028"/>
    </row>
    <row r="390" spans="11:13" x14ac:dyDescent="0.25">
      <c r="K390" s="1019"/>
      <c r="L390" s="1019"/>
      <c r="M390" s="1028"/>
    </row>
    <row r="391" spans="11:13" x14ac:dyDescent="0.25">
      <c r="K391" s="1019"/>
      <c r="L391" s="1019"/>
      <c r="M391" s="1028"/>
    </row>
    <row r="392" spans="11:13" x14ac:dyDescent="0.25">
      <c r="K392" s="1019"/>
      <c r="L392" s="1019"/>
      <c r="M392" s="1028"/>
    </row>
    <row r="393" spans="11:13" x14ac:dyDescent="0.25">
      <c r="K393" s="1019"/>
      <c r="L393" s="1019"/>
      <c r="M393" s="1028"/>
    </row>
    <row r="394" spans="11:13" x14ac:dyDescent="0.25">
      <c r="K394" s="1019"/>
      <c r="L394" s="1019"/>
      <c r="M394" s="1028"/>
    </row>
    <row r="395" spans="11:13" x14ac:dyDescent="0.25">
      <c r="K395" s="1019"/>
      <c r="L395" s="1019"/>
      <c r="M395" s="1028"/>
    </row>
    <row r="396" spans="11:13" x14ac:dyDescent="0.25">
      <c r="K396" s="1019"/>
      <c r="L396" s="1019"/>
      <c r="M396" s="1028"/>
    </row>
    <row r="397" spans="11:13" x14ac:dyDescent="0.25">
      <c r="K397" s="1019"/>
      <c r="L397" s="1019"/>
      <c r="M397" s="1028"/>
    </row>
    <row r="398" spans="11:13" x14ac:dyDescent="0.25">
      <c r="K398" s="1019"/>
      <c r="L398" s="1019"/>
      <c r="M398" s="1028"/>
    </row>
    <row r="399" spans="11:13" x14ac:dyDescent="0.25">
      <c r="K399" s="1019"/>
      <c r="L399" s="1019"/>
      <c r="M399" s="1028"/>
    </row>
    <row r="400" spans="11:13" x14ac:dyDescent="0.25">
      <c r="K400" s="1019"/>
      <c r="L400" s="1019"/>
      <c r="M400" s="1028"/>
    </row>
    <row r="401" spans="11:13" x14ac:dyDescent="0.25">
      <c r="K401" s="1019"/>
      <c r="L401" s="1019"/>
      <c r="M401" s="1028"/>
    </row>
    <row r="402" spans="11:13" x14ac:dyDescent="0.25">
      <c r="K402" s="1019"/>
      <c r="L402" s="1019"/>
      <c r="M402" s="1028"/>
    </row>
    <row r="403" spans="11:13" x14ac:dyDescent="0.25">
      <c r="K403" s="1019"/>
      <c r="L403" s="1019"/>
      <c r="M403" s="1028"/>
    </row>
    <row r="404" spans="11:13" x14ac:dyDescent="0.25">
      <c r="K404" s="1019"/>
      <c r="L404" s="1019"/>
      <c r="M404" s="1028"/>
    </row>
    <row r="405" spans="11:13" x14ac:dyDescent="0.25">
      <c r="K405" s="1019"/>
      <c r="L405" s="1019"/>
      <c r="M405" s="1028"/>
    </row>
  </sheetData>
  <mergeCells count="1">
    <mergeCell ref="G1:J1"/>
  </mergeCells>
  <pageMargins left="0.23622047244094491" right="3.937007874015748E-2" top="0.74803149606299213" bottom="0.74803149606299213" header="0.31496062992125984" footer="0.31496062992125984"/>
  <pageSetup paperSize="9" scale="99" orientation="landscape" horizontalDpi="720" verticalDpi="720" r:id="rId1"/>
  <headerFooter>
    <oddHeader>&amp;L&amp;"Arial Narrow,Normal"&amp;8Cálculo de Recursos Año 2016&amp;R&amp;"Arial Narrow,Normal"&amp;8MUNICIPALIDAD DE VILLA MARÍA
Secretaría de Economía y Administración</oddHeader>
    <oddFooter>&amp;C&amp;"Arial Narrow,Normal"&amp;8Recursos 
&amp;P de &amp;N</oddFooter>
  </headerFooter>
  <rowBreaks count="3" manualBreakCount="3">
    <brk id="37" max="15" man="1"/>
    <brk id="87" max="15" man="1"/>
    <brk id="121"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3"/>
  <sheetViews>
    <sheetView topLeftCell="A7" zoomScaleNormal="100" zoomScaleSheetLayoutView="75" workbookViewId="0">
      <selection activeCell="C33" sqref="C33"/>
    </sheetView>
  </sheetViews>
  <sheetFormatPr baseColWidth="10" defaultColWidth="11.453125" defaultRowHeight="13" x14ac:dyDescent="0.3"/>
  <cols>
    <col min="1" max="1" width="9.7265625" style="52" customWidth="1"/>
    <col min="2" max="2" width="46.7265625" style="52" customWidth="1"/>
    <col min="3" max="3" width="12.7265625" style="62" customWidth="1"/>
    <col min="4" max="4" width="10.7265625" style="62" customWidth="1"/>
    <col min="5" max="5" width="10.7265625" style="535" customWidth="1"/>
    <col min="6" max="6" width="35.26953125" style="52" customWidth="1"/>
    <col min="7" max="7" width="8.7265625" style="52" customWidth="1"/>
    <col min="8" max="16384" width="11.453125" style="52"/>
  </cols>
  <sheetData>
    <row r="1" spans="1:7" x14ac:dyDescent="0.3">
      <c r="A1" s="623" t="s">
        <v>578</v>
      </c>
      <c r="B1" s="916"/>
      <c r="C1" s="917"/>
      <c r="D1" s="917"/>
      <c r="E1" s="918"/>
    </row>
    <row r="2" spans="1:7" x14ac:dyDescent="0.3">
      <c r="A2" s="453"/>
      <c r="B2" s="919"/>
      <c r="C2" s="917"/>
      <c r="D2" s="917"/>
      <c r="E2" s="918"/>
    </row>
    <row r="3" spans="1:7" ht="13.5" thickBot="1" x14ac:dyDescent="0.35">
      <c r="B3" s="919"/>
      <c r="C3" s="917"/>
      <c r="D3" s="917"/>
      <c r="E3" s="918"/>
    </row>
    <row r="4" spans="1:7" x14ac:dyDescent="0.3">
      <c r="A4" s="715" t="s">
        <v>579</v>
      </c>
      <c r="B4" s="920"/>
      <c r="C4" s="921"/>
      <c r="D4" s="922" t="s">
        <v>6</v>
      </c>
      <c r="E4" s="910" t="s">
        <v>580</v>
      </c>
    </row>
    <row r="5" spans="1:7" ht="13.5" thickBot="1" x14ac:dyDescent="0.35">
      <c r="A5" s="812"/>
      <c r="B5" s="813"/>
      <c r="C5" s="814"/>
      <c r="D5" s="753"/>
      <c r="E5" s="815"/>
    </row>
    <row r="6" spans="1:7" s="454" customFormat="1" ht="11.5" x14ac:dyDescent="0.25">
      <c r="A6" s="58" t="s">
        <v>1029</v>
      </c>
      <c r="B6" s="59"/>
      <c r="C6" s="60"/>
      <c r="D6" s="60"/>
      <c r="E6" s="536"/>
    </row>
    <row r="7" spans="1:7" s="454" customFormat="1" ht="11.5" x14ac:dyDescent="0.25">
      <c r="A7" s="58" t="s">
        <v>581</v>
      </c>
      <c r="B7" s="59"/>
      <c r="C7" s="60"/>
      <c r="D7" s="60"/>
      <c r="E7" s="536"/>
    </row>
    <row r="8" spans="1:7" s="234" customFormat="1" ht="11.5" x14ac:dyDescent="0.25">
      <c r="A8" s="58" t="s">
        <v>1038</v>
      </c>
      <c r="B8" s="59"/>
      <c r="C8" s="60"/>
      <c r="D8" s="60"/>
      <c r="E8" s="536"/>
    </row>
    <row r="9" spans="1:7" s="454" customFormat="1" ht="12" thickBot="1" x14ac:dyDescent="0.3">
      <c r="A9" s="58" t="s">
        <v>13</v>
      </c>
      <c r="B9" s="59"/>
      <c r="C9" s="60"/>
      <c r="D9" s="60"/>
      <c r="E9" s="536"/>
    </row>
    <row r="10" spans="1:7" s="454" customFormat="1" ht="12" thickBot="1" x14ac:dyDescent="0.3">
      <c r="A10" s="743" t="s">
        <v>14</v>
      </c>
      <c r="B10" s="744"/>
      <c r="C10" s="750"/>
      <c r="D10" s="751"/>
      <c r="E10" s="810">
        <f>C12+D44+D114</f>
        <v>27149072</v>
      </c>
      <c r="F10" s="242"/>
      <c r="G10" s="242"/>
    </row>
    <row r="11" spans="1:7" s="234" customFormat="1" ht="12" thickBot="1" x14ac:dyDescent="0.3">
      <c r="A11" s="63"/>
      <c r="B11" s="63"/>
      <c r="C11" s="64"/>
      <c r="D11" s="64"/>
      <c r="E11" s="537"/>
    </row>
    <row r="12" spans="1:7" s="234" customFormat="1" ht="12" thickBot="1" x14ac:dyDescent="0.3">
      <c r="A12" s="1261" t="s">
        <v>1</v>
      </c>
      <c r="B12" s="1262"/>
      <c r="C12" s="808">
        <f>C13+C20+C27</f>
        <v>22264832</v>
      </c>
      <c r="D12" s="64"/>
      <c r="E12" s="537"/>
    </row>
    <row r="13" spans="1:7" s="43" customFormat="1" ht="12.75" customHeight="1" x14ac:dyDescent="0.3">
      <c r="A13" s="11" t="s">
        <v>97</v>
      </c>
      <c r="B13" s="211" t="s">
        <v>98</v>
      </c>
      <c r="C13" s="31">
        <f>SUM(C14:C19)</f>
        <v>2436901</v>
      </c>
      <c r="D13" s="22"/>
      <c r="E13" s="24"/>
      <c r="F13" s="95"/>
    </row>
    <row r="14" spans="1:7" s="8" customFormat="1" ht="12.75" customHeight="1" x14ac:dyDescent="0.3">
      <c r="A14" s="12" t="s">
        <v>23</v>
      </c>
      <c r="B14" s="24" t="s">
        <v>20</v>
      </c>
      <c r="C14" s="24">
        <f>289702+74841+1609455</f>
        <v>1973998</v>
      </c>
      <c r="D14" s="22"/>
      <c r="E14" s="25"/>
      <c r="F14" s="92"/>
    </row>
    <row r="15" spans="1:7" s="8" customFormat="1" ht="12.75" customHeight="1" x14ac:dyDescent="0.3">
      <c r="A15" s="12" t="s">
        <v>24</v>
      </c>
      <c r="B15" s="24" t="s">
        <v>22</v>
      </c>
      <c r="C15" s="24">
        <f>257512+72426</f>
        <v>329938</v>
      </c>
      <c r="D15" s="22"/>
      <c r="E15" s="25"/>
      <c r="F15" s="92"/>
    </row>
    <row r="16" spans="1:7" s="9" customFormat="1" ht="12.75" customHeight="1" x14ac:dyDescent="0.3">
      <c r="A16" s="12" t="s">
        <v>25</v>
      </c>
      <c r="B16" s="24" t="s">
        <v>76</v>
      </c>
      <c r="C16" s="24">
        <f>75000+57962</f>
        <v>132962</v>
      </c>
      <c r="D16" s="22"/>
      <c r="E16" s="25"/>
      <c r="F16" s="92"/>
    </row>
    <row r="17" spans="1:8" s="9" customFormat="1" ht="12.75" customHeight="1" x14ac:dyDescent="0.3">
      <c r="A17" s="12" t="s">
        <v>26</v>
      </c>
      <c r="B17" s="24" t="s">
        <v>77</v>
      </c>
      <c r="C17" s="24">
        <v>1</v>
      </c>
      <c r="D17" s="22"/>
      <c r="E17" s="25"/>
      <c r="F17" s="92"/>
    </row>
    <row r="18" spans="1:8" s="9" customFormat="1" ht="12.75" customHeight="1" x14ac:dyDescent="0.3">
      <c r="A18" s="12" t="s">
        <v>27</v>
      </c>
      <c r="B18" s="24" t="s">
        <v>21</v>
      </c>
      <c r="C18" s="24">
        <v>1</v>
      </c>
      <c r="D18" s="22"/>
      <c r="E18" s="25"/>
      <c r="F18" s="92"/>
    </row>
    <row r="19" spans="1:8" s="9" customFormat="1" ht="12.75" customHeight="1" x14ac:dyDescent="0.3">
      <c r="A19" s="12" t="s">
        <v>28</v>
      </c>
      <c r="B19" s="24" t="s">
        <v>19</v>
      </c>
      <c r="C19" s="24">
        <v>1</v>
      </c>
      <c r="D19" s="22"/>
      <c r="E19" s="25"/>
      <c r="F19" s="92"/>
    </row>
    <row r="20" spans="1:8" s="9" customFormat="1" ht="12.75" customHeight="1" x14ac:dyDescent="0.3">
      <c r="A20" s="11" t="s">
        <v>99</v>
      </c>
      <c r="B20" s="31" t="s">
        <v>100</v>
      </c>
      <c r="C20" s="31">
        <f>SUM(C21:C26)</f>
        <v>15792104</v>
      </c>
      <c r="D20" s="22"/>
      <c r="E20" s="25"/>
      <c r="F20" s="92"/>
    </row>
    <row r="21" spans="1:8" s="9" customFormat="1" ht="12.75" customHeight="1" x14ac:dyDescent="0.3">
      <c r="A21" s="12" t="s">
        <v>30</v>
      </c>
      <c r="B21" s="24" t="s">
        <v>78</v>
      </c>
      <c r="C21" s="24">
        <f>1933467+551889+10741479</f>
        <v>13226835</v>
      </c>
      <c r="D21" s="22"/>
      <c r="E21" s="25"/>
      <c r="F21" s="93"/>
    </row>
    <row r="22" spans="1:8" s="8" customFormat="1" ht="12.75" customHeight="1" x14ac:dyDescent="0.3">
      <c r="A22" s="12" t="s">
        <v>31</v>
      </c>
      <c r="B22" s="24" t="s">
        <v>79</v>
      </c>
      <c r="C22" s="24">
        <f>1718637+483367</f>
        <v>2202004</v>
      </c>
      <c r="D22" s="22"/>
      <c r="E22" s="25"/>
      <c r="F22" s="54"/>
      <c r="G22" s="43"/>
      <c r="H22" s="43"/>
    </row>
    <row r="23" spans="1:8" s="8" customFormat="1" ht="12.75" customHeight="1" x14ac:dyDescent="0.3">
      <c r="A23" s="12" t="s">
        <v>32</v>
      </c>
      <c r="B23" s="24" t="s">
        <v>80</v>
      </c>
      <c r="C23" s="24">
        <v>319211</v>
      </c>
      <c r="D23" s="22"/>
      <c r="E23" s="25"/>
      <c r="F23" s="92"/>
    </row>
    <row r="24" spans="1:8" s="9" customFormat="1" ht="12.75" customHeight="1" x14ac:dyDescent="0.3">
      <c r="A24" s="12" t="s">
        <v>33</v>
      </c>
      <c r="B24" s="24" t="s">
        <v>81</v>
      </c>
      <c r="C24" s="24">
        <v>1</v>
      </c>
      <c r="D24" s="22"/>
      <c r="E24" s="25"/>
      <c r="F24" s="92"/>
    </row>
    <row r="25" spans="1:8" s="9" customFormat="1" ht="12.75" customHeight="1" x14ac:dyDescent="0.3">
      <c r="A25" s="12" t="s">
        <v>34</v>
      </c>
      <c r="B25" s="24" t="s">
        <v>29</v>
      </c>
      <c r="C25" s="24">
        <v>44052</v>
      </c>
      <c r="D25" s="22"/>
      <c r="E25" s="25"/>
      <c r="F25" s="92"/>
    </row>
    <row r="26" spans="1:8" s="9" customFormat="1" ht="12.75" customHeight="1" x14ac:dyDescent="0.3">
      <c r="A26" s="12" t="s">
        <v>83</v>
      </c>
      <c r="B26" s="24" t="s">
        <v>82</v>
      </c>
      <c r="C26" s="24">
        <v>1</v>
      </c>
      <c r="D26" s="22"/>
      <c r="E26" s="25"/>
      <c r="F26" s="93"/>
    </row>
    <row r="27" spans="1:8" s="9" customFormat="1" ht="12.75" customHeight="1" x14ac:dyDescent="0.3">
      <c r="A27" s="11" t="s">
        <v>101</v>
      </c>
      <c r="B27" s="31" t="s">
        <v>102</v>
      </c>
      <c r="C27" s="31">
        <f>SUM(C28:C33)</f>
        <v>4035827</v>
      </c>
      <c r="D27" s="22"/>
      <c r="E27" s="25"/>
      <c r="F27" s="93"/>
    </row>
    <row r="28" spans="1:8" s="8" customFormat="1" ht="12.75" customHeight="1" x14ac:dyDescent="0.3">
      <c r="A28" s="12" t="s">
        <v>39</v>
      </c>
      <c r="B28" s="24" t="s">
        <v>35</v>
      </c>
      <c r="C28" s="24">
        <f>2718563+126563+489342</f>
        <v>3334468</v>
      </c>
      <c r="D28" s="22"/>
      <c r="E28" s="25"/>
      <c r="F28" s="92"/>
    </row>
    <row r="29" spans="1:8" s="8" customFormat="1" ht="12.75" customHeight="1" x14ac:dyDescent="0.3">
      <c r="A29" s="12" t="s">
        <v>40</v>
      </c>
      <c r="B29" s="24" t="s">
        <v>37</v>
      </c>
      <c r="C29" s="24">
        <f>434971+122336</f>
        <v>557307</v>
      </c>
      <c r="D29" s="22"/>
      <c r="E29" s="25"/>
      <c r="F29" s="92"/>
    </row>
    <row r="30" spans="1:8" s="9" customFormat="1" ht="12.75" customHeight="1" x14ac:dyDescent="0.3">
      <c r="A30" s="12" t="s">
        <v>41</v>
      </c>
      <c r="B30" s="24" t="s">
        <v>84</v>
      </c>
      <c r="C30" s="24">
        <v>80048</v>
      </c>
      <c r="D30" s="22"/>
      <c r="E30" s="25"/>
      <c r="F30" s="92"/>
    </row>
    <row r="31" spans="1:8" s="9" customFormat="1" ht="12.75" customHeight="1" x14ac:dyDescent="0.3">
      <c r="A31" s="12" t="s">
        <v>42</v>
      </c>
      <c r="B31" s="24" t="s">
        <v>85</v>
      </c>
      <c r="C31" s="24">
        <v>1</v>
      </c>
      <c r="D31" s="22"/>
      <c r="E31" s="25"/>
      <c r="F31" s="92"/>
    </row>
    <row r="32" spans="1:8" s="9" customFormat="1" ht="12.75" customHeight="1" x14ac:dyDescent="0.3">
      <c r="A32" s="12" t="s">
        <v>43</v>
      </c>
      <c r="B32" s="24" t="s">
        <v>36</v>
      </c>
      <c r="C32" s="24">
        <f>3402+60600</f>
        <v>64002</v>
      </c>
      <c r="D32" s="22"/>
      <c r="E32" s="25"/>
      <c r="F32" s="92"/>
    </row>
    <row r="33" spans="1:7" s="9" customFormat="1" ht="12.75" customHeight="1" x14ac:dyDescent="0.3">
      <c r="A33" s="12" t="s">
        <v>44</v>
      </c>
      <c r="B33" s="24" t="s">
        <v>38</v>
      </c>
      <c r="C33" s="24">
        <v>1</v>
      </c>
      <c r="D33" s="22"/>
      <c r="E33" s="25"/>
      <c r="F33" s="92"/>
    </row>
    <row r="34" spans="1:7" s="9" customFormat="1" ht="12.75" customHeight="1" thickBot="1" x14ac:dyDescent="0.35">
      <c r="A34" s="12"/>
      <c r="B34" s="24"/>
      <c r="C34" s="24"/>
      <c r="D34" s="22"/>
      <c r="E34" s="25"/>
      <c r="F34" s="92"/>
    </row>
    <row r="35" spans="1:7" x14ac:dyDescent="0.3">
      <c r="A35" s="715" t="s">
        <v>582</v>
      </c>
      <c r="B35" s="703"/>
      <c r="C35" s="704" t="s">
        <v>6</v>
      </c>
      <c r="D35" s="910" t="s">
        <v>583</v>
      </c>
    </row>
    <row r="36" spans="1:7" x14ac:dyDescent="0.3">
      <c r="A36" s="717"/>
      <c r="B36" s="811" t="s">
        <v>584</v>
      </c>
      <c r="C36" s="708"/>
      <c r="D36" s="709"/>
    </row>
    <row r="37" spans="1:7" ht="13.5" thickBot="1" x14ac:dyDescent="0.35">
      <c r="A37" s="716" t="s">
        <v>585</v>
      </c>
      <c r="B37" s="710" t="s">
        <v>586</v>
      </c>
      <c r="C37" s="705"/>
      <c r="D37" s="706"/>
    </row>
    <row r="38" spans="1:7" s="454" customFormat="1" ht="11.5" x14ac:dyDescent="0.25">
      <c r="A38" s="1255" t="s">
        <v>866</v>
      </c>
      <c r="B38" s="1256"/>
      <c r="C38" s="1256"/>
      <c r="D38" s="1257"/>
      <c r="E38" s="60"/>
    </row>
    <row r="39" spans="1:7" s="454" customFormat="1" ht="12" thickBot="1" x14ac:dyDescent="0.3">
      <c r="A39" s="1258"/>
      <c r="B39" s="1259"/>
      <c r="C39" s="1259"/>
      <c r="D39" s="1260"/>
      <c r="E39" s="60"/>
      <c r="F39" s="571"/>
    </row>
    <row r="40" spans="1:7" x14ac:dyDescent="0.3">
      <c r="A40" s="58" t="s">
        <v>1029</v>
      </c>
      <c r="B40" s="59"/>
      <c r="C40" s="60"/>
      <c r="D40" s="61"/>
    </row>
    <row r="41" spans="1:7" x14ac:dyDescent="0.3">
      <c r="A41" s="58" t="s">
        <v>581</v>
      </c>
      <c r="B41" s="59"/>
      <c r="C41" s="60"/>
      <c r="D41" s="61"/>
    </row>
    <row r="42" spans="1:7" s="69" customFormat="1" x14ac:dyDescent="0.3">
      <c r="A42" s="58" t="s">
        <v>1037</v>
      </c>
      <c r="B42" s="59"/>
      <c r="C42" s="60"/>
      <c r="D42" s="61"/>
      <c r="E42" s="235"/>
    </row>
    <row r="43" spans="1:7" ht="13.5" thickBot="1" x14ac:dyDescent="0.35">
      <c r="A43" s="58" t="s">
        <v>13</v>
      </c>
      <c r="B43" s="59"/>
      <c r="C43" s="60"/>
      <c r="D43" s="61"/>
    </row>
    <row r="44" spans="1:7" ht="13.5" thickBot="1" x14ac:dyDescent="0.35">
      <c r="A44" s="743" t="s">
        <v>587</v>
      </c>
      <c r="B44" s="744"/>
      <c r="C44" s="751"/>
      <c r="D44" s="747">
        <f>+C46+C67+C95</f>
        <v>2442120</v>
      </c>
      <c r="E44" s="809"/>
      <c r="F44" s="963"/>
      <c r="G44" s="62"/>
    </row>
    <row r="45" spans="1:7" ht="13.5" thickBot="1" x14ac:dyDescent="0.35">
      <c r="A45" s="59"/>
      <c r="B45" s="70"/>
      <c r="D45" s="538"/>
      <c r="E45" s="539"/>
    </row>
    <row r="46" spans="1:7" ht="13.5" thickBot="1" x14ac:dyDescent="0.35">
      <c r="A46" s="1102" t="s">
        <v>2</v>
      </c>
      <c r="B46" s="1103"/>
      <c r="C46" s="699">
        <f>C47+C49+C52+C60+C63+C54</f>
        <v>336090</v>
      </c>
      <c r="E46" s="540"/>
    </row>
    <row r="47" spans="1:7" s="69" customFormat="1" x14ac:dyDescent="0.3">
      <c r="A47" s="11" t="s">
        <v>103</v>
      </c>
      <c r="B47" s="211" t="s">
        <v>104</v>
      </c>
      <c r="C47" s="64">
        <f>SUM(C48)</f>
        <v>52500</v>
      </c>
      <c r="D47" s="65"/>
      <c r="E47" s="230"/>
    </row>
    <row r="48" spans="1:7" s="43" customFormat="1" ht="13.5" customHeight="1" x14ac:dyDescent="0.25">
      <c r="A48" s="12" t="s">
        <v>46</v>
      </c>
      <c r="B48" s="43" t="s">
        <v>45</v>
      </c>
      <c r="C48" s="24">
        <v>52500</v>
      </c>
      <c r="E48" s="31"/>
      <c r="F48" s="96"/>
      <c r="G48" s="55"/>
    </row>
    <row r="49" spans="1:8" s="43" customFormat="1" ht="13.5" customHeight="1" x14ac:dyDescent="0.25">
      <c r="A49" s="11" t="s">
        <v>105</v>
      </c>
      <c r="B49" s="556" t="s">
        <v>106</v>
      </c>
      <c r="C49" s="64">
        <f>SUM(C50:C51)</f>
        <v>16350</v>
      </c>
      <c r="D49" s="22"/>
      <c r="E49" s="31"/>
      <c r="G49" s="55"/>
    </row>
    <row r="50" spans="1:8" s="43" customFormat="1" ht="13.5" customHeight="1" x14ac:dyDescent="0.25">
      <c r="A50" s="12" t="s">
        <v>67</v>
      </c>
      <c r="B50" s="43" t="s">
        <v>68</v>
      </c>
      <c r="C50" s="24">
        <v>9150</v>
      </c>
      <c r="D50" s="22"/>
      <c r="E50" s="31"/>
      <c r="G50" s="55"/>
    </row>
    <row r="51" spans="1:8" s="43" customFormat="1" ht="13.5" customHeight="1" x14ac:dyDescent="0.25">
      <c r="A51" s="12" t="s">
        <v>86</v>
      </c>
      <c r="B51" s="43" t="s">
        <v>66</v>
      </c>
      <c r="C51" s="24">
        <v>7200</v>
      </c>
      <c r="D51" s="22"/>
      <c r="E51" s="31"/>
      <c r="G51" s="55"/>
    </row>
    <row r="52" spans="1:8" s="43" customFormat="1" ht="13.5" customHeight="1" x14ac:dyDescent="0.25">
      <c r="A52" s="11" t="s">
        <v>107</v>
      </c>
      <c r="B52" s="556" t="s">
        <v>108</v>
      </c>
      <c r="C52" s="31">
        <f>SUM(C53)</f>
        <v>102260</v>
      </c>
      <c r="D52" s="22"/>
      <c r="E52" s="31"/>
      <c r="G52" s="55"/>
    </row>
    <row r="53" spans="1:8" s="8" customFormat="1" ht="13.5" customHeight="1" x14ac:dyDescent="0.25">
      <c r="A53" s="12" t="s">
        <v>47</v>
      </c>
      <c r="B53" s="24" t="s">
        <v>48</v>
      </c>
      <c r="C53" s="24">
        <v>102260</v>
      </c>
      <c r="D53" s="78"/>
      <c r="E53" s="25"/>
      <c r="F53" s="99"/>
      <c r="G53" s="55"/>
      <c r="H53" s="43"/>
    </row>
    <row r="54" spans="1:8" s="5" customFormat="1" x14ac:dyDescent="0.25">
      <c r="A54" s="11" t="s">
        <v>119</v>
      </c>
      <c r="B54" s="559" t="s">
        <v>191</v>
      </c>
      <c r="C54" s="31">
        <f>SUM(C55:C59)</f>
        <v>99150</v>
      </c>
      <c r="D54" s="404"/>
      <c r="E54" s="353"/>
      <c r="F54" s="353"/>
      <c r="G54" s="405"/>
      <c r="H54" s="147"/>
    </row>
    <row r="55" spans="1:8" s="5" customFormat="1" x14ac:dyDescent="0.25">
      <c r="A55" s="12" t="s">
        <v>150</v>
      </c>
      <c r="B55" s="43" t="s">
        <v>695</v>
      </c>
      <c r="C55" s="24">
        <v>10500</v>
      </c>
      <c r="D55" s="404"/>
      <c r="E55" s="353"/>
      <c r="F55" s="353"/>
      <c r="G55" s="405"/>
      <c r="H55" s="147"/>
    </row>
    <row r="56" spans="1:8" s="5" customFormat="1" x14ac:dyDescent="0.25">
      <c r="A56" s="12" t="s">
        <v>697</v>
      </c>
      <c r="B56" s="43" t="s">
        <v>696</v>
      </c>
      <c r="C56" s="24">
        <v>15000</v>
      </c>
      <c r="D56" s="404"/>
      <c r="E56" s="353"/>
      <c r="F56" s="353"/>
      <c r="G56" s="405"/>
      <c r="H56" s="147"/>
    </row>
    <row r="57" spans="1:8" s="66" customFormat="1" x14ac:dyDescent="0.3">
      <c r="A57" s="72" t="s">
        <v>816</v>
      </c>
      <c r="B57" s="24" t="s">
        <v>810</v>
      </c>
      <c r="C57" s="24">
        <v>22500</v>
      </c>
      <c r="D57" s="78"/>
      <c r="E57" s="25"/>
    </row>
    <row r="58" spans="1:8" s="66" customFormat="1" x14ac:dyDescent="0.3">
      <c r="A58" s="72" t="s">
        <v>820</v>
      </c>
      <c r="B58" s="24" t="s">
        <v>821</v>
      </c>
      <c r="C58" s="24">
        <v>32400</v>
      </c>
      <c r="D58" s="78"/>
      <c r="E58" s="25"/>
    </row>
    <row r="59" spans="1:8" s="66" customFormat="1" x14ac:dyDescent="0.3">
      <c r="A59" s="72" t="s">
        <v>811</v>
      </c>
      <c r="B59" s="24" t="s">
        <v>812</v>
      </c>
      <c r="C59" s="24">
        <v>18750</v>
      </c>
      <c r="D59" s="78"/>
      <c r="E59" s="25"/>
    </row>
    <row r="60" spans="1:8" s="8" customFormat="1" ht="13.5" customHeight="1" x14ac:dyDescent="0.25">
      <c r="A60" s="265" t="s">
        <v>124</v>
      </c>
      <c r="B60" s="31" t="s">
        <v>123</v>
      </c>
      <c r="C60" s="31">
        <f>SUM(C61:C62)</f>
        <v>37110</v>
      </c>
      <c r="D60" s="78"/>
      <c r="E60" s="25"/>
      <c r="F60" s="99"/>
      <c r="G60" s="55"/>
      <c r="H60" s="43"/>
    </row>
    <row r="61" spans="1:8" s="66" customFormat="1" x14ac:dyDescent="0.3">
      <c r="A61" s="12" t="s">
        <v>230</v>
      </c>
      <c r="B61" s="43" t="s">
        <v>229</v>
      </c>
      <c r="C61" s="24">
        <v>29310</v>
      </c>
      <c r="D61" s="57"/>
      <c r="E61" s="57"/>
    </row>
    <row r="62" spans="1:8" s="66" customFormat="1" x14ac:dyDescent="0.3">
      <c r="A62" s="72" t="s">
        <v>93</v>
      </c>
      <c r="B62" s="23" t="s">
        <v>72</v>
      </c>
      <c r="C62" s="60">
        <v>7800</v>
      </c>
      <c r="D62" s="68"/>
      <c r="E62" s="68"/>
    </row>
    <row r="63" spans="1:8" s="66" customFormat="1" x14ac:dyDescent="0.3">
      <c r="A63" s="265" t="s">
        <v>151</v>
      </c>
      <c r="B63" s="31" t="s">
        <v>125</v>
      </c>
      <c r="C63" s="64">
        <f>SUM(C64:C65)</f>
        <v>28720</v>
      </c>
      <c r="D63" s="68"/>
      <c r="E63" s="68"/>
    </row>
    <row r="64" spans="1:8" s="8" customFormat="1" ht="13.5" customHeight="1" x14ac:dyDescent="0.25">
      <c r="A64" s="72" t="s">
        <v>152</v>
      </c>
      <c r="B64" s="24" t="s">
        <v>65</v>
      </c>
      <c r="C64" s="24">
        <v>10000</v>
      </c>
      <c r="D64" s="78"/>
      <c r="E64" s="25"/>
      <c r="F64" s="99"/>
      <c r="G64" s="55"/>
      <c r="H64" s="43"/>
    </row>
    <row r="65" spans="1:10" s="8" customFormat="1" ht="13.5" customHeight="1" x14ac:dyDescent="0.25">
      <c r="A65" s="12" t="s">
        <v>154</v>
      </c>
      <c r="B65" s="24" t="s">
        <v>125</v>
      </c>
      <c r="C65" s="24">
        <v>18720</v>
      </c>
      <c r="D65" s="22"/>
      <c r="E65" s="25"/>
      <c r="F65" s="99"/>
      <c r="G65" s="55"/>
      <c r="H65" s="43"/>
    </row>
    <row r="66" spans="1:10" s="8" customFormat="1" ht="13.5" customHeight="1" thickBot="1" x14ac:dyDescent="0.3">
      <c r="A66" s="72"/>
      <c r="B66" s="24"/>
      <c r="C66" s="23"/>
      <c r="D66" s="78"/>
      <c r="E66" s="25"/>
      <c r="F66" s="211"/>
      <c r="G66" s="55"/>
      <c r="H66" s="74"/>
    </row>
    <row r="67" spans="1:10" s="66" customFormat="1" ht="13.5" thickBot="1" x14ac:dyDescent="0.35">
      <c r="A67" s="1098" t="s">
        <v>3</v>
      </c>
      <c r="B67" s="1099"/>
      <c r="C67" s="700">
        <f>C68+C73+C76+C81+C84+C87+C89</f>
        <v>1917430</v>
      </c>
      <c r="D67" s="68"/>
      <c r="E67" s="84"/>
    </row>
    <row r="68" spans="1:10" s="56" customFormat="1" x14ac:dyDescent="0.3">
      <c r="A68" s="265" t="s">
        <v>341</v>
      </c>
      <c r="B68" s="211" t="s">
        <v>342</v>
      </c>
      <c r="C68" s="64">
        <f>SUM(C69:C72)</f>
        <v>700130</v>
      </c>
      <c r="D68" s="57"/>
      <c r="E68" s="180"/>
    </row>
    <row r="69" spans="1:10" s="8" customFormat="1" ht="13.5" customHeight="1" x14ac:dyDescent="0.25">
      <c r="A69" s="72" t="s">
        <v>345</v>
      </c>
      <c r="B69" s="59" t="s">
        <v>346</v>
      </c>
      <c r="C69" s="24">
        <v>4880</v>
      </c>
      <c r="D69" s="78"/>
      <c r="F69" s="204"/>
      <c r="G69" s="55"/>
      <c r="H69" s="55"/>
    </row>
    <row r="70" spans="1:10" s="8" customFormat="1" ht="13.5" customHeight="1" x14ac:dyDescent="0.25">
      <c r="A70" s="72" t="s">
        <v>347</v>
      </c>
      <c r="B70" s="59" t="s">
        <v>348</v>
      </c>
      <c r="C70" s="24">
        <v>41320</v>
      </c>
      <c r="D70" s="78"/>
      <c r="E70" s="25"/>
      <c r="F70" s="204"/>
      <c r="G70" s="55"/>
      <c r="H70" s="55"/>
    </row>
    <row r="71" spans="1:10" s="8" customFormat="1" ht="13.5" customHeight="1" x14ac:dyDescent="0.25">
      <c r="A71" s="72" t="s">
        <v>384</v>
      </c>
      <c r="B71" s="59" t="s">
        <v>565</v>
      </c>
      <c r="C71" s="24">
        <v>25770</v>
      </c>
      <c r="D71" s="78"/>
      <c r="E71" s="25"/>
      <c r="F71" s="99"/>
      <c r="G71" s="55"/>
      <c r="H71" s="43"/>
      <c r="J71" s="83"/>
    </row>
    <row r="72" spans="1:10" s="8" customFormat="1" ht="13.5" customHeight="1" x14ac:dyDescent="0.25">
      <c r="A72" s="72" t="s">
        <v>349</v>
      </c>
      <c r="B72" s="59" t="s">
        <v>350</v>
      </c>
      <c r="C72" s="24">
        <v>628160</v>
      </c>
      <c r="F72" s="78"/>
      <c r="G72" s="25"/>
      <c r="H72" s="99"/>
      <c r="I72" s="83"/>
    </row>
    <row r="73" spans="1:10" s="8" customFormat="1" ht="13.5" customHeight="1" x14ac:dyDescent="0.25">
      <c r="A73" s="265" t="s">
        <v>110</v>
      </c>
      <c r="B73" s="63" t="s">
        <v>111</v>
      </c>
      <c r="C73" s="31">
        <f>SUM(C74:C75)</f>
        <v>333100</v>
      </c>
      <c r="F73" s="78"/>
      <c r="G73" s="25"/>
      <c r="H73" s="99"/>
      <c r="I73" s="83"/>
    </row>
    <row r="74" spans="1:10" s="43" customFormat="1" ht="13.5" customHeight="1" x14ac:dyDescent="0.25">
      <c r="A74" s="12" t="s">
        <v>160</v>
      </c>
      <c r="B74" s="59" t="s">
        <v>159</v>
      </c>
      <c r="C74" s="24">
        <v>282000</v>
      </c>
      <c r="F74" s="31"/>
      <c r="H74" s="24"/>
      <c r="I74" s="55"/>
    </row>
    <row r="75" spans="1:10" s="8" customFormat="1" ht="13.5" customHeight="1" x14ac:dyDescent="0.25">
      <c r="A75" s="59" t="s">
        <v>52</v>
      </c>
      <c r="B75" s="59" t="s">
        <v>15</v>
      </c>
      <c r="C75" s="24">
        <v>51100</v>
      </c>
      <c r="F75" s="84"/>
      <c r="G75" s="25"/>
      <c r="H75" s="99"/>
    </row>
    <row r="76" spans="1:10" s="8" customFormat="1" ht="13.5" customHeight="1" x14ac:dyDescent="0.25">
      <c r="A76" s="63" t="s">
        <v>120</v>
      </c>
      <c r="B76" s="63" t="s">
        <v>121</v>
      </c>
      <c r="C76" s="31">
        <f>SUM(C77:C80)</f>
        <v>408400</v>
      </c>
      <c r="F76" s="78"/>
      <c r="G76" s="25"/>
      <c r="H76" s="99"/>
      <c r="I76" s="83"/>
    </row>
    <row r="77" spans="1:10" s="8" customFormat="1" ht="13.5" customHeight="1" x14ac:dyDescent="0.25">
      <c r="A77" s="59" t="s">
        <v>246</v>
      </c>
      <c r="B77" s="43" t="s">
        <v>247</v>
      </c>
      <c r="C77" s="24">
        <v>328900</v>
      </c>
      <c r="F77" s="79"/>
      <c r="G77" s="25"/>
      <c r="H77" s="99"/>
      <c r="I77" s="83"/>
    </row>
    <row r="78" spans="1:10" s="8" customFormat="1" ht="13.5" customHeight="1" x14ac:dyDescent="0.25">
      <c r="A78" s="59" t="s">
        <v>236</v>
      </c>
      <c r="B78" s="43" t="s">
        <v>237</v>
      </c>
      <c r="C78" s="24">
        <v>18000</v>
      </c>
      <c r="F78" s="79"/>
      <c r="G78" s="25"/>
      <c r="H78" s="99"/>
      <c r="I78" s="83"/>
    </row>
    <row r="79" spans="1:10" s="66" customFormat="1" ht="13.5" customHeight="1" x14ac:dyDescent="0.3">
      <c r="A79" s="59" t="s">
        <v>140</v>
      </c>
      <c r="B79" s="43" t="s">
        <v>141</v>
      </c>
      <c r="C79" s="60">
        <v>46800</v>
      </c>
      <c r="G79" s="60"/>
      <c r="H79" s="57"/>
      <c r="I79" s="57"/>
    </row>
    <row r="80" spans="1:10" s="8" customFormat="1" ht="13.5" customHeight="1" x14ac:dyDescent="0.25">
      <c r="A80" s="59" t="s">
        <v>136</v>
      </c>
      <c r="B80" s="59" t="s">
        <v>71</v>
      </c>
      <c r="C80" s="24">
        <v>14700</v>
      </c>
      <c r="F80" s="78"/>
      <c r="G80" s="25"/>
      <c r="H80" s="99"/>
      <c r="I80" s="83"/>
    </row>
    <row r="81" spans="1:256" s="56" customFormat="1" x14ac:dyDescent="0.3">
      <c r="A81" s="265" t="s">
        <v>112</v>
      </c>
      <c r="B81" s="559" t="s">
        <v>157</v>
      </c>
      <c r="C81" s="31">
        <f>SUM(C82:C83)</f>
        <v>29100</v>
      </c>
      <c r="F81" s="25"/>
      <c r="G81" s="212"/>
      <c r="H81" s="541"/>
      <c r="I81" s="212"/>
      <c r="J81" s="541"/>
      <c r="K81" s="212"/>
      <c r="L81" s="541"/>
      <c r="M81" s="212"/>
      <c r="N81" s="541"/>
      <c r="O81" s="212"/>
      <c r="P81" s="541"/>
      <c r="Q81" s="212"/>
      <c r="R81" s="541"/>
      <c r="S81" s="212"/>
      <c r="T81" s="541"/>
      <c r="U81" s="212"/>
      <c r="V81" s="541"/>
      <c r="W81" s="212"/>
      <c r="X81" s="541"/>
      <c r="Y81" s="212"/>
      <c r="Z81" s="541"/>
      <c r="AA81" s="212"/>
      <c r="AB81" s="541"/>
      <c r="AC81" s="212"/>
      <c r="AD81" s="541"/>
      <c r="AE81" s="212"/>
      <c r="AF81" s="541"/>
      <c r="AG81" s="212"/>
      <c r="AH81" s="541"/>
      <c r="AI81" s="212"/>
      <c r="AJ81" s="541"/>
      <c r="AK81" s="212"/>
      <c r="AL81" s="541"/>
      <c r="AM81" s="212"/>
      <c r="AN81" s="541"/>
      <c r="AO81" s="212"/>
      <c r="AP81" s="541"/>
      <c r="AQ81" s="212"/>
      <c r="AR81" s="541"/>
      <c r="AS81" s="212"/>
      <c r="AT81" s="541"/>
      <c r="AU81" s="212"/>
      <c r="AV81" s="541"/>
      <c r="AW81" s="212"/>
      <c r="AX81" s="541"/>
      <c r="AY81" s="212"/>
      <c r="AZ81" s="541"/>
      <c r="BA81" s="212"/>
      <c r="BB81" s="541"/>
      <c r="BC81" s="212"/>
      <c r="BD81" s="541"/>
      <c r="BE81" s="212"/>
      <c r="BF81" s="541"/>
      <c r="BG81" s="212"/>
      <c r="BH81" s="541"/>
      <c r="BI81" s="212"/>
      <c r="BJ81" s="541"/>
      <c r="BK81" s="212"/>
      <c r="BL81" s="541"/>
      <c r="BM81" s="212"/>
      <c r="BN81" s="541"/>
      <c r="BO81" s="212"/>
      <c r="BP81" s="541"/>
      <c r="BQ81" s="212"/>
      <c r="BR81" s="541"/>
      <c r="BS81" s="212"/>
      <c r="BT81" s="541"/>
      <c r="BU81" s="212"/>
      <c r="BV81" s="541"/>
      <c r="BW81" s="212"/>
      <c r="BX81" s="541"/>
      <c r="BY81" s="212"/>
      <c r="BZ81" s="541"/>
      <c r="CA81" s="212"/>
      <c r="CB81" s="541"/>
      <c r="CC81" s="212"/>
      <c r="CD81" s="541"/>
      <c r="CE81" s="212"/>
      <c r="CF81" s="541"/>
      <c r="CG81" s="212"/>
      <c r="CH81" s="541"/>
      <c r="CI81" s="212"/>
      <c r="CJ81" s="541"/>
      <c r="CK81" s="212"/>
      <c r="CL81" s="541"/>
      <c r="CM81" s="212"/>
      <c r="CN81" s="541"/>
      <c r="CO81" s="212"/>
      <c r="CP81" s="541"/>
      <c r="CQ81" s="212"/>
      <c r="CR81" s="541"/>
      <c r="CS81" s="212"/>
      <c r="CT81" s="541"/>
      <c r="CU81" s="212"/>
      <c r="CV81" s="541"/>
      <c r="CW81" s="212"/>
      <c r="CX81" s="541"/>
      <c r="CY81" s="212"/>
      <c r="CZ81" s="541"/>
      <c r="DA81" s="212"/>
      <c r="DB81" s="541"/>
      <c r="DC81" s="212"/>
      <c r="DD81" s="541"/>
      <c r="DE81" s="212"/>
      <c r="DF81" s="541"/>
      <c r="DG81" s="212"/>
      <c r="DH81" s="541"/>
      <c r="DI81" s="212"/>
      <c r="DJ81" s="541"/>
      <c r="DK81" s="212"/>
      <c r="DL81" s="541"/>
      <c r="DM81" s="212"/>
      <c r="DN81" s="541"/>
      <c r="DO81" s="212"/>
      <c r="DP81" s="541"/>
      <c r="DQ81" s="212"/>
      <c r="DR81" s="541"/>
      <c r="DS81" s="212"/>
      <c r="DT81" s="541"/>
      <c r="DU81" s="212"/>
      <c r="DV81" s="541"/>
      <c r="DW81" s="212"/>
      <c r="DX81" s="541"/>
      <c r="DY81" s="212"/>
      <c r="DZ81" s="541"/>
      <c r="EA81" s="212"/>
      <c r="EB81" s="541"/>
      <c r="EC81" s="212"/>
      <c r="ED81" s="541"/>
      <c r="EE81" s="212"/>
      <c r="EF81" s="541"/>
      <c r="EG81" s="212"/>
      <c r="EH81" s="541"/>
      <c r="EI81" s="212"/>
      <c r="EJ81" s="541"/>
      <c r="EK81" s="212"/>
      <c r="EL81" s="541"/>
      <c r="EM81" s="212"/>
      <c r="EN81" s="541"/>
      <c r="EO81" s="212"/>
      <c r="EP81" s="541"/>
      <c r="EQ81" s="212"/>
      <c r="ER81" s="541"/>
      <c r="ES81" s="212"/>
      <c r="ET81" s="541"/>
      <c r="EU81" s="212"/>
      <c r="EV81" s="541"/>
      <c r="EW81" s="212"/>
      <c r="EX81" s="541"/>
      <c r="EY81" s="212"/>
      <c r="EZ81" s="541"/>
      <c r="FA81" s="212"/>
      <c r="FB81" s="541"/>
      <c r="FC81" s="212"/>
      <c r="FD81" s="541"/>
      <c r="FE81" s="212"/>
      <c r="FF81" s="541"/>
      <c r="FG81" s="212"/>
      <c r="FH81" s="541"/>
      <c r="FI81" s="212"/>
      <c r="FJ81" s="541"/>
      <c r="FK81" s="212"/>
      <c r="FL81" s="541"/>
      <c r="FM81" s="212"/>
      <c r="FN81" s="541"/>
      <c r="FO81" s="212"/>
      <c r="FP81" s="541"/>
      <c r="FQ81" s="212"/>
      <c r="FR81" s="541"/>
      <c r="FS81" s="212"/>
      <c r="FT81" s="541"/>
      <c r="FU81" s="212"/>
      <c r="FV81" s="541"/>
      <c r="FW81" s="212"/>
      <c r="FX81" s="541"/>
      <c r="FY81" s="212"/>
      <c r="FZ81" s="541"/>
      <c r="GA81" s="212"/>
      <c r="GB81" s="541"/>
      <c r="GC81" s="212"/>
      <c r="GD81" s="541"/>
      <c r="GE81" s="212"/>
      <c r="GF81" s="541"/>
      <c r="GG81" s="212"/>
      <c r="GH81" s="541"/>
      <c r="GI81" s="212"/>
      <c r="GJ81" s="541"/>
      <c r="GK81" s="212"/>
      <c r="GL81" s="541"/>
      <c r="GM81" s="212"/>
      <c r="GN81" s="541"/>
      <c r="GO81" s="212"/>
      <c r="GP81" s="541"/>
      <c r="GQ81" s="212"/>
      <c r="GR81" s="541"/>
      <c r="GS81" s="212"/>
      <c r="GT81" s="541"/>
      <c r="GU81" s="212"/>
      <c r="GV81" s="541"/>
      <c r="GW81" s="212"/>
      <c r="GX81" s="541"/>
      <c r="GY81" s="212"/>
      <c r="GZ81" s="541"/>
      <c r="HA81" s="212"/>
      <c r="HB81" s="541"/>
      <c r="HC81" s="212"/>
      <c r="HD81" s="541"/>
      <c r="HE81" s="212"/>
      <c r="HF81" s="541"/>
      <c r="HG81" s="212"/>
      <c r="HH81" s="541"/>
      <c r="HI81" s="212"/>
      <c r="HJ81" s="541"/>
      <c r="HK81" s="212"/>
      <c r="HL81" s="541"/>
      <c r="HM81" s="212"/>
      <c r="HN81" s="541"/>
      <c r="HO81" s="212"/>
      <c r="HP81" s="541"/>
      <c r="HQ81" s="212"/>
      <c r="HR81" s="541"/>
      <c r="HS81" s="212"/>
      <c r="HT81" s="541"/>
      <c r="HU81" s="212"/>
      <c r="HV81" s="541"/>
      <c r="HW81" s="212"/>
      <c r="HX81" s="541"/>
      <c r="HY81" s="212"/>
      <c r="HZ81" s="541"/>
      <c r="IA81" s="212"/>
      <c r="IB81" s="541"/>
      <c r="IC81" s="212"/>
      <c r="ID81" s="541"/>
      <c r="IE81" s="212"/>
      <c r="IF81" s="541"/>
      <c r="IG81" s="212"/>
      <c r="IH81" s="541"/>
      <c r="II81" s="212"/>
      <c r="IJ81" s="541"/>
      <c r="IK81" s="212"/>
      <c r="IL81" s="541"/>
      <c r="IM81" s="212"/>
      <c r="IN81" s="541"/>
      <c r="IO81" s="212"/>
      <c r="IP81" s="541"/>
      <c r="IQ81" s="212"/>
      <c r="IR81" s="541"/>
      <c r="IS81" s="212"/>
      <c r="IT81" s="541"/>
      <c r="IU81" s="212"/>
      <c r="IV81" s="541"/>
    </row>
    <row r="82" spans="1:256" s="56" customFormat="1" x14ac:dyDescent="0.3">
      <c r="A82" s="72" t="s">
        <v>138</v>
      </c>
      <c r="B82" s="59" t="s">
        <v>137</v>
      </c>
      <c r="C82" s="60">
        <v>7500</v>
      </c>
      <c r="F82" s="64"/>
      <c r="G82" s="460"/>
      <c r="H82" s="57"/>
    </row>
    <row r="83" spans="1:256" s="56" customFormat="1" x14ac:dyDescent="0.3">
      <c r="A83" s="72" t="s">
        <v>49</v>
      </c>
      <c r="B83" s="24" t="s">
        <v>87</v>
      </c>
      <c r="C83" s="60">
        <v>21600</v>
      </c>
      <c r="F83" s="60"/>
      <c r="G83" s="57"/>
      <c r="H83" s="57"/>
    </row>
    <row r="84" spans="1:256" s="56" customFormat="1" x14ac:dyDescent="0.3">
      <c r="A84" s="265" t="s">
        <v>113</v>
      </c>
      <c r="B84" s="31" t="s">
        <v>114</v>
      </c>
      <c r="C84" s="64">
        <f>SUM(C85:C86)</f>
        <v>153450</v>
      </c>
      <c r="F84" s="60"/>
      <c r="G84" s="57"/>
      <c r="H84" s="57"/>
    </row>
    <row r="85" spans="1:256" s="56" customFormat="1" x14ac:dyDescent="0.3">
      <c r="A85" s="72" t="s">
        <v>88</v>
      </c>
      <c r="B85" s="24" t="s">
        <v>64</v>
      </c>
      <c r="C85" s="60">
        <v>120900</v>
      </c>
      <c r="F85" s="60"/>
      <c r="G85" s="57"/>
      <c r="H85" s="57"/>
    </row>
    <row r="86" spans="1:256" s="56" customFormat="1" x14ac:dyDescent="0.3">
      <c r="A86" s="72" t="s">
        <v>365</v>
      </c>
      <c r="B86" s="43" t="s">
        <v>366</v>
      </c>
      <c r="C86" s="60">
        <v>32550</v>
      </c>
      <c r="F86" s="60"/>
      <c r="G86" s="57"/>
      <c r="H86" s="57"/>
    </row>
    <row r="87" spans="1:256" s="56" customFormat="1" x14ac:dyDescent="0.3">
      <c r="A87" s="265" t="s">
        <v>132</v>
      </c>
      <c r="B87" s="63" t="s">
        <v>56</v>
      </c>
      <c r="C87" s="64">
        <f>SUM(C88)</f>
        <v>7400</v>
      </c>
      <c r="F87" s="60"/>
      <c r="G87" s="57"/>
      <c r="H87" s="57"/>
    </row>
    <row r="88" spans="1:256" s="56" customFormat="1" x14ac:dyDescent="0.3">
      <c r="A88" s="72" t="s">
        <v>55</v>
      </c>
      <c r="B88" s="59" t="s">
        <v>56</v>
      </c>
      <c r="C88" s="60">
        <v>7400</v>
      </c>
      <c r="D88" s="60"/>
      <c r="E88" s="57"/>
      <c r="F88" s="57"/>
    </row>
    <row r="89" spans="1:256" s="56" customFormat="1" x14ac:dyDescent="0.3">
      <c r="A89" s="265" t="s">
        <v>115</v>
      </c>
      <c r="B89" s="31" t="s">
        <v>8</v>
      </c>
      <c r="C89" s="64">
        <f>SUM(C90:C93)</f>
        <v>285850</v>
      </c>
      <c r="D89" s="60"/>
      <c r="E89" s="57"/>
      <c r="F89" s="57"/>
    </row>
    <row r="90" spans="1:256" s="66" customFormat="1" x14ac:dyDescent="0.3">
      <c r="A90" s="72" t="s">
        <v>92</v>
      </c>
      <c r="B90" s="24" t="s">
        <v>8</v>
      </c>
      <c r="C90" s="60">
        <v>29500</v>
      </c>
      <c r="D90" s="60"/>
      <c r="E90" s="57"/>
      <c r="F90" s="57"/>
    </row>
    <row r="91" spans="1:256" s="56" customFormat="1" x14ac:dyDescent="0.3">
      <c r="A91" s="72" t="s">
        <v>94</v>
      </c>
      <c r="B91" s="24" t="s">
        <v>50</v>
      </c>
      <c r="C91" s="60">
        <v>9750</v>
      </c>
      <c r="D91" s="64"/>
      <c r="E91" s="57"/>
      <c r="F91" s="57"/>
    </row>
    <row r="92" spans="1:256" s="56" customFormat="1" x14ac:dyDescent="0.3">
      <c r="A92" s="12" t="s">
        <v>205</v>
      </c>
      <c r="B92" s="43" t="s">
        <v>204</v>
      </c>
      <c r="C92" s="24">
        <v>159600</v>
      </c>
      <c r="D92" s="25"/>
      <c r="E92" s="212"/>
      <c r="G92" s="212"/>
      <c r="H92" s="541"/>
      <c r="I92" s="212"/>
      <c r="J92" s="541"/>
      <c r="K92" s="212"/>
      <c r="L92" s="541"/>
      <c r="M92" s="212"/>
      <c r="N92" s="541"/>
      <c r="O92" s="212"/>
      <c r="P92" s="541"/>
      <c r="Q92" s="212"/>
      <c r="R92" s="541"/>
      <c r="S92" s="212"/>
      <c r="T92" s="541"/>
      <c r="U92" s="212"/>
      <c r="V92" s="541"/>
      <c r="W92" s="212"/>
      <c r="X92" s="541"/>
      <c r="Y92" s="212"/>
      <c r="Z92" s="541"/>
      <c r="AA92" s="212"/>
      <c r="AB92" s="541"/>
      <c r="AC92" s="212"/>
      <c r="AD92" s="541"/>
      <c r="AE92" s="212"/>
      <c r="AF92" s="541"/>
      <c r="AG92" s="212"/>
      <c r="AH92" s="541"/>
      <c r="AI92" s="212"/>
      <c r="AJ92" s="541"/>
      <c r="AK92" s="212"/>
      <c r="AL92" s="541"/>
      <c r="AM92" s="212"/>
      <c r="AN92" s="541"/>
      <c r="AO92" s="212"/>
      <c r="AP92" s="541"/>
      <c r="AQ92" s="212"/>
      <c r="AR92" s="541"/>
      <c r="AS92" s="212"/>
      <c r="AT92" s="541"/>
      <c r="AU92" s="212"/>
      <c r="AV92" s="541"/>
      <c r="AW92" s="212"/>
      <c r="AX92" s="541"/>
      <c r="AY92" s="212"/>
      <c r="AZ92" s="541"/>
      <c r="BA92" s="212"/>
      <c r="BB92" s="541"/>
      <c r="BC92" s="212"/>
      <c r="BD92" s="541"/>
      <c r="BE92" s="212"/>
      <c r="BF92" s="541"/>
      <c r="BG92" s="212"/>
      <c r="BH92" s="541"/>
      <c r="BI92" s="212"/>
      <c r="BJ92" s="541"/>
      <c r="BK92" s="212"/>
      <c r="BL92" s="541"/>
      <c r="BM92" s="212"/>
      <c r="BN92" s="541"/>
      <c r="BO92" s="212"/>
      <c r="BP92" s="541"/>
      <c r="BQ92" s="212"/>
      <c r="BR92" s="541"/>
      <c r="BS92" s="212"/>
      <c r="BT92" s="541"/>
      <c r="BU92" s="212"/>
      <c r="BV92" s="541"/>
      <c r="BW92" s="212"/>
      <c r="BX92" s="541"/>
      <c r="BY92" s="212"/>
      <c r="BZ92" s="541"/>
      <c r="CA92" s="212"/>
      <c r="CB92" s="541"/>
      <c r="CC92" s="212"/>
      <c r="CD92" s="541"/>
      <c r="CE92" s="212"/>
      <c r="CF92" s="541"/>
      <c r="CG92" s="212"/>
      <c r="CH92" s="541"/>
      <c r="CI92" s="212"/>
      <c r="CJ92" s="541"/>
      <c r="CK92" s="212"/>
      <c r="CL92" s="541"/>
      <c r="CM92" s="212"/>
      <c r="CN92" s="541"/>
      <c r="CO92" s="212"/>
      <c r="CP92" s="541"/>
      <c r="CQ92" s="212"/>
      <c r="CR92" s="541"/>
      <c r="CS92" s="212"/>
      <c r="CT92" s="541"/>
      <c r="CU92" s="212"/>
      <c r="CV92" s="541"/>
      <c r="CW92" s="212"/>
      <c r="CX92" s="541"/>
      <c r="CY92" s="212"/>
      <c r="CZ92" s="541"/>
      <c r="DA92" s="212"/>
      <c r="DB92" s="541"/>
      <c r="DC92" s="212"/>
      <c r="DD92" s="541"/>
      <c r="DE92" s="212"/>
      <c r="DF92" s="541"/>
      <c r="DG92" s="212"/>
      <c r="DH92" s="541"/>
      <c r="DI92" s="212"/>
      <c r="DJ92" s="541"/>
      <c r="DK92" s="212"/>
      <c r="DL92" s="541"/>
      <c r="DM92" s="212"/>
      <c r="DN92" s="541"/>
      <c r="DO92" s="212"/>
      <c r="DP92" s="541"/>
      <c r="DQ92" s="212"/>
      <c r="DR92" s="541"/>
      <c r="DS92" s="212"/>
      <c r="DT92" s="541"/>
      <c r="DU92" s="212"/>
      <c r="DV92" s="541"/>
      <c r="DW92" s="212"/>
      <c r="DX92" s="541"/>
      <c r="DY92" s="212"/>
      <c r="DZ92" s="541"/>
      <c r="EA92" s="212"/>
      <c r="EB92" s="541"/>
      <c r="EC92" s="212"/>
      <c r="ED92" s="541"/>
      <c r="EE92" s="212"/>
      <c r="EF92" s="541"/>
      <c r="EG92" s="212"/>
      <c r="EH92" s="541"/>
      <c r="EI92" s="212"/>
      <c r="EJ92" s="541"/>
      <c r="EK92" s="212"/>
      <c r="EL92" s="541"/>
      <c r="EM92" s="212"/>
      <c r="EN92" s="541"/>
      <c r="EO92" s="212"/>
      <c r="EP92" s="541"/>
      <c r="EQ92" s="212"/>
      <c r="ER92" s="541"/>
      <c r="ES92" s="212"/>
      <c r="ET92" s="541"/>
      <c r="EU92" s="212"/>
      <c r="EV92" s="541"/>
      <c r="EW92" s="212"/>
      <c r="EX92" s="541"/>
      <c r="EY92" s="212"/>
      <c r="EZ92" s="541"/>
      <c r="FA92" s="212"/>
      <c r="FB92" s="541"/>
      <c r="FC92" s="212"/>
      <c r="FD92" s="541"/>
      <c r="FE92" s="212"/>
      <c r="FF92" s="541"/>
      <c r="FG92" s="212"/>
      <c r="FH92" s="541"/>
      <c r="FI92" s="212"/>
      <c r="FJ92" s="541"/>
      <c r="FK92" s="212"/>
      <c r="FL92" s="541"/>
      <c r="FM92" s="212"/>
      <c r="FN92" s="541"/>
      <c r="FO92" s="212"/>
      <c r="FP92" s="541"/>
      <c r="FQ92" s="212"/>
      <c r="FR92" s="541"/>
      <c r="FS92" s="212"/>
      <c r="FT92" s="541"/>
      <c r="FU92" s="212"/>
      <c r="FV92" s="541"/>
      <c r="FW92" s="212"/>
      <c r="FX92" s="541"/>
      <c r="FY92" s="212"/>
      <c r="FZ92" s="541"/>
      <c r="GA92" s="212"/>
      <c r="GB92" s="541"/>
      <c r="GC92" s="212"/>
      <c r="GD92" s="541"/>
      <c r="GE92" s="212"/>
      <c r="GF92" s="541"/>
      <c r="GG92" s="212"/>
      <c r="GH92" s="541"/>
      <c r="GI92" s="212"/>
      <c r="GJ92" s="541"/>
      <c r="GK92" s="212"/>
      <c r="GL92" s="541"/>
      <c r="GM92" s="212"/>
      <c r="GN92" s="541"/>
      <c r="GO92" s="212"/>
      <c r="GP92" s="541"/>
      <c r="GQ92" s="212"/>
      <c r="GR92" s="541"/>
      <c r="GS92" s="212"/>
      <c r="GT92" s="541"/>
      <c r="GU92" s="212"/>
      <c r="GV92" s="541"/>
      <c r="GW92" s="212"/>
      <c r="GX92" s="541"/>
      <c r="GY92" s="212"/>
      <c r="GZ92" s="541"/>
      <c r="HA92" s="212"/>
      <c r="HB92" s="541"/>
      <c r="HC92" s="212"/>
      <c r="HD92" s="541"/>
      <c r="HE92" s="212"/>
      <c r="HF92" s="541"/>
      <c r="HG92" s="212"/>
      <c r="HH92" s="541"/>
      <c r="HI92" s="212"/>
      <c r="HJ92" s="541"/>
      <c r="HK92" s="212"/>
      <c r="HL92" s="541"/>
      <c r="HM92" s="212"/>
      <c r="HN92" s="541"/>
      <c r="HO92" s="212"/>
      <c r="HP92" s="541"/>
      <c r="HQ92" s="212"/>
      <c r="HR92" s="541"/>
      <c r="HS92" s="212"/>
      <c r="HT92" s="541"/>
      <c r="HU92" s="212"/>
      <c r="HV92" s="541"/>
      <c r="HW92" s="212"/>
      <c r="HX92" s="541"/>
      <c r="HY92" s="212"/>
      <c r="HZ92" s="541"/>
      <c r="IA92" s="212"/>
      <c r="IB92" s="541"/>
      <c r="IC92" s="212"/>
      <c r="ID92" s="541"/>
      <c r="IE92" s="212"/>
      <c r="IF92" s="541"/>
      <c r="IG92" s="212"/>
      <c r="IH92" s="541"/>
      <c r="II92" s="212"/>
      <c r="IJ92" s="541"/>
      <c r="IK92" s="212"/>
      <c r="IL92" s="541"/>
      <c r="IM92" s="212"/>
      <c r="IN92" s="541"/>
      <c r="IO92" s="212"/>
      <c r="IP92" s="541"/>
      <c r="IQ92" s="212"/>
      <c r="IR92" s="541"/>
      <c r="IS92" s="212"/>
      <c r="IT92" s="541"/>
      <c r="IU92" s="212"/>
      <c r="IV92" s="541"/>
    </row>
    <row r="93" spans="1:256" s="56" customFormat="1" x14ac:dyDescent="0.3">
      <c r="A93" s="72" t="s">
        <v>90</v>
      </c>
      <c r="B93" s="24" t="s">
        <v>7</v>
      </c>
      <c r="C93" s="60">
        <v>87000</v>
      </c>
      <c r="D93" s="25"/>
      <c r="E93" s="24"/>
      <c r="F93" s="57"/>
    </row>
    <row r="94" spans="1:256" s="56" customFormat="1" ht="13.5" thickBot="1" x14ac:dyDescent="0.35">
      <c r="A94" s="72"/>
      <c r="B94" s="24"/>
      <c r="C94" s="60"/>
      <c r="D94" s="25"/>
      <c r="E94" s="213"/>
      <c r="F94" s="57"/>
    </row>
    <row r="95" spans="1:256" s="66" customFormat="1" ht="13.5" thickBot="1" x14ac:dyDescent="0.35">
      <c r="A95" s="1094" t="s">
        <v>4</v>
      </c>
      <c r="B95" s="1095"/>
      <c r="C95" s="702">
        <f>+C96+C102+C100</f>
        <v>188600</v>
      </c>
      <c r="D95" s="68"/>
      <c r="E95" s="84"/>
    </row>
    <row r="96" spans="1:256" s="56" customFormat="1" x14ac:dyDescent="0.3">
      <c r="A96" s="265" t="s">
        <v>116</v>
      </c>
      <c r="B96" s="211" t="s">
        <v>117</v>
      </c>
      <c r="C96" s="64">
        <f>SUM(C97:C99)</f>
        <v>100600</v>
      </c>
      <c r="D96" s="57"/>
      <c r="E96" s="180"/>
    </row>
    <row r="97" spans="1:8" s="66" customFormat="1" x14ac:dyDescent="0.3">
      <c r="A97" s="72" t="s">
        <v>91</v>
      </c>
      <c r="B97" s="59" t="s">
        <v>139</v>
      </c>
      <c r="C97" s="60">
        <v>50600</v>
      </c>
      <c r="D97" s="68"/>
      <c r="E97" s="68"/>
    </row>
    <row r="98" spans="1:8" s="66" customFormat="1" x14ac:dyDescent="0.3">
      <c r="A98" s="70" t="s">
        <v>57</v>
      </c>
      <c r="B98" s="70" t="s">
        <v>58</v>
      </c>
      <c r="C98" s="60">
        <v>15000</v>
      </c>
      <c r="D98" s="60"/>
      <c r="E98" s="527"/>
    </row>
    <row r="99" spans="1:8" s="8" customFormat="1" ht="13.5" customHeight="1" x14ac:dyDescent="0.25">
      <c r="A99" s="72" t="s">
        <v>814</v>
      </c>
      <c r="B99" s="23" t="s">
        <v>815</v>
      </c>
      <c r="C99" s="24">
        <v>35000</v>
      </c>
      <c r="D99" s="78"/>
      <c r="E99" s="25"/>
      <c r="F99" s="99"/>
      <c r="G99" s="55"/>
      <c r="H99" s="43"/>
    </row>
    <row r="100" spans="1:8" s="43" customFormat="1" ht="13.5" customHeight="1" x14ac:dyDescent="0.25">
      <c r="A100" s="265" t="s">
        <v>574</v>
      </c>
      <c r="B100" s="25" t="s">
        <v>260</v>
      </c>
      <c r="C100" s="31">
        <f>SUM(C101)</f>
        <v>70000</v>
      </c>
      <c r="D100" s="78"/>
      <c r="E100" s="25"/>
      <c r="G100" s="55"/>
    </row>
    <row r="101" spans="1:8" s="8" customFormat="1" ht="13.5" customHeight="1" x14ac:dyDescent="0.25">
      <c r="A101" s="72" t="s">
        <v>165</v>
      </c>
      <c r="B101" s="23" t="s">
        <v>260</v>
      </c>
      <c r="C101" s="24">
        <v>70000</v>
      </c>
      <c r="D101" s="78"/>
      <c r="E101" s="25"/>
      <c r="F101" s="99"/>
      <c r="G101" s="55"/>
      <c r="H101" s="43"/>
    </row>
    <row r="102" spans="1:8" s="66" customFormat="1" x14ac:dyDescent="0.3">
      <c r="A102" s="265" t="s">
        <v>166</v>
      </c>
      <c r="B102" s="31" t="s">
        <v>135</v>
      </c>
      <c r="C102" s="64">
        <f>SUM(C103)</f>
        <v>18000</v>
      </c>
      <c r="D102" s="68"/>
      <c r="E102" s="68"/>
    </row>
    <row r="103" spans="1:8" s="66" customFormat="1" x14ac:dyDescent="0.3">
      <c r="A103" s="72" t="s">
        <v>167</v>
      </c>
      <c r="B103" s="24" t="s">
        <v>51</v>
      </c>
      <c r="C103" s="60">
        <v>18000</v>
      </c>
      <c r="D103" s="68"/>
      <c r="E103" s="68"/>
    </row>
    <row r="104" spans="1:8" ht="13.5" thickBot="1" x14ac:dyDescent="0.35"/>
    <row r="105" spans="1:8" x14ac:dyDescent="0.3">
      <c r="A105" s="715" t="s">
        <v>582</v>
      </c>
      <c r="B105" s="703"/>
      <c r="C105" s="704" t="s">
        <v>6</v>
      </c>
      <c r="D105" s="910" t="s">
        <v>588</v>
      </c>
      <c r="F105" s="571"/>
    </row>
    <row r="106" spans="1:8" x14ac:dyDescent="0.3">
      <c r="A106" s="717"/>
      <c r="B106" s="811" t="s">
        <v>584</v>
      </c>
      <c r="C106" s="708"/>
      <c r="D106" s="709"/>
    </row>
    <row r="107" spans="1:8" ht="13.5" thickBot="1" x14ac:dyDescent="0.35">
      <c r="A107" s="716"/>
      <c r="B107" s="710" t="s">
        <v>589</v>
      </c>
      <c r="C107" s="705"/>
      <c r="D107" s="706"/>
    </row>
    <row r="108" spans="1:8" s="454" customFormat="1" ht="11.5" x14ac:dyDescent="0.25">
      <c r="A108" s="1255" t="s">
        <v>867</v>
      </c>
      <c r="B108" s="1256"/>
      <c r="C108" s="1256"/>
      <c r="D108" s="1257"/>
      <c r="E108" s="60"/>
    </row>
    <row r="109" spans="1:8" s="454" customFormat="1" ht="12" thickBot="1" x14ac:dyDescent="0.3">
      <c r="A109" s="1258"/>
      <c r="B109" s="1259"/>
      <c r="C109" s="1259"/>
      <c r="D109" s="1260"/>
      <c r="E109" s="60"/>
    </row>
    <row r="110" spans="1:8" x14ac:dyDescent="0.3">
      <c r="A110" s="58" t="s">
        <v>1029</v>
      </c>
      <c r="B110" s="59"/>
      <c r="C110" s="60"/>
      <c r="D110" s="61"/>
    </row>
    <row r="111" spans="1:8" x14ac:dyDescent="0.3">
      <c r="A111" s="58" t="s">
        <v>581</v>
      </c>
      <c r="B111" s="59"/>
      <c r="C111" s="60"/>
      <c r="D111" s="61"/>
    </row>
    <row r="112" spans="1:8" s="69" customFormat="1" x14ac:dyDescent="0.3">
      <c r="A112" s="58" t="s">
        <v>1039</v>
      </c>
      <c r="B112" s="59"/>
      <c r="C112" s="60"/>
      <c r="D112" s="61"/>
      <c r="E112" s="235"/>
    </row>
    <row r="113" spans="1:8" ht="13.5" thickBot="1" x14ac:dyDescent="0.35">
      <c r="A113" s="58" t="s">
        <v>13</v>
      </c>
      <c r="B113" s="59"/>
      <c r="C113" s="60"/>
      <c r="D113" s="61"/>
    </row>
    <row r="114" spans="1:8" ht="13.5" thickBot="1" x14ac:dyDescent="0.35">
      <c r="A114" s="743" t="s">
        <v>587</v>
      </c>
      <c r="B114" s="744"/>
      <c r="C114" s="751"/>
      <c r="D114" s="747">
        <f>+C116+C137+C165</f>
        <v>2442120</v>
      </c>
      <c r="E114" s="809"/>
      <c r="F114" s="963"/>
      <c r="G114" s="62"/>
    </row>
    <row r="115" spans="1:8" ht="13.5" thickBot="1" x14ac:dyDescent="0.35">
      <c r="A115" s="59"/>
      <c r="B115" s="70"/>
      <c r="D115" s="538"/>
      <c r="E115" s="540"/>
    </row>
    <row r="116" spans="1:8" ht="13.5" thickBot="1" x14ac:dyDescent="0.35">
      <c r="A116" s="1102" t="s">
        <v>2</v>
      </c>
      <c r="B116" s="1103"/>
      <c r="C116" s="699">
        <f>C117+C119+C122+C130+C133+C124</f>
        <v>336090</v>
      </c>
      <c r="E116" s="540"/>
    </row>
    <row r="117" spans="1:8" s="69" customFormat="1" x14ac:dyDescent="0.3">
      <c r="A117" s="11" t="s">
        <v>103</v>
      </c>
      <c r="B117" s="211" t="s">
        <v>104</v>
      </c>
      <c r="C117" s="64">
        <f>SUM(C118)</f>
        <v>52500</v>
      </c>
      <c r="D117" s="65"/>
      <c r="E117" s="230"/>
    </row>
    <row r="118" spans="1:8" s="43" customFormat="1" ht="13.5" customHeight="1" x14ac:dyDescent="0.25">
      <c r="A118" s="12" t="s">
        <v>46</v>
      </c>
      <c r="B118" s="43" t="s">
        <v>45</v>
      </c>
      <c r="C118" s="24">
        <v>52500</v>
      </c>
      <c r="E118" s="31"/>
      <c r="F118" s="96"/>
      <c r="G118" s="55"/>
    </row>
    <row r="119" spans="1:8" s="43" customFormat="1" ht="13.5" customHeight="1" x14ac:dyDescent="0.25">
      <c r="A119" s="11" t="s">
        <v>105</v>
      </c>
      <c r="B119" s="556" t="s">
        <v>106</v>
      </c>
      <c r="C119" s="64">
        <f>SUM(C120:C121)</f>
        <v>16350</v>
      </c>
      <c r="D119" s="22"/>
      <c r="E119" s="31"/>
      <c r="G119" s="55"/>
    </row>
    <row r="120" spans="1:8" s="43" customFormat="1" ht="13.5" customHeight="1" x14ac:dyDescent="0.25">
      <c r="A120" s="12" t="s">
        <v>67</v>
      </c>
      <c r="B120" s="43" t="s">
        <v>68</v>
      </c>
      <c r="C120" s="24">
        <v>9150</v>
      </c>
      <c r="D120" s="22"/>
      <c r="E120" s="31"/>
      <c r="G120" s="55"/>
    </row>
    <row r="121" spans="1:8" s="43" customFormat="1" ht="13.5" customHeight="1" x14ac:dyDescent="0.25">
      <c r="A121" s="12" t="s">
        <v>86</v>
      </c>
      <c r="B121" s="43" t="s">
        <v>66</v>
      </c>
      <c r="C121" s="24">
        <v>7200</v>
      </c>
      <c r="D121" s="22"/>
      <c r="E121" s="31"/>
      <c r="G121" s="55"/>
    </row>
    <row r="122" spans="1:8" s="43" customFormat="1" ht="13.5" customHeight="1" x14ac:dyDescent="0.25">
      <c r="A122" s="11" t="s">
        <v>107</v>
      </c>
      <c r="B122" s="556" t="s">
        <v>108</v>
      </c>
      <c r="C122" s="31">
        <f>SUM(C123)</f>
        <v>102260</v>
      </c>
      <c r="D122" s="22"/>
      <c r="E122" s="31"/>
      <c r="G122" s="55"/>
    </row>
    <row r="123" spans="1:8" s="8" customFormat="1" ht="13.5" customHeight="1" x14ac:dyDescent="0.25">
      <c r="A123" s="12" t="s">
        <v>47</v>
      </c>
      <c r="B123" s="24" t="s">
        <v>48</v>
      </c>
      <c r="C123" s="24">
        <v>102260</v>
      </c>
      <c r="D123" s="78"/>
      <c r="E123" s="25"/>
      <c r="F123" s="99"/>
      <c r="G123" s="55"/>
      <c r="H123" s="43"/>
    </row>
    <row r="124" spans="1:8" s="5" customFormat="1" x14ac:dyDescent="0.25">
      <c r="A124" s="11" t="s">
        <v>119</v>
      </c>
      <c r="B124" s="559" t="s">
        <v>191</v>
      </c>
      <c r="C124" s="31">
        <f>SUM(C125:C129)</f>
        <v>99150</v>
      </c>
      <c r="D124" s="404"/>
      <c r="E124" s="353"/>
      <c r="F124" s="353"/>
      <c r="G124" s="405"/>
      <c r="H124" s="147"/>
    </row>
    <row r="125" spans="1:8" s="5" customFormat="1" x14ac:dyDescent="0.25">
      <c r="A125" s="12" t="s">
        <v>150</v>
      </c>
      <c r="B125" s="43" t="s">
        <v>695</v>
      </c>
      <c r="C125" s="24">
        <v>10500</v>
      </c>
      <c r="D125" s="404"/>
      <c r="E125" s="353"/>
      <c r="F125" s="353"/>
      <c r="G125" s="405"/>
      <c r="H125" s="147"/>
    </row>
    <row r="126" spans="1:8" s="5" customFormat="1" x14ac:dyDescent="0.25">
      <c r="A126" s="12" t="s">
        <v>697</v>
      </c>
      <c r="B126" s="43" t="s">
        <v>696</v>
      </c>
      <c r="C126" s="24">
        <v>15000</v>
      </c>
      <c r="D126" s="404"/>
      <c r="E126" s="353"/>
      <c r="F126" s="353"/>
      <c r="G126" s="405"/>
      <c r="H126" s="147"/>
    </row>
    <row r="127" spans="1:8" s="66" customFormat="1" x14ac:dyDescent="0.3">
      <c r="A127" s="72" t="s">
        <v>816</v>
      </c>
      <c r="B127" s="24" t="s">
        <v>810</v>
      </c>
      <c r="C127" s="24">
        <v>22500</v>
      </c>
      <c r="D127" s="78"/>
      <c r="E127" s="25"/>
    </row>
    <row r="128" spans="1:8" s="66" customFormat="1" x14ac:dyDescent="0.3">
      <c r="A128" s="72" t="s">
        <v>820</v>
      </c>
      <c r="B128" s="24" t="s">
        <v>821</v>
      </c>
      <c r="C128" s="24">
        <v>32400</v>
      </c>
      <c r="D128" s="78"/>
      <c r="E128" s="25"/>
    </row>
    <row r="129" spans="1:10" s="66" customFormat="1" x14ac:dyDescent="0.3">
      <c r="A129" s="72" t="s">
        <v>811</v>
      </c>
      <c r="B129" s="24" t="s">
        <v>812</v>
      </c>
      <c r="C129" s="24">
        <v>18750</v>
      </c>
      <c r="D129" s="78"/>
      <c r="E129" s="25"/>
    </row>
    <row r="130" spans="1:10" s="8" customFormat="1" ht="13.5" customHeight="1" x14ac:dyDescent="0.25">
      <c r="A130" s="265" t="s">
        <v>124</v>
      </c>
      <c r="B130" s="31" t="s">
        <v>123</v>
      </c>
      <c r="C130" s="31">
        <f>SUM(C131:C132)</f>
        <v>37110</v>
      </c>
      <c r="D130" s="78"/>
      <c r="E130" s="25"/>
      <c r="F130" s="99"/>
      <c r="G130" s="55"/>
      <c r="H130" s="43"/>
    </row>
    <row r="131" spans="1:10" s="66" customFormat="1" x14ac:dyDescent="0.3">
      <c r="A131" s="12" t="s">
        <v>230</v>
      </c>
      <c r="B131" s="43" t="s">
        <v>229</v>
      </c>
      <c r="C131" s="24">
        <v>29310</v>
      </c>
      <c r="D131" s="57"/>
      <c r="E131" s="57"/>
    </row>
    <row r="132" spans="1:10" s="66" customFormat="1" x14ac:dyDescent="0.3">
      <c r="A132" s="72" t="s">
        <v>93</v>
      </c>
      <c r="B132" s="23" t="s">
        <v>72</v>
      </c>
      <c r="C132" s="60">
        <v>7800</v>
      </c>
      <c r="D132" s="68"/>
      <c r="E132" s="68"/>
    </row>
    <row r="133" spans="1:10" s="66" customFormat="1" x14ac:dyDescent="0.3">
      <c r="A133" s="265" t="s">
        <v>151</v>
      </c>
      <c r="B133" s="31" t="s">
        <v>125</v>
      </c>
      <c r="C133" s="64">
        <f>SUM(C134:C135)</f>
        <v>28720</v>
      </c>
      <c r="D133" s="68"/>
      <c r="E133" s="68"/>
    </row>
    <row r="134" spans="1:10" s="8" customFormat="1" ht="13.5" customHeight="1" x14ac:dyDescent="0.25">
      <c r="A134" s="72" t="s">
        <v>152</v>
      </c>
      <c r="B134" s="24" t="s">
        <v>65</v>
      </c>
      <c r="C134" s="24">
        <v>10000</v>
      </c>
      <c r="D134" s="78"/>
      <c r="E134" s="25"/>
      <c r="F134" s="99"/>
      <c r="G134" s="55"/>
      <c r="H134" s="43"/>
    </row>
    <row r="135" spans="1:10" s="8" customFormat="1" ht="13.5" customHeight="1" x14ac:dyDescent="0.25">
      <c r="A135" s="12" t="s">
        <v>154</v>
      </c>
      <c r="B135" s="24" t="s">
        <v>125</v>
      </c>
      <c r="C135" s="24">
        <v>18720</v>
      </c>
      <c r="D135" s="22"/>
      <c r="E135" s="25"/>
      <c r="F135" s="99"/>
      <c r="G135" s="55"/>
      <c r="H135" s="43"/>
    </row>
    <row r="136" spans="1:10" s="8" customFormat="1" ht="13.5" customHeight="1" thickBot="1" x14ac:dyDescent="0.3">
      <c r="A136" s="72"/>
      <c r="B136" s="24"/>
      <c r="C136" s="23"/>
      <c r="D136" s="78"/>
      <c r="E136" s="25"/>
      <c r="F136" s="211"/>
      <c r="G136" s="55"/>
      <c r="H136" s="74"/>
    </row>
    <row r="137" spans="1:10" s="66" customFormat="1" ht="13.5" thickBot="1" x14ac:dyDescent="0.35">
      <c r="A137" s="1098" t="s">
        <v>3</v>
      </c>
      <c r="B137" s="1099"/>
      <c r="C137" s="700">
        <f>C138+C143+C146+C151+C154+C157+C159</f>
        <v>1917430</v>
      </c>
      <c r="D137" s="68"/>
      <c r="E137" s="84"/>
    </row>
    <row r="138" spans="1:10" s="56" customFormat="1" x14ac:dyDescent="0.3">
      <c r="A138" s="265" t="s">
        <v>341</v>
      </c>
      <c r="B138" s="211" t="s">
        <v>342</v>
      </c>
      <c r="C138" s="64">
        <f>SUM(C139:C142)</f>
        <v>700130</v>
      </c>
      <c r="D138" s="57"/>
      <c r="E138" s="180"/>
    </row>
    <row r="139" spans="1:10" s="8" customFormat="1" ht="13.5" customHeight="1" x14ac:dyDescent="0.25">
      <c r="A139" s="72" t="s">
        <v>345</v>
      </c>
      <c r="B139" s="59" t="s">
        <v>346</v>
      </c>
      <c r="C139" s="24">
        <v>4880</v>
      </c>
      <c r="D139" s="78"/>
      <c r="F139" s="204"/>
      <c r="G139" s="55"/>
      <c r="H139" s="55"/>
    </row>
    <row r="140" spans="1:10" s="8" customFormat="1" ht="13.5" customHeight="1" x14ac:dyDescent="0.25">
      <c r="A140" s="72" t="s">
        <v>347</v>
      </c>
      <c r="B140" s="59" t="s">
        <v>348</v>
      </c>
      <c r="C140" s="24">
        <v>41320</v>
      </c>
      <c r="D140" s="78"/>
      <c r="E140" s="25"/>
      <c r="F140" s="204"/>
      <c r="G140" s="55"/>
      <c r="H140" s="55"/>
    </row>
    <row r="141" spans="1:10" s="8" customFormat="1" ht="13.5" customHeight="1" x14ac:dyDescent="0.25">
      <c r="A141" s="72" t="s">
        <v>384</v>
      </c>
      <c r="B141" s="59" t="s">
        <v>565</v>
      </c>
      <c r="C141" s="24">
        <v>25770</v>
      </c>
      <c r="D141" s="78"/>
      <c r="E141" s="25"/>
      <c r="F141" s="99"/>
      <c r="G141" s="55"/>
      <c r="H141" s="43"/>
      <c r="J141" s="83"/>
    </row>
    <row r="142" spans="1:10" s="8" customFormat="1" ht="13.5" customHeight="1" x14ac:dyDescent="0.25">
      <c r="A142" s="72" t="s">
        <v>349</v>
      </c>
      <c r="B142" s="59" t="s">
        <v>350</v>
      </c>
      <c r="C142" s="24">
        <v>628160</v>
      </c>
      <c r="F142" s="78"/>
      <c r="G142" s="25"/>
      <c r="H142" s="99"/>
      <c r="I142" s="83"/>
    </row>
    <row r="143" spans="1:10" s="8" customFormat="1" ht="13.5" customHeight="1" x14ac:dyDescent="0.25">
      <c r="A143" s="265" t="s">
        <v>110</v>
      </c>
      <c r="B143" s="63" t="s">
        <v>111</v>
      </c>
      <c r="C143" s="31">
        <f>SUM(C144:C145)</f>
        <v>333100</v>
      </c>
      <c r="F143" s="78"/>
      <c r="G143" s="25"/>
      <c r="H143" s="99"/>
      <c r="I143" s="83"/>
    </row>
    <row r="144" spans="1:10" s="43" customFormat="1" ht="13.5" customHeight="1" x14ac:dyDescent="0.25">
      <c r="A144" s="12" t="s">
        <v>160</v>
      </c>
      <c r="B144" s="59" t="s">
        <v>159</v>
      </c>
      <c r="C144" s="24">
        <v>282000</v>
      </c>
      <c r="F144" s="31"/>
      <c r="H144" s="24"/>
      <c r="I144" s="55"/>
    </row>
    <row r="145" spans="1:256" s="8" customFormat="1" ht="13.5" customHeight="1" x14ac:dyDescent="0.25">
      <c r="A145" s="59" t="s">
        <v>52</v>
      </c>
      <c r="B145" s="59" t="s">
        <v>15</v>
      </c>
      <c r="C145" s="24">
        <v>51100</v>
      </c>
      <c r="F145" s="84"/>
      <c r="G145" s="25"/>
      <c r="H145" s="99"/>
    </row>
    <row r="146" spans="1:256" s="8" customFormat="1" ht="13.5" customHeight="1" x14ac:dyDescent="0.25">
      <c r="A146" s="63" t="s">
        <v>120</v>
      </c>
      <c r="B146" s="63" t="s">
        <v>121</v>
      </c>
      <c r="C146" s="31">
        <f>SUM(C147:C150)</f>
        <v>408400</v>
      </c>
      <c r="F146" s="78"/>
      <c r="G146" s="25"/>
      <c r="H146" s="99"/>
      <c r="I146" s="83"/>
    </row>
    <row r="147" spans="1:256" s="8" customFormat="1" ht="13.5" customHeight="1" x14ac:dyDescent="0.25">
      <c r="A147" s="59" t="s">
        <v>246</v>
      </c>
      <c r="B147" s="43" t="s">
        <v>247</v>
      </c>
      <c r="C147" s="24">
        <v>328900</v>
      </c>
      <c r="F147" s="79"/>
      <c r="G147" s="25"/>
      <c r="H147" s="99"/>
      <c r="I147" s="83"/>
    </row>
    <row r="148" spans="1:256" s="8" customFormat="1" ht="13.5" customHeight="1" x14ac:dyDescent="0.25">
      <c r="A148" s="59" t="s">
        <v>236</v>
      </c>
      <c r="B148" s="43" t="s">
        <v>237</v>
      </c>
      <c r="C148" s="24">
        <v>18000</v>
      </c>
      <c r="F148" s="79"/>
      <c r="G148" s="25"/>
      <c r="H148" s="99"/>
      <c r="I148" s="83"/>
    </row>
    <row r="149" spans="1:256" s="66" customFormat="1" ht="13.5" customHeight="1" x14ac:dyDescent="0.3">
      <c r="A149" s="59" t="s">
        <v>140</v>
      </c>
      <c r="B149" s="43" t="s">
        <v>141</v>
      </c>
      <c r="C149" s="60">
        <v>46800</v>
      </c>
      <c r="G149" s="60"/>
      <c r="H149" s="57"/>
      <c r="I149" s="57"/>
    </row>
    <row r="150" spans="1:256" s="8" customFormat="1" ht="13.5" customHeight="1" x14ac:dyDescent="0.25">
      <c r="A150" s="59" t="s">
        <v>136</v>
      </c>
      <c r="B150" s="59" t="s">
        <v>71</v>
      </c>
      <c r="C150" s="24">
        <v>14700</v>
      </c>
      <c r="F150" s="78"/>
      <c r="G150" s="25"/>
      <c r="H150" s="99"/>
      <c r="I150" s="83"/>
    </row>
    <row r="151" spans="1:256" s="56" customFormat="1" x14ac:dyDescent="0.3">
      <c r="A151" s="265" t="s">
        <v>112</v>
      </c>
      <c r="B151" s="559" t="s">
        <v>157</v>
      </c>
      <c r="C151" s="31">
        <f>SUM(C152:C153)</f>
        <v>29100</v>
      </c>
      <c r="F151" s="25"/>
      <c r="G151" s="212"/>
      <c r="H151" s="541"/>
      <c r="I151" s="212"/>
      <c r="J151" s="541"/>
      <c r="K151" s="212"/>
      <c r="L151" s="541"/>
      <c r="M151" s="212"/>
      <c r="N151" s="541"/>
      <c r="O151" s="212"/>
      <c r="P151" s="541"/>
      <c r="Q151" s="212"/>
      <c r="R151" s="541"/>
      <c r="S151" s="212"/>
      <c r="T151" s="541"/>
      <c r="U151" s="212"/>
      <c r="V151" s="541"/>
      <c r="W151" s="212"/>
      <c r="X151" s="541"/>
      <c r="Y151" s="212"/>
      <c r="Z151" s="541"/>
      <c r="AA151" s="212"/>
      <c r="AB151" s="541"/>
      <c r="AC151" s="212"/>
      <c r="AD151" s="541"/>
      <c r="AE151" s="212"/>
      <c r="AF151" s="541"/>
      <c r="AG151" s="212"/>
      <c r="AH151" s="541"/>
      <c r="AI151" s="212"/>
      <c r="AJ151" s="541"/>
      <c r="AK151" s="212"/>
      <c r="AL151" s="541"/>
      <c r="AM151" s="212"/>
      <c r="AN151" s="541"/>
      <c r="AO151" s="212"/>
      <c r="AP151" s="541"/>
      <c r="AQ151" s="212"/>
      <c r="AR151" s="541"/>
      <c r="AS151" s="212"/>
      <c r="AT151" s="541"/>
      <c r="AU151" s="212"/>
      <c r="AV151" s="541"/>
      <c r="AW151" s="212"/>
      <c r="AX151" s="541"/>
      <c r="AY151" s="212"/>
      <c r="AZ151" s="541"/>
      <c r="BA151" s="212"/>
      <c r="BB151" s="541"/>
      <c r="BC151" s="212"/>
      <c r="BD151" s="541"/>
      <c r="BE151" s="212"/>
      <c r="BF151" s="541"/>
      <c r="BG151" s="212"/>
      <c r="BH151" s="541"/>
      <c r="BI151" s="212"/>
      <c r="BJ151" s="541"/>
      <c r="BK151" s="212"/>
      <c r="BL151" s="541"/>
      <c r="BM151" s="212"/>
      <c r="BN151" s="541"/>
      <c r="BO151" s="212"/>
      <c r="BP151" s="541"/>
      <c r="BQ151" s="212"/>
      <c r="BR151" s="541"/>
      <c r="BS151" s="212"/>
      <c r="BT151" s="541"/>
      <c r="BU151" s="212"/>
      <c r="BV151" s="541"/>
      <c r="BW151" s="212"/>
      <c r="BX151" s="541"/>
      <c r="BY151" s="212"/>
      <c r="BZ151" s="541"/>
      <c r="CA151" s="212"/>
      <c r="CB151" s="541"/>
      <c r="CC151" s="212"/>
      <c r="CD151" s="541"/>
      <c r="CE151" s="212"/>
      <c r="CF151" s="541"/>
      <c r="CG151" s="212"/>
      <c r="CH151" s="541"/>
      <c r="CI151" s="212"/>
      <c r="CJ151" s="541"/>
      <c r="CK151" s="212"/>
      <c r="CL151" s="541"/>
      <c r="CM151" s="212"/>
      <c r="CN151" s="541"/>
      <c r="CO151" s="212"/>
      <c r="CP151" s="541"/>
      <c r="CQ151" s="212"/>
      <c r="CR151" s="541"/>
      <c r="CS151" s="212"/>
      <c r="CT151" s="541"/>
      <c r="CU151" s="212"/>
      <c r="CV151" s="541"/>
      <c r="CW151" s="212"/>
      <c r="CX151" s="541"/>
      <c r="CY151" s="212"/>
      <c r="CZ151" s="541"/>
      <c r="DA151" s="212"/>
      <c r="DB151" s="541"/>
      <c r="DC151" s="212"/>
      <c r="DD151" s="541"/>
      <c r="DE151" s="212"/>
      <c r="DF151" s="541"/>
      <c r="DG151" s="212"/>
      <c r="DH151" s="541"/>
      <c r="DI151" s="212"/>
      <c r="DJ151" s="541"/>
      <c r="DK151" s="212"/>
      <c r="DL151" s="541"/>
      <c r="DM151" s="212"/>
      <c r="DN151" s="541"/>
      <c r="DO151" s="212"/>
      <c r="DP151" s="541"/>
      <c r="DQ151" s="212"/>
      <c r="DR151" s="541"/>
      <c r="DS151" s="212"/>
      <c r="DT151" s="541"/>
      <c r="DU151" s="212"/>
      <c r="DV151" s="541"/>
      <c r="DW151" s="212"/>
      <c r="DX151" s="541"/>
      <c r="DY151" s="212"/>
      <c r="DZ151" s="541"/>
      <c r="EA151" s="212"/>
      <c r="EB151" s="541"/>
      <c r="EC151" s="212"/>
      <c r="ED151" s="541"/>
      <c r="EE151" s="212"/>
      <c r="EF151" s="541"/>
      <c r="EG151" s="212"/>
      <c r="EH151" s="541"/>
      <c r="EI151" s="212"/>
      <c r="EJ151" s="541"/>
      <c r="EK151" s="212"/>
      <c r="EL151" s="541"/>
      <c r="EM151" s="212"/>
      <c r="EN151" s="541"/>
      <c r="EO151" s="212"/>
      <c r="EP151" s="541"/>
      <c r="EQ151" s="212"/>
      <c r="ER151" s="541"/>
      <c r="ES151" s="212"/>
      <c r="ET151" s="541"/>
      <c r="EU151" s="212"/>
      <c r="EV151" s="541"/>
      <c r="EW151" s="212"/>
      <c r="EX151" s="541"/>
      <c r="EY151" s="212"/>
      <c r="EZ151" s="541"/>
      <c r="FA151" s="212"/>
      <c r="FB151" s="541"/>
      <c r="FC151" s="212"/>
      <c r="FD151" s="541"/>
      <c r="FE151" s="212"/>
      <c r="FF151" s="541"/>
      <c r="FG151" s="212"/>
      <c r="FH151" s="541"/>
      <c r="FI151" s="212"/>
      <c r="FJ151" s="541"/>
      <c r="FK151" s="212"/>
      <c r="FL151" s="541"/>
      <c r="FM151" s="212"/>
      <c r="FN151" s="541"/>
      <c r="FO151" s="212"/>
      <c r="FP151" s="541"/>
      <c r="FQ151" s="212"/>
      <c r="FR151" s="541"/>
      <c r="FS151" s="212"/>
      <c r="FT151" s="541"/>
      <c r="FU151" s="212"/>
      <c r="FV151" s="541"/>
      <c r="FW151" s="212"/>
      <c r="FX151" s="541"/>
      <c r="FY151" s="212"/>
      <c r="FZ151" s="541"/>
      <c r="GA151" s="212"/>
      <c r="GB151" s="541"/>
      <c r="GC151" s="212"/>
      <c r="GD151" s="541"/>
      <c r="GE151" s="212"/>
      <c r="GF151" s="541"/>
      <c r="GG151" s="212"/>
      <c r="GH151" s="541"/>
      <c r="GI151" s="212"/>
      <c r="GJ151" s="541"/>
      <c r="GK151" s="212"/>
      <c r="GL151" s="541"/>
      <c r="GM151" s="212"/>
      <c r="GN151" s="541"/>
      <c r="GO151" s="212"/>
      <c r="GP151" s="541"/>
      <c r="GQ151" s="212"/>
      <c r="GR151" s="541"/>
      <c r="GS151" s="212"/>
      <c r="GT151" s="541"/>
      <c r="GU151" s="212"/>
      <c r="GV151" s="541"/>
      <c r="GW151" s="212"/>
      <c r="GX151" s="541"/>
      <c r="GY151" s="212"/>
      <c r="GZ151" s="541"/>
      <c r="HA151" s="212"/>
      <c r="HB151" s="541"/>
      <c r="HC151" s="212"/>
      <c r="HD151" s="541"/>
      <c r="HE151" s="212"/>
      <c r="HF151" s="541"/>
      <c r="HG151" s="212"/>
      <c r="HH151" s="541"/>
      <c r="HI151" s="212"/>
      <c r="HJ151" s="541"/>
      <c r="HK151" s="212"/>
      <c r="HL151" s="541"/>
      <c r="HM151" s="212"/>
      <c r="HN151" s="541"/>
      <c r="HO151" s="212"/>
      <c r="HP151" s="541"/>
      <c r="HQ151" s="212"/>
      <c r="HR151" s="541"/>
      <c r="HS151" s="212"/>
      <c r="HT151" s="541"/>
      <c r="HU151" s="212"/>
      <c r="HV151" s="541"/>
      <c r="HW151" s="212"/>
      <c r="HX151" s="541"/>
      <c r="HY151" s="212"/>
      <c r="HZ151" s="541"/>
      <c r="IA151" s="212"/>
      <c r="IB151" s="541"/>
      <c r="IC151" s="212"/>
      <c r="ID151" s="541"/>
      <c r="IE151" s="212"/>
      <c r="IF151" s="541"/>
      <c r="IG151" s="212"/>
      <c r="IH151" s="541"/>
      <c r="II151" s="212"/>
      <c r="IJ151" s="541"/>
      <c r="IK151" s="212"/>
      <c r="IL151" s="541"/>
      <c r="IM151" s="212"/>
      <c r="IN151" s="541"/>
      <c r="IO151" s="212"/>
      <c r="IP151" s="541"/>
      <c r="IQ151" s="212"/>
      <c r="IR151" s="541"/>
      <c r="IS151" s="212"/>
      <c r="IT151" s="541"/>
      <c r="IU151" s="212"/>
      <c r="IV151" s="541"/>
    </row>
    <row r="152" spans="1:256" s="56" customFormat="1" x14ac:dyDescent="0.3">
      <c r="A152" s="72" t="s">
        <v>138</v>
      </c>
      <c r="B152" s="59" t="s">
        <v>137</v>
      </c>
      <c r="C152" s="60">
        <v>7500</v>
      </c>
      <c r="F152" s="64"/>
      <c r="G152" s="460"/>
      <c r="H152" s="57"/>
    </row>
    <row r="153" spans="1:256" s="56" customFormat="1" x14ac:dyDescent="0.3">
      <c r="A153" s="72" t="s">
        <v>49</v>
      </c>
      <c r="B153" s="24" t="s">
        <v>87</v>
      </c>
      <c r="C153" s="60">
        <v>21600</v>
      </c>
      <c r="F153" s="60"/>
      <c r="G153" s="57"/>
      <c r="H153" s="57"/>
    </row>
    <row r="154" spans="1:256" s="56" customFormat="1" x14ac:dyDescent="0.3">
      <c r="A154" s="265" t="s">
        <v>113</v>
      </c>
      <c r="B154" s="31" t="s">
        <v>114</v>
      </c>
      <c r="C154" s="64">
        <f>SUM(C155:C156)</f>
        <v>153450</v>
      </c>
      <c r="F154" s="60"/>
      <c r="G154" s="57"/>
      <c r="H154" s="57"/>
    </row>
    <row r="155" spans="1:256" s="56" customFormat="1" x14ac:dyDescent="0.3">
      <c r="A155" s="72" t="s">
        <v>88</v>
      </c>
      <c r="B155" s="24" t="s">
        <v>64</v>
      </c>
      <c r="C155" s="60">
        <v>120900</v>
      </c>
      <c r="F155" s="60"/>
      <c r="G155" s="57"/>
      <c r="H155" s="57"/>
    </row>
    <row r="156" spans="1:256" s="56" customFormat="1" x14ac:dyDescent="0.3">
      <c r="A156" s="72" t="s">
        <v>365</v>
      </c>
      <c r="B156" s="43" t="s">
        <v>366</v>
      </c>
      <c r="C156" s="60">
        <v>32550</v>
      </c>
      <c r="F156" s="60"/>
      <c r="G156" s="57"/>
      <c r="H156" s="57"/>
    </row>
    <row r="157" spans="1:256" s="56" customFormat="1" x14ac:dyDescent="0.3">
      <c r="A157" s="265" t="s">
        <v>132</v>
      </c>
      <c r="B157" s="63" t="s">
        <v>56</v>
      </c>
      <c r="C157" s="64">
        <f>SUM(C158)</f>
        <v>7400</v>
      </c>
      <c r="F157" s="60"/>
      <c r="G157" s="57"/>
      <c r="H157" s="57"/>
    </row>
    <row r="158" spans="1:256" s="56" customFormat="1" x14ac:dyDescent="0.3">
      <c r="A158" s="72" t="s">
        <v>55</v>
      </c>
      <c r="B158" s="59" t="s">
        <v>56</v>
      </c>
      <c r="C158" s="60">
        <v>7400</v>
      </c>
      <c r="D158" s="60"/>
      <c r="E158" s="57"/>
      <c r="F158" s="57"/>
    </row>
    <row r="159" spans="1:256" s="56" customFormat="1" x14ac:dyDescent="0.3">
      <c r="A159" s="265" t="s">
        <v>115</v>
      </c>
      <c r="B159" s="31" t="s">
        <v>8</v>
      </c>
      <c r="C159" s="64">
        <f>SUM(C160:C163)</f>
        <v>285850</v>
      </c>
      <c r="D159" s="60"/>
      <c r="E159" s="57"/>
      <c r="F159" s="57"/>
    </row>
    <row r="160" spans="1:256" s="66" customFormat="1" x14ac:dyDescent="0.3">
      <c r="A160" s="72" t="s">
        <v>92</v>
      </c>
      <c r="B160" s="24" t="s">
        <v>8</v>
      </c>
      <c r="C160" s="60">
        <v>29500</v>
      </c>
      <c r="D160" s="60"/>
      <c r="E160" s="57"/>
      <c r="F160" s="57"/>
    </row>
    <row r="161" spans="1:256" s="56" customFormat="1" x14ac:dyDescent="0.3">
      <c r="A161" s="72" t="s">
        <v>94</v>
      </c>
      <c r="B161" s="24" t="s">
        <v>50</v>
      </c>
      <c r="C161" s="60">
        <v>9750</v>
      </c>
      <c r="D161" s="64"/>
      <c r="E161" s="57"/>
      <c r="F161" s="57"/>
    </row>
    <row r="162" spans="1:256" s="56" customFormat="1" x14ac:dyDescent="0.3">
      <c r="A162" s="12" t="s">
        <v>205</v>
      </c>
      <c r="B162" s="43" t="s">
        <v>204</v>
      </c>
      <c r="C162" s="24">
        <v>159600</v>
      </c>
      <c r="D162" s="25"/>
      <c r="E162" s="212"/>
      <c r="G162" s="212"/>
      <c r="H162" s="541"/>
      <c r="I162" s="212"/>
      <c r="J162" s="541"/>
      <c r="K162" s="212"/>
      <c r="L162" s="541"/>
      <c r="M162" s="212"/>
      <c r="N162" s="541"/>
      <c r="O162" s="212"/>
      <c r="P162" s="541"/>
      <c r="Q162" s="212"/>
      <c r="R162" s="541"/>
      <c r="S162" s="212"/>
      <c r="T162" s="541"/>
      <c r="U162" s="212"/>
      <c r="V162" s="541"/>
      <c r="W162" s="212"/>
      <c r="X162" s="541"/>
      <c r="Y162" s="212"/>
      <c r="Z162" s="541"/>
      <c r="AA162" s="212"/>
      <c r="AB162" s="541"/>
      <c r="AC162" s="212"/>
      <c r="AD162" s="541"/>
      <c r="AE162" s="212"/>
      <c r="AF162" s="541"/>
      <c r="AG162" s="212"/>
      <c r="AH162" s="541"/>
      <c r="AI162" s="212"/>
      <c r="AJ162" s="541"/>
      <c r="AK162" s="212"/>
      <c r="AL162" s="541"/>
      <c r="AM162" s="212"/>
      <c r="AN162" s="541"/>
      <c r="AO162" s="212"/>
      <c r="AP162" s="541"/>
      <c r="AQ162" s="212"/>
      <c r="AR162" s="541"/>
      <c r="AS162" s="212"/>
      <c r="AT162" s="541"/>
      <c r="AU162" s="212"/>
      <c r="AV162" s="541"/>
      <c r="AW162" s="212"/>
      <c r="AX162" s="541"/>
      <c r="AY162" s="212"/>
      <c r="AZ162" s="541"/>
      <c r="BA162" s="212"/>
      <c r="BB162" s="541"/>
      <c r="BC162" s="212"/>
      <c r="BD162" s="541"/>
      <c r="BE162" s="212"/>
      <c r="BF162" s="541"/>
      <c r="BG162" s="212"/>
      <c r="BH162" s="541"/>
      <c r="BI162" s="212"/>
      <c r="BJ162" s="541"/>
      <c r="BK162" s="212"/>
      <c r="BL162" s="541"/>
      <c r="BM162" s="212"/>
      <c r="BN162" s="541"/>
      <c r="BO162" s="212"/>
      <c r="BP162" s="541"/>
      <c r="BQ162" s="212"/>
      <c r="BR162" s="541"/>
      <c r="BS162" s="212"/>
      <c r="BT162" s="541"/>
      <c r="BU162" s="212"/>
      <c r="BV162" s="541"/>
      <c r="BW162" s="212"/>
      <c r="BX162" s="541"/>
      <c r="BY162" s="212"/>
      <c r="BZ162" s="541"/>
      <c r="CA162" s="212"/>
      <c r="CB162" s="541"/>
      <c r="CC162" s="212"/>
      <c r="CD162" s="541"/>
      <c r="CE162" s="212"/>
      <c r="CF162" s="541"/>
      <c r="CG162" s="212"/>
      <c r="CH162" s="541"/>
      <c r="CI162" s="212"/>
      <c r="CJ162" s="541"/>
      <c r="CK162" s="212"/>
      <c r="CL162" s="541"/>
      <c r="CM162" s="212"/>
      <c r="CN162" s="541"/>
      <c r="CO162" s="212"/>
      <c r="CP162" s="541"/>
      <c r="CQ162" s="212"/>
      <c r="CR162" s="541"/>
      <c r="CS162" s="212"/>
      <c r="CT162" s="541"/>
      <c r="CU162" s="212"/>
      <c r="CV162" s="541"/>
      <c r="CW162" s="212"/>
      <c r="CX162" s="541"/>
      <c r="CY162" s="212"/>
      <c r="CZ162" s="541"/>
      <c r="DA162" s="212"/>
      <c r="DB162" s="541"/>
      <c r="DC162" s="212"/>
      <c r="DD162" s="541"/>
      <c r="DE162" s="212"/>
      <c r="DF162" s="541"/>
      <c r="DG162" s="212"/>
      <c r="DH162" s="541"/>
      <c r="DI162" s="212"/>
      <c r="DJ162" s="541"/>
      <c r="DK162" s="212"/>
      <c r="DL162" s="541"/>
      <c r="DM162" s="212"/>
      <c r="DN162" s="541"/>
      <c r="DO162" s="212"/>
      <c r="DP162" s="541"/>
      <c r="DQ162" s="212"/>
      <c r="DR162" s="541"/>
      <c r="DS162" s="212"/>
      <c r="DT162" s="541"/>
      <c r="DU162" s="212"/>
      <c r="DV162" s="541"/>
      <c r="DW162" s="212"/>
      <c r="DX162" s="541"/>
      <c r="DY162" s="212"/>
      <c r="DZ162" s="541"/>
      <c r="EA162" s="212"/>
      <c r="EB162" s="541"/>
      <c r="EC162" s="212"/>
      <c r="ED162" s="541"/>
      <c r="EE162" s="212"/>
      <c r="EF162" s="541"/>
      <c r="EG162" s="212"/>
      <c r="EH162" s="541"/>
      <c r="EI162" s="212"/>
      <c r="EJ162" s="541"/>
      <c r="EK162" s="212"/>
      <c r="EL162" s="541"/>
      <c r="EM162" s="212"/>
      <c r="EN162" s="541"/>
      <c r="EO162" s="212"/>
      <c r="EP162" s="541"/>
      <c r="EQ162" s="212"/>
      <c r="ER162" s="541"/>
      <c r="ES162" s="212"/>
      <c r="ET162" s="541"/>
      <c r="EU162" s="212"/>
      <c r="EV162" s="541"/>
      <c r="EW162" s="212"/>
      <c r="EX162" s="541"/>
      <c r="EY162" s="212"/>
      <c r="EZ162" s="541"/>
      <c r="FA162" s="212"/>
      <c r="FB162" s="541"/>
      <c r="FC162" s="212"/>
      <c r="FD162" s="541"/>
      <c r="FE162" s="212"/>
      <c r="FF162" s="541"/>
      <c r="FG162" s="212"/>
      <c r="FH162" s="541"/>
      <c r="FI162" s="212"/>
      <c r="FJ162" s="541"/>
      <c r="FK162" s="212"/>
      <c r="FL162" s="541"/>
      <c r="FM162" s="212"/>
      <c r="FN162" s="541"/>
      <c r="FO162" s="212"/>
      <c r="FP162" s="541"/>
      <c r="FQ162" s="212"/>
      <c r="FR162" s="541"/>
      <c r="FS162" s="212"/>
      <c r="FT162" s="541"/>
      <c r="FU162" s="212"/>
      <c r="FV162" s="541"/>
      <c r="FW162" s="212"/>
      <c r="FX162" s="541"/>
      <c r="FY162" s="212"/>
      <c r="FZ162" s="541"/>
      <c r="GA162" s="212"/>
      <c r="GB162" s="541"/>
      <c r="GC162" s="212"/>
      <c r="GD162" s="541"/>
      <c r="GE162" s="212"/>
      <c r="GF162" s="541"/>
      <c r="GG162" s="212"/>
      <c r="GH162" s="541"/>
      <c r="GI162" s="212"/>
      <c r="GJ162" s="541"/>
      <c r="GK162" s="212"/>
      <c r="GL162" s="541"/>
      <c r="GM162" s="212"/>
      <c r="GN162" s="541"/>
      <c r="GO162" s="212"/>
      <c r="GP162" s="541"/>
      <c r="GQ162" s="212"/>
      <c r="GR162" s="541"/>
      <c r="GS162" s="212"/>
      <c r="GT162" s="541"/>
      <c r="GU162" s="212"/>
      <c r="GV162" s="541"/>
      <c r="GW162" s="212"/>
      <c r="GX162" s="541"/>
      <c r="GY162" s="212"/>
      <c r="GZ162" s="541"/>
      <c r="HA162" s="212"/>
      <c r="HB162" s="541"/>
      <c r="HC162" s="212"/>
      <c r="HD162" s="541"/>
      <c r="HE162" s="212"/>
      <c r="HF162" s="541"/>
      <c r="HG162" s="212"/>
      <c r="HH162" s="541"/>
      <c r="HI162" s="212"/>
      <c r="HJ162" s="541"/>
      <c r="HK162" s="212"/>
      <c r="HL162" s="541"/>
      <c r="HM162" s="212"/>
      <c r="HN162" s="541"/>
      <c r="HO162" s="212"/>
      <c r="HP162" s="541"/>
      <c r="HQ162" s="212"/>
      <c r="HR162" s="541"/>
      <c r="HS162" s="212"/>
      <c r="HT162" s="541"/>
      <c r="HU162" s="212"/>
      <c r="HV162" s="541"/>
      <c r="HW162" s="212"/>
      <c r="HX162" s="541"/>
      <c r="HY162" s="212"/>
      <c r="HZ162" s="541"/>
      <c r="IA162" s="212"/>
      <c r="IB162" s="541"/>
      <c r="IC162" s="212"/>
      <c r="ID162" s="541"/>
      <c r="IE162" s="212"/>
      <c r="IF162" s="541"/>
      <c r="IG162" s="212"/>
      <c r="IH162" s="541"/>
      <c r="II162" s="212"/>
      <c r="IJ162" s="541"/>
      <c r="IK162" s="212"/>
      <c r="IL162" s="541"/>
      <c r="IM162" s="212"/>
      <c r="IN162" s="541"/>
      <c r="IO162" s="212"/>
      <c r="IP162" s="541"/>
      <c r="IQ162" s="212"/>
      <c r="IR162" s="541"/>
      <c r="IS162" s="212"/>
      <c r="IT162" s="541"/>
      <c r="IU162" s="212"/>
      <c r="IV162" s="541"/>
    </row>
    <row r="163" spans="1:256" s="56" customFormat="1" x14ac:dyDescent="0.3">
      <c r="A163" s="72" t="s">
        <v>90</v>
      </c>
      <c r="B163" s="24" t="s">
        <v>7</v>
      </c>
      <c r="C163" s="60">
        <v>87000</v>
      </c>
      <c r="D163" s="25"/>
      <c r="E163" s="24"/>
      <c r="F163" s="57"/>
    </row>
    <row r="164" spans="1:256" s="56" customFormat="1" ht="13.5" thickBot="1" x14ac:dyDescent="0.35">
      <c r="A164" s="72"/>
      <c r="B164" s="24"/>
      <c r="C164" s="60"/>
      <c r="D164" s="25"/>
      <c r="E164" s="213"/>
      <c r="F164" s="57"/>
    </row>
    <row r="165" spans="1:256" s="66" customFormat="1" ht="13.5" thickBot="1" x14ac:dyDescent="0.35">
      <c r="A165" s="1094" t="s">
        <v>4</v>
      </c>
      <c r="B165" s="1095"/>
      <c r="C165" s="702">
        <f>C166+C172+C170</f>
        <v>188600</v>
      </c>
      <c r="D165" s="68"/>
      <c r="E165" s="84"/>
    </row>
    <row r="166" spans="1:256" s="56" customFormat="1" x14ac:dyDescent="0.3">
      <c r="A166" s="265" t="s">
        <v>116</v>
      </c>
      <c r="B166" s="211" t="s">
        <v>117</v>
      </c>
      <c r="C166" s="64">
        <f>SUM(C167:C169)</f>
        <v>100600</v>
      </c>
      <c r="D166" s="57"/>
      <c r="E166" s="180"/>
    </row>
    <row r="167" spans="1:256" s="66" customFormat="1" x14ac:dyDescent="0.3">
      <c r="A167" s="72" t="s">
        <v>91</v>
      </c>
      <c r="B167" s="59" t="s">
        <v>139</v>
      </c>
      <c r="C167" s="60">
        <v>50600</v>
      </c>
      <c r="D167" s="68"/>
      <c r="E167" s="68"/>
    </row>
    <row r="168" spans="1:256" s="66" customFormat="1" x14ac:dyDescent="0.3">
      <c r="A168" s="70" t="s">
        <v>57</v>
      </c>
      <c r="B168" s="70" t="s">
        <v>58</v>
      </c>
      <c r="C168" s="60">
        <v>15000</v>
      </c>
      <c r="D168" s="60"/>
      <c r="E168" s="527"/>
    </row>
    <row r="169" spans="1:256" s="8" customFormat="1" ht="13.5" customHeight="1" x14ac:dyDescent="0.25">
      <c r="A169" s="72" t="s">
        <v>814</v>
      </c>
      <c r="B169" s="23" t="s">
        <v>815</v>
      </c>
      <c r="C169" s="24">
        <v>35000</v>
      </c>
      <c r="D169" s="78"/>
      <c r="E169" s="25"/>
      <c r="F169" s="99"/>
      <c r="G169" s="55"/>
      <c r="H169" s="43"/>
    </row>
    <row r="170" spans="1:256" s="43" customFormat="1" ht="13.5" customHeight="1" x14ac:dyDescent="0.25">
      <c r="A170" s="265" t="s">
        <v>574</v>
      </c>
      <c r="B170" s="25" t="s">
        <v>260</v>
      </c>
      <c r="C170" s="31">
        <f>SUM(C171)</f>
        <v>70000</v>
      </c>
      <c r="D170" s="78"/>
      <c r="E170" s="25"/>
      <c r="G170" s="55"/>
    </row>
    <row r="171" spans="1:256" s="8" customFormat="1" ht="13.5" customHeight="1" x14ac:dyDescent="0.25">
      <c r="A171" s="72" t="s">
        <v>165</v>
      </c>
      <c r="B171" s="23" t="s">
        <v>260</v>
      </c>
      <c r="C171" s="24">
        <v>70000</v>
      </c>
      <c r="D171" s="78"/>
      <c r="E171" s="25"/>
      <c r="F171" s="99"/>
      <c r="G171" s="55"/>
      <c r="H171" s="43"/>
    </row>
    <row r="172" spans="1:256" s="66" customFormat="1" x14ac:dyDescent="0.3">
      <c r="A172" s="265" t="s">
        <v>166</v>
      </c>
      <c r="B172" s="31" t="s">
        <v>135</v>
      </c>
      <c r="C172" s="64">
        <f>SUM(C173)</f>
        <v>18000</v>
      </c>
      <c r="D172" s="68"/>
      <c r="E172" s="68"/>
    </row>
    <row r="173" spans="1:256" s="66" customFormat="1" x14ac:dyDescent="0.3">
      <c r="A173" s="72" t="s">
        <v>167</v>
      </c>
      <c r="B173" s="24" t="s">
        <v>51</v>
      </c>
      <c r="C173" s="60">
        <v>18000</v>
      </c>
      <c r="D173" s="68"/>
      <c r="E173" s="68"/>
    </row>
    <row r="174" spans="1:256" ht="13.5" thickBot="1" x14ac:dyDescent="0.35">
      <c r="E174" s="235"/>
    </row>
    <row r="175" spans="1:256" x14ac:dyDescent="0.3">
      <c r="A175" s="715" t="s">
        <v>853</v>
      </c>
      <c r="B175" s="703"/>
      <c r="C175" s="712"/>
      <c r="D175" s="704" t="s">
        <v>6</v>
      </c>
      <c r="E175" s="910" t="s">
        <v>854</v>
      </c>
    </row>
    <row r="176" spans="1:256" ht="13.5" thickBot="1" x14ac:dyDescent="0.35">
      <c r="A176" s="716"/>
      <c r="B176" s="710"/>
      <c r="C176" s="713"/>
      <c r="D176" s="705"/>
      <c r="E176" s="949"/>
    </row>
    <row r="177" spans="1:8" x14ac:dyDescent="0.3">
      <c r="A177" s="58" t="s">
        <v>1029</v>
      </c>
      <c r="B177" s="59"/>
      <c r="C177" s="60"/>
      <c r="D177" s="60"/>
      <c r="E177" s="536"/>
    </row>
    <row r="178" spans="1:8" x14ac:dyDescent="0.3">
      <c r="A178" s="58" t="s">
        <v>855</v>
      </c>
      <c r="B178" s="59"/>
      <c r="C178" s="60"/>
      <c r="D178" s="60"/>
      <c r="E178" s="536"/>
    </row>
    <row r="179" spans="1:8" x14ac:dyDescent="0.3">
      <c r="A179" s="58" t="s">
        <v>624</v>
      </c>
      <c r="B179" s="59"/>
      <c r="C179" s="60"/>
      <c r="D179" s="60"/>
      <c r="E179" s="536"/>
    </row>
    <row r="180" spans="1:8" ht="13.5" thickBot="1" x14ac:dyDescent="0.35">
      <c r="A180" s="58" t="s">
        <v>13</v>
      </c>
      <c r="B180" s="59"/>
      <c r="C180" s="60"/>
      <c r="D180" s="60"/>
      <c r="E180" s="536"/>
    </row>
    <row r="181" spans="1:8" ht="13.5" thickBot="1" x14ac:dyDescent="0.35">
      <c r="A181" s="743" t="s">
        <v>14</v>
      </c>
      <c r="B181" s="744"/>
      <c r="C181" s="750"/>
      <c r="D181" s="751"/>
      <c r="E181" s="810">
        <f>+C183+C189+C194</f>
        <v>7</v>
      </c>
    </row>
    <row r="182" spans="1:8" ht="13.5" thickBot="1" x14ac:dyDescent="0.35">
      <c r="A182" s="63"/>
      <c r="B182" s="63"/>
      <c r="C182" s="64"/>
      <c r="D182" s="64"/>
      <c r="E182" s="538"/>
    </row>
    <row r="183" spans="1:8" ht="13.5" thickBot="1" x14ac:dyDescent="0.35">
      <c r="A183" s="1102" t="s">
        <v>2</v>
      </c>
      <c r="B183" s="1103"/>
      <c r="C183" s="699">
        <f>+C184+C186</f>
        <v>2</v>
      </c>
      <c r="D183" s="68"/>
      <c r="E183" s="950"/>
    </row>
    <row r="184" spans="1:8" s="66" customFormat="1" x14ac:dyDescent="0.3">
      <c r="A184" s="11" t="s">
        <v>107</v>
      </c>
      <c r="B184" s="556" t="s">
        <v>108</v>
      </c>
      <c r="C184" s="558">
        <f>SUM(C185)</f>
        <v>1</v>
      </c>
      <c r="D184" s="68"/>
      <c r="E184" s="84"/>
    </row>
    <row r="185" spans="1:8" s="8" customFormat="1" ht="13.5" customHeight="1" x14ac:dyDescent="0.25">
      <c r="A185" s="12" t="s">
        <v>47</v>
      </c>
      <c r="B185" s="24" t="s">
        <v>48</v>
      </c>
      <c r="C185" s="24">
        <v>1</v>
      </c>
      <c r="D185" s="78"/>
      <c r="E185" s="25"/>
    </row>
    <row r="186" spans="1:8" s="8" customFormat="1" ht="13.5" customHeight="1" x14ac:dyDescent="0.25">
      <c r="A186" s="265" t="s">
        <v>151</v>
      </c>
      <c r="B186" s="31" t="s">
        <v>125</v>
      </c>
      <c r="C186" s="31">
        <f>SUM(C187)</f>
        <v>1</v>
      </c>
      <c r="D186" s="78"/>
      <c r="E186" s="25"/>
    </row>
    <row r="187" spans="1:8" s="8" customFormat="1" ht="13.5" customHeight="1" x14ac:dyDescent="0.25">
      <c r="A187" s="72" t="s">
        <v>856</v>
      </c>
      <c r="B187" s="24" t="s">
        <v>133</v>
      </c>
      <c r="C187" s="24">
        <v>1</v>
      </c>
      <c r="D187" s="78"/>
      <c r="E187" s="25"/>
    </row>
    <row r="188" spans="1:8" s="8" customFormat="1" ht="13.5" customHeight="1" thickBot="1" x14ac:dyDescent="0.3">
      <c r="A188" s="72"/>
      <c r="B188" s="24"/>
      <c r="C188" s="24"/>
      <c r="D188" s="78"/>
      <c r="E188" s="25"/>
      <c r="F188" s="211"/>
      <c r="G188" s="55"/>
      <c r="H188" s="74"/>
    </row>
    <row r="189" spans="1:8" ht="13.5" thickBot="1" x14ac:dyDescent="0.35">
      <c r="A189" s="1098" t="s">
        <v>3</v>
      </c>
      <c r="B189" s="1099"/>
      <c r="C189" s="700">
        <f>C190</f>
        <v>2</v>
      </c>
      <c r="D189" s="57"/>
      <c r="E189" s="180"/>
    </row>
    <row r="190" spans="1:8" s="56" customFormat="1" x14ac:dyDescent="0.3">
      <c r="A190" s="265" t="s">
        <v>115</v>
      </c>
      <c r="B190" s="31" t="s">
        <v>8</v>
      </c>
      <c r="C190" s="64">
        <f>SUM(C191:C192)</f>
        <v>2</v>
      </c>
      <c r="D190" s="60"/>
      <c r="E190" s="57"/>
      <c r="F190" s="57"/>
    </row>
    <row r="191" spans="1:8" s="56" customFormat="1" x14ac:dyDescent="0.3">
      <c r="A191" s="72" t="s">
        <v>92</v>
      </c>
      <c r="B191" s="24" t="s">
        <v>8</v>
      </c>
      <c r="C191" s="60">
        <v>1</v>
      </c>
      <c r="D191" s="25"/>
      <c r="E191" s="213"/>
      <c r="F191" s="57"/>
    </row>
    <row r="192" spans="1:8" s="66" customFormat="1" x14ac:dyDescent="0.3">
      <c r="A192" s="72" t="s">
        <v>90</v>
      </c>
      <c r="B192" s="24" t="s">
        <v>7</v>
      </c>
      <c r="C192" s="60">
        <v>1</v>
      </c>
      <c r="D192" s="60"/>
      <c r="E192" s="57"/>
      <c r="F192" s="57"/>
    </row>
    <row r="193" spans="1:6" s="66" customFormat="1" ht="13.5" thickBot="1" x14ac:dyDescent="0.35">
      <c r="A193" s="72"/>
      <c r="B193" s="24"/>
      <c r="C193" s="60"/>
      <c r="D193" s="60"/>
      <c r="E193" s="57"/>
      <c r="F193" s="57"/>
    </row>
    <row r="194" spans="1:6" ht="13.5" thickBot="1" x14ac:dyDescent="0.35">
      <c r="A194" s="1094" t="s">
        <v>4</v>
      </c>
      <c r="B194" s="1095"/>
      <c r="C194" s="702">
        <f>+C195+C197+C199</f>
        <v>3</v>
      </c>
      <c r="D194" s="68"/>
      <c r="E194" s="84"/>
    </row>
    <row r="195" spans="1:6" s="56" customFormat="1" x14ac:dyDescent="0.3">
      <c r="A195" s="265" t="s">
        <v>116</v>
      </c>
      <c r="B195" s="211" t="s">
        <v>117</v>
      </c>
      <c r="C195" s="64">
        <f>SUM(C196)</f>
        <v>1</v>
      </c>
      <c r="D195" s="57"/>
      <c r="E195" s="180"/>
    </row>
    <row r="196" spans="1:6" s="66" customFormat="1" x14ac:dyDescent="0.3">
      <c r="A196" s="72" t="s">
        <v>91</v>
      </c>
      <c r="B196" s="59" t="s">
        <v>139</v>
      </c>
      <c r="C196" s="60">
        <v>1</v>
      </c>
      <c r="D196" s="68"/>
      <c r="E196" s="68"/>
    </row>
    <row r="197" spans="1:6" s="66" customFormat="1" x14ac:dyDescent="0.3">
      <c r="A197" s="560" t="s">
        <v>131</v>
      </c>
      <c r="B197" s="63" t="s">
        <v>260</v>
      </c>
      <c r="C197" s="64">
        <f>SUM(C198)</f>
        <v>1</v>
      </c>
      <c r="D197" s="68"/>
      <c r="E197" s="68"/>
    </row>
    <row r="198" spans="1:6" s="66" customFormat="1" x14ac:dyDescent="0.3">
      <c r="A198" s="70" t="s">
        <v>165</v>
      </c>
      <c r="B198" s="59" t="s">
        <v>260</v>
      </c>
      <c r="C198" s="60">
        <v>1</v>
      </c>
      <c r="D198" s="68"/>
      <c r="E198" s="68"/>
    </row>
    <row r="199" spans="1:6" s="66" customFormat="1" x14ac:dyDescent="0.3">
      <c r="A199" s="265" t="s">
        <v>166</v>
      </c>
      <c r="B199" s="31" t="s">
        <v>135</v>
      </c>
      <c r="C199" s="64">
        <f>SUM(C200)</f>
        <v>1</v>
      </c>
      <c r="D199" s="68"/>
      <c r="E199" s="68"/>
    </row>
    <row r="200" spans="1:6" s="66" customFormat="1" x14ac:dyDescent="0.3">
      <c r="A200" s="72" t="s">
        <v>167</v>
      </c>
      <c r="B200" s="24" t="s">
        <v>51</v>
      </c>
      <c r="C200" s="60">
        <v>1</v>
      </c>
      <c r="D200" s="68"/>
      <c r="E200" s="68"/>
    </row>
    <row r="205" spans="1:6" ht="13.5" thickBot="1" x14ac:dyDescent="0.35"/>
    <row r="206" spans="1:6" ht="13.5" thickBot="1" x14ac:dyDescent="0.35">
      <c r="B206" s="521"/>
      <c r="C206" s="885">
        <v>2018</v>
      </c>
      <c r="D206" s="884">
        <v>2019</v>
      </c>
      <c r="E206" s="896"/>
    </row>
    <row r="207" spans="1:6" ht="12.75" customHeight="1" thickBot="1" x14ac:dyDescent="0.35">
      <c r="B207" s="888" t="str">
        <f>+A12</f>
        <v>PERSONAL</v>
      </c>
      <c r="C207" s="909">
        <v>7359475</v>
      </c>
      <c r="D207" s="915">
        <f>+C12</f>
        <v>22264832</v>
      </c>
      <c r="E207" s="897"/>
    </row>
    <row r="208" spans="1:6" ht="12.75" customHeight="1" x14ac:dyDescent="0.3">
      <c r="B208" s="889" t="str">
        <f>+A116</f>
        <v>BIENES DE CONSUMO</v>
      </c>
      <c r="C208" s="904">
        <f>239140+239140+1</f>
        <v>478281</v>
      </c>
      <c r="D208" s="905">
        <f>+C183+C116+C46</f>
        <v>672182</v>
      </c>
      <c r="E208" s="907">
        <f>+D208/C208-1</f>
        <v>0.40541229946412249</v>
      </c>
    </row>
    <row r="209" spans="2:5" ht="12.75" customHeight="1" x14ac:dyDescent="0.3">
      <c r="B209" s="889" t="str">
        <f>+A189</f>
        <v>SERVICIOS</v>
      </c>
      <c r="C209" s="902">
        <f>1+1154240+1154240</f>
        <v>2308481</v>
      </c>
      <c r="D209" s="903">
        <f>+C189+C137+C67</f>
        <v>3834862</v>
      </c>
      <c r="E209" s="908">
        <f>+D209/C209-1</f>
        <v>0.6612057885683269</v>
      </c>
    </row>
    <row r="210" spans="2:5" ht="13.5" thickBot="1" x14ac:dyDescent="0.35">
      <c r="B210" s="889" t="str">
        <f>+A194</f>
        <v>BIENES DE CAPITAL</v>
      </c>
      <c r="C210" s="902">
        <f>1+80000+80000</f>
        <v>160001</v>
      </c>
      <c r="D210" s="903">
        <f>+C194+C165+C95</f>
        <v>377203</v>
      </c>
      <c r="E210" s="908">
        <f>+D210/C210-1</f>
        <v>1.3575040155999023</v>
      </c>
    </row>
    <row r="211" spans="2:5" ht="13.5" thickBot="1" x14ac:dyDescent="0.35">
      <c r="B211" s="893"/>
      <c r="C211" s="894">
        <f>SUM(C208:C210)</f>
        <v>2946763</v>
      </c>
      <c r="D211" s="894">
        <f>SUM(D208:D210)</f>
        <v>4884247</v>
      </c>
      <c r="E211" s="906">
        <f>+D211/C211-1</f>
        <v>0.65749569951842068</v>
      </c>
    </row>
    <row r="212" spans="2:5" ht="13.5" thickBot="1" x14ac:dyDescent="0.35">
      <c r="C212" s="62">
        <f>+C207+C211</f>
        <v>10306238</v>
      </c>
      <c r="D212" s="242">
        <f>+D207+D211</f>
        <v>27149079</v>
      </c>
      <c r="E212" s="906">
        <f>+D212/C212-1</f>
        <v>1.6342375365288477</v>
      </c>
    </row>
    <row r="213" spans="2:5" x14ac:dyDescent="0.3">
      <c r="E213" s="62"/>
    </row>
  </sheetData>
  <mergeCells count="12">
    <mergeCell ref="A194:B194"/>
    <mergeCell ref="A12:B12"/>
    <mergeCell ref="A116:B116"/>
    <mergeCell ref="A137:B137"/>
    <mergeCell ref="A165:B165"/>
    <mergeCell ref="A46:B46"/>
    <mergeCell ref="A67:B67"/>
    <mergeCell ref="A95:B95"/>
    <mergeCell ref="A108:D109"/>
    <mergeCell ref="A38:D39"/>
    <mergeCell ref="A183:B183"/>
    <mergeCell ref="A189:B189"/>
  </mergeCells>
  <pageMargins left="0.78740157480314965" right="0.19685039370078741" top="0.78740157480314965" bottom="0.78740157480314965" header="0.39370078740157483" footer="0.19685039370078741"/>
  <pageSetup paperSize="9" scale="90" orientation="portrait" r:id="rId1"/>
  <headerFooter>
    <oddHeader>&amp;L&amp;"Arial Narrow,Normal"&amp;8Presupuesto Municipal 2020
&amp;R&amp;"Arial Narrow,Normal"&amp;8MUNICIPALIDAD DE VILLA MARÍA
Secretaría de Economía y Finanzas</oddHeader>
  </headerFooter>
  <rowBreaks count="3" manualBreakCount="3">
    <brk id="59" max="4" man="1"/>
    <brk id="118" max="4" man="1"/>
    <brk id="174"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3"/>
  <sheetViews>
    <sheetView view="pageLayout" topLeftCell="A141" zoomScaleNormal="115" zoomScaleSheetLayoutView="100" workbookViewId="0">
      <selection activeCell="C32" sqref="C32"/>
    </sheetView>
  </sheetViews>
  <sheetFormatPr baseColWidth="10" defaultColWidth="11.453125" defaultRowHeight="13" x14ac:dyDescent="0.3"/>
  <cols>
    <col min="1" max="1" width="9.7265625" style="52" customWidth="1"/>
    <col min="2" max="2" width="46.7265625" style="52" customWidth="1"/>
    <col min="3" max="3" width="12.7265625" style="62" customWidth="1"/>
    <col min="4" max="4" width="11.1796875" style="62" customWidth="1"/>
    <col min="5" max="5" width="13.7265625" style="62" customWidth="1"/>
    <col min="6" max="6" width="6.7265625" style="52" customWidth="1"/>
    <col min="7" max="7" width="12.1796875" style="52" customWidth="1"/>
    <col min="8" max="16384" width="11.453125" style="52"/>
  </cols>
  <sheetData>
    <row r="1" spans="1:7" x14ac:dyDescent="0.3">
      <c r="A1" s="623" t="s">
        <v>570</v>
      </c>
      <c r="B1" s="623"/>
    </row>
    <row r="2" spans="1:7" x14ac:dyDescent="0.3">
      <c r="A2" s="453"/>
      <c r="D2" s="542"/>
    </row>
    <row r="3" spans="1:7" ht="13.5" thickBot="1" x14ac:dyDescent="0.35"/>
    <row r="4" spans="1:7" x14ac:dyDescent="0.3">
      <c r="A4" s="816" t="s">
        <v>591</v>
      </c>
      <c r="B4" s="817"/>
      <c r="C4" s="818"/>
      <c r="D4" s="819" t="s">
        <v>6</v>
      </c>
      <c r="E4" s="901" t="s">
        <v>571</v>
      </c>
    </row>
    <row r="5" spans="1:7" ht="13.5" thickBot="1" x14ac:dyDescent="0.35">
      <c r="A5" s="820"/>
      <c r="B5" s="821"/>
      <c r="C5" s="822"/>
      <c r="D5" s="823"/>
      <c r="E5" s="824"/>
    </row>
    <row r="6" spans="1:7" s="66" customFormat="1" ht="12.75" customHeight="1" x14ac:dyDescent="0.3">
      <c r="A6" s="1123" t="s">
        <v>1032</v>
      </c>
      <c r="B6" s="1124"/>
      <c r="C6" s="1124"/>
      <c r="D6" s="1124"/>
      <c r="E6" s="1125"/>
    </row>
    <row r="7" spans="1:7" s="66" customFormat="1" x14ac:dyDescent="0.3">
      <c r="A7" s="1126"/>
      <c r="B7" s="1127"/>
      <c r="C7" s="1127"/>
      <c r="D7" s="1127"/>
      <c r="E7" s="1128"/>
    </row>
    <row r="8" spans="1:7" s="66" customFormat="1" x14ac:dyDescent="0.3">
      <c r="A8" s="1126"/>
      <c r="B8" s="1127"/>
      <c r="C8" s="1127"/>
      <c r="D8" s="1127"/>
      <c r="E8" s="1128"/>
    </row>
    <row r="9" spans="1:7" ht="13.5" thickBot="1" x14ac:dyDescent="0.35">
      <c r="A9" s="1129"/>
      <c r="B9" s="1130"/>
      <c r="C9" s="1130"/>
      <c r="D9" s="1130"/>
      <c r="E9" s="1131"/>
    </row>
    <row r="10" spans="1:7" s="454" customFormat="1" ht="11.5" x14ac:dyDescent="0.25">
      <c r="A10" s="41" t="s">
        <v>1029</v>
      </c>
      <c r="B10" s="12"/>
      <c r="C10" s="24"/>
      <c r="D10" s="24"/>
      <c r="E10" s="320"/>
    </row>
    <row r="11" spans="1:7" s="454" customFormat="1" ht="11.5" x14ac:dyDescent="0.25">
      <c r="A11" s="41" t="s">
        <v>572</v>
      </c>
      <c r="B11" s="12"/>
      <c r="C11" s="24"/>
      <c r="D11" s="24"/>
      <c r="E11" s="320"/>
    </row>
    <row r="12" spans="1:7" s="454" customFormat="1" ht="11.5" x14ac:dyDescent="0.25">
      <c r="A12" s="41" t="s">
        <v>1030</v>
      </c>
      <c r="B12" s="12"/>
      <c r="C12" s="24"/>
      <c r="D12" s="24"/>
      <c r="E12" s="320"/>
    </row>
    <row r="13" spans="1:7" s="454" customFormat="1" ht="12" thickBot="1" x14ac:dyDescent="0.3">
      <c r="A13" s="41" t="s">
        <v>13</v>
      </c>
      <c r="B13" s="12"/>
      <c r="C13" s="24"/>
      <c r="D13" s="24"/>
      <c r="E13" s="320"/>
      <c r="F13" s="242"/>
      <c r="G13" s="242"/>
    </row>
    <row r="14" spans="1:7" s="234" customFormat="1" ht="12" thickBot="1" x14ac:dyDescent="0.3">
      <c r="A14" s="825" t="s">
        <v>14</v>
      </c>
      <c r="B14" s="826"/>
      <c r="C14" s="827"/>
      <c r="D14" s="828"/>
      <c r="E14" s="829">
        <f>(C16+C39+C61+C85+C93)</f>
        <v>62013006</v>
      </c>
      <c r="F14" s="830"/>
    </row>
    <row r="15" spans="1:7" s="234" customFormat="1" ht="12" thickBot="1" x14ac:dyDescent="0.3">
      <c r="A15" s="11"/>
      <c r="B15" s="11"/>
      <c r="C15" s="31"/>
      <c r="D15" s="31"/>
      <c r="E15" s="31"/>
    </row>
    <row r="16" spans="1:7" s="8" customFormat="1" ht="12.75" customHeight="1" thickBot="1" x14ac:dyDescent="0.3">
      <c r="A16" s="1253" t="s">
        <v>1</v>
      </c>
      <c r="B16" s="1254"/>
      <c r="C16" s="831">
        <f>C17+C24+C31</f>
        <v>58792676</v>
      </c>
      <c r="D16" s="31"/>
      <c r="E16" s="531"/>
      <c r="F16" s="204"/>
    </row>
    <row r="17" spans="1:8" s="8" customFormat="1" ht="12.75" customHeight="1" x14ac:dyDescent="0.25">
      <c r="A17" s="11" t="s">
        <v>97</v>
      </c>
      <c r="B17" s="298" t="s">
        <v>98</v>
      </c>
      <c r="C17" s="31">
        <f>SUM(C18:C23)</f>
        <v>2944514</v>
      </c>
      <c r="D17" s="22"/>
      <c r="E17" s="25"/>
      <c r="F17" s="204"/>
    </row>
    <row r="18" spans="1:8" s="8" customFormat="1" ht="12.75" customHeight="1" x14ac:dyDescent="0.25">
      <c r="A18" s="12" t="s">
        <v>23</v>
      </c>
      <c r="B18" s="24" t="s">
        <v>20</v>
      </c>
      <c r="C18" s="24">
        <f>354302.26+155890.15+1790817.34+0.25</f>
        <v>2301010</v>
      </c>
      <c r="D18" s="22"/>
      <c r="E18" s="25"/>
      <c r="F18" s="204"/>
    </row>
    <row r="19" spans="1:8" s="8" customFormat="1" ht="12.75" customHeight="1" x14ac:dyDescent="0.25">
      <c r="A19" s="12" t="s">
        <v>24</v>
      </c>
      <c r="B19" s="24" t="s">
        <v>22</v>
      </c>
      <c r="C19" s="24">
        <f>314935.4+88575.5+0.1</f>
        <v>403511</v>
      </c>
      <c r="D19" s="22"/>
      <c r="E19" s="25"/>
      <c r="F19" s="204"/>
    </row>
    <row r="20" spans="1:8" s="8" customFormat="1" ht="12.75" customHeight="1" x14ac:dyDescent="0.25">
      <c r="A20" s="12" t="s">
        <v>25</v>
      </c>
      <c r="B20" s="24" t="s">
        <v>76</v>
      </c>
      <c r="C20" s="24">
        <f>75000+42711+1679.6+0.4</f>
        <v>119391</v>
      </c>
      <c r="D20" s="22"/>
      <c r="E20" s="25"/>
      <c r="F20" s="204"/>
    </row>
    <row r="21" spans="1:8" s="8" customFormat="1" ht="12.75" customHeight="1" x14ac:dyDescent="0.25">
      <c r="A21" s="12" t="s">
        <v>26</v>
      </c>
      <c r="B21" s="24" t="s">
        <v>77</v>
      </c>
      <c r="C21" s="24">
        <v>1</v>
      </c>
      <c r="D21" s="22"/>
      <c r="E21" s="25"/>
      <c r="F21" s="204"/>
    </row>
    <row r="22" spans="1:8" s="8" customFormat="1" ht="12.75" customHeight="1" x14ac:dyDescent="0.25">
      <c r="A22" s="12" t="s">
        <v>27</v>
      </c>
      <c r="B22" s="24" t="s">
        <v>21</v>
      </c>
      <c r="C22" s="24">
        <f>81012+5103</f>
        <v>86115</v>
      </c>
      <c r="D22" s="22"/>
      <c r="E22" s="25"/>
      <c r="F22" s="204"/>
    </row>
    <row r="23" spans="1:8" s="9" customFormat="1" ht="12.75" customHeight="1" x14ac:dyDescent="0.25">
      <c r="A23" s="12" t="s">
        <v>28</v>
      </c>
      <c r="B23" s="24" t="s">
        <v>19</v>
      </c>
      <c r="C23" s="24">
        <v>34486</v>
      </c>
      <c r="D23" s="22"/>
      <c r="E23" s="25"/>
      <c r="F23" s="205"/>
    </row>
    <row r="24" spans="1:8" s="9" customFormat="1" ht="12.75" customHeight="1" x14ac:dyDescent="0.25">
      <c r="A24" s="11" t="s">
        <v>99</v>
      </c>
      <c r="B24" s="31" t="s">
        <v>100</v>
      </c>
      <c r="C24" s="31">
        <f>SUM(C25:C30)</f>
        <v>50033799</v>
      </c>
      <c r="D24" s="532"/>
      <c r="E24" s="130"/>
      <c r="F24" s="205"/>
    </row>
    <row r="25" spans="1:8" s="9" customFormat="1" ht="12.75" customHeight="1" x14ac:dyDescent="0.25">
      <c r="A25" s="12" t="s">
        <v>30</v>
      </c>
      <c r="B25" s="24" t="s">
        <v>78</v>
      </c>
      <c r="C25" s="24">
        <f>5734865+1627437+34192570</f>
        <v>41554872</v>
      </c>
      <c r="D25" s="532"/>
      <c r="E25" s="130"/>
      <c r="F25" s="205"/>
    </row>
    <row r="26" spans="1:8" s="9" customFormat="1" ht="12.75" customHeight="1" x14ac:dyDescent="0.25">
      <c r="A26" s="12" t="s">
        <v>31</v>
      </c>
      <c r="B26" s="24" t="s">
        <v>79</v>
      </c>
      <c r="C26" s="24">
        <f>419799+106157+1433716+5097657+104950+373154</f>
        <v>7535433</v>
      </c>
      <c r="D26" s="532"/>
      <c r="E26" s="130"/>
      <c r="F26" s="205"/>
    </row>
    <row r="27" spans="1:8" s="9" customFormat="1" ht="12.75" customHeight="1" x14ac:dyDescent="0.25">
      <c r="A27" s="12" t="s">
        <v>32</v>
      </c>
      <c r="B27" s="24" t="s">
        <v>80</v>
      </c>
      <c r="C27" s="24">
        <v>943491</v>
      </c>
      <c r="D27" s="532"/>
      <c r="E27" s="130"/>
    </row>
    <row r="28" spans="1:8" s="8" customFormat="1" ht="12.75" customHeight="1" x14ac:dyDescent="0.25">
      <c r="A28" s="12" t="s">
        <v>33</v>
      </c>
      <c r="B28" s="24" t="s">
        <v>81</v>
      </c>
      <c r="C28" s="24">
        <v>1</v>
      </c>
      <c r="D28" s="532"/>
      <c r="E28" s="130"/>
      <c r="F28" s="43"/>
      <c r="G28" s="43"/>
      <c r="H28" s="43"/>
    </row>
    <row r="29" spans="1:8" s="8" customFormat="1" ht="12.75" customHeight="1" x14ac:dyDescent="0.25">
      <c r="A29" s="12" t="s">
        <v>34</v>
      </c>
      <c r="B29" s="24" t="s">
        <v>259</v>
      </c>
      <c r="C29" s="24">
        <v>1</v>
      </c>
      <c r="D29" s="22"/>
      <c r="E29" s="25"/>
      <c r="F29" s="204"/>
    </row>
    <row r="30" spans="1:8" s="9" customFormat="1" ht="12.75" customHeight="1" x14ac:dyDescent="0.25">
      <c r="A30" s="12" t="s">
        <v>83</v>
      </c>
      <c r="B30" s="24" t="s">
        <v>82</v>
      </c>
      <c r="C30" s="24">
        <v>1</v>
      </c>
      <c r="D30" s="22"/>
      <c r="E30" s="25"/>
      <c r="F30" s="205"/>
    </row>
    <row r="31" spans="1:8" s="9" customFormat="1" ht="12.75" customHeight="1" x14ac:dyDescent="0.25">
      <c r="A31" s="11" t="s">
        <v>101</v>
      </c>
      <c r="B31" s="31" t="s">
        <v>102</v>
      </c>
      <c r="C31" s="31">
        <f>SUM(C32:C37)</f>
        <v>5814363</v>
      </c>
      <c r="D31" s="22"/>
      <c r="E31" s="25"/>
      <c r="F31" s="205"/>
    </row>
    <row r="32" spans="1:8" s="9" customFormat="1" ht="12.75" customHeight="1" x14ac:dyDescent="0.25">
      <c r="A32" s="12" t="s">
        <v>39</v>
      </c>
      <c r="B32" s="24" t="s">
        <v>35</v>
      </c>
      <c r="C32" s="24">
        <f>3868686+186054+514940+161265+45356</f>
        <v>4776301</v>
      </c>
      <c r="D32" s="96"/>
      <c r="E32" s="25"/>
    </row>
    <row r="33" spans="1:8" s="8" customFormat="1" ht="12.75" customHeight="1" x14ac:dyDescent="0.25">
      <c r="A33" s="12" t="s">
        <v>40</v>
      </c>
      <c r="B33" s="24" t="s">
        <v>37</v>
      </c>
      <c r="C33" s="24">
        <f>181423+46564+457724+128735</f>
        <v>814446</v>
      </c>
      <c r="D33" s="96"/>
      <c r="E33" s="25"/>
      <c r="F33" s="204"/>
    </row>
    <row r="34" spans="1:8" s="8" customFormat="1" ht="12.75" customHeight="1" x14ac:dyDescent="0.25">
      <c r="A34" s="12" t="s">
        <v>41</v>
      </c>
      <c r="B34" s="24" t="s">
        <v>84</v>
      </c>
      <c r="C34" s="24">
        <v>84141</v>
      </c>
      <c r="D34" s="96"/>
      <c r="E34" s="25"/>
      <c r="F34" s="204"/>
    </row>
    <row r="35" spans="1:8" s="9" customFormat="1" ht="12.75" customHeight="1" x14ac:dyDescent="0.25">
      <c r="A35" s="12" t="s">
        <v>42</v>
      </c>
      <c r="B35" s="24" t="s">
        <v>85</v>
      </c>
      <c r="C35" s="24">
        <v>1</v>
      </c>
      <c r="D35" s="22"/>
      <c r="E35" s="25"/>
      <c r="F35" s="205"/>
    </row>
    <row r="36" spans="1:8" s="9" customFormat="1" ht="12.75" customHeight="1" x14ac:dyDescent="0.25">
      <c r="A36" s="12" t="s">
        <v>43</v>
      </c>
      <c r="B36" s="24" t="s">
        <v>36</v>
      </c>
      <c r="C36" s="24">
        <f>1701+137772</f>
        <v>139473</v>
      </c>
      <c r="D36" s="22"/>
      <c r="E36" s="25"/>
      <c r="F36" s="205"/>
    </row>
    <row r="37" spans="1:8" s="66" customFormat="1" x14ac:dyDescent="0.3">
      <c r="A37" s="12" t="s">
        <v>44</v>
      </c>
      <c r="B37" s="24" t="s">
        <v>38</v>
      </c>
      <c r="C37" s="24">
        <v>1</v>
      </c>
      <c r="D37" s="22"/>
      <c r="E37" s="25"/>
    </row>
    <row r="38" spans="1:8" s="66" customFormat="1" ht="13.5" thickBot="1" x14ac:dyDescent="0.35">
      <c r="A38" s="12"/>
      <c r="B38" s="72"/>
      <c r="C38" s="23"/>
      <c r="D38" s="21"/>
      <c r="E38" s="21"/>
    </row>
    <row r="39" spans="1:8" s="66" customFormat="1" ht="13.5" thickBot="1" x14ac:dyDescent="0.35">
      <c r="A39" s="1104" t="s">
        <v>2</v>
      </c>
      <c r="B39" s="1263"/>
      <c r="C39" s="667">
        <f>C40+C42+C44+C46+C48+C56+C53</f>
        <v>597220</v>
      </c>
      <c r="D39" s="21"/>
      <c r="E39" s="21"/>
    </row>
    <row r="40" spans="1:8" s="43" customFormat="1" ht="13.5" customHeight="1" x14ac:dyDescent="0.25">
      <c r="A40" s="11" t="s">
        <v>103</v>
      </c>
      <c r="B40" s="11" t="s">
        <v>104</v>
      </c>
      <c r="C40" s="32">
        <f>SUM(C41)</f>
        <v>130880</v>
      </c>
      <c r="D40" s="237"/>
      <c r="E40" s="237"/>
      <c r="F40" s="532"/>
      <c r="G40" s="55"/>
    </row>
    <row r="41" spans="1:8" s="43" customFormat="1" ht="13.5" customHeight="1" x14ac:dyDescent="0.25">
      <c r="A41" s="12" t="s">
        <v>46</v>
      </c>
      <c r="B41" s="12" t="s">
        <v>45</v>
      </c>
      <c r="C41" s="24">
        <v>130880</v>
      </c>
      <c r="D41" s="22"/>
      <c r="E41" s="31"/>
      <c r="F41" s="532"/>
      <c r="G41" s="55"/>
    </row>
    <row r="42" spans="1:8" s="43" customFormat="1" ht="13.5" customHeight="1" x14ac:dyDescent="0.25">
      <c r="A42" s="265" t="s">
        <v>199</v>
      </c>
      <c r="B42" s="11" t="s">
        <v>228</v>
      </c>
      <c r="C42" s="31">
        <f>SUM(C43)</f>
        <v>15450</v>
      </c>
      <c r="D42" s="22"/>
      <c r="E42" s="31"/>
      <c r="F42" s="532"/>
      <c r="G42" s="55"/>
    </row>
    <row r="43" spans="1:8" s="43" customFormat="1" ht="13.5" customHeight="1" x14ac:dyDescent="0.25">
      <c r="A43" s="72" t="s">
        <v>197</v>
      </c>
      <c r="B43" s="12" t="s">
        <v>196</v>
      </c>
      <c r="C43" s="24">
        <v>15450</v>
      </c>
      <c r="D43" s="22"/>
      <c r="E43" s="31"/>
      <c r="F43" s="532"/>
      <c r="G43" s="55"/>
    </row>
    <row r="44" spans="1:8" s="8" customFormat="1" ht="13.5" customHeight="1" x14ac:dyDescent="0.25">
      <c r="A44" s="11" t="s">
        <v>105</v>
      </c>
      <c r="B44" s="11" t="s">
        <v>106</v>
      </c>
      <c r="C44" s="31">
        <f>SUM(C45:C45)</f>
        <v>30670</v>
      </c>
      <c r="D44" s="22"/>
      <c r="E44" s="31"/>
      <c r="F44" s="532"/>
      <c r="G44" s="55"/>
      <c r="H44" s="43"/>
    </row>
    <row r="45" spans="1:8" s="8" customFormat="1" ht="13.5" customHeight="1" x14ac:dyDescent="0.25">
      <c r="A45" s="12" t="s">
        <v>86</v>
      </c>
      <c r="B45" s="12" t="s">
        <v>66</v>
      </c>
      <c r="C45" s="24">
        <v>30670</v>
      </c>
      <c r="D45" s="22"/>
      <c r="E45" s="31"/>
      <c r="F45" s="99"/>
      <c r="G45" s="55"/>
      <c r="H45" s="43"/>
    </row>
    <row r="46" spans="1:8" s="8" customFormat="1" ht="13.5" customHeight="1" x14ac:dyDescent="0.25">
      <c r="A46" s="11" t="s">
        <v>107</v>
      </c>
      <c r="B46" s="11" t="s">
        <v>108</v>
      </c>
      <c r="C46" s="31">
        <f>SUM(C47)</f>
        <v>150700</v>
      </c>
      <c r="D46" s="78"/>
      <c r="E46" s="25"/>
      <c r="F46" s="99"/>
      <c r="G46" s="55"/>
      <c r="H46" s="43"/>
    </row>
    <row r="47" spans="1:8" s="8" customFormat="1" ht="13.5" customHeight="1" x14ac:dyDescent="0.25">
      <c r="A47" s="12" t="s">
        <v>47</v>
      </c>
      <c r="B47" s="24" t="s">
        <v>48</v>
      </c>
      <c r="C47" s="24">
        <v>150700</v>
      </c>
      <c r="D47" s="21"/>
      <c r="E47" s="21"/>
      <c r="F47" s="211"/>
      <c r="G47" s="55"/>
      <c r="H47" s="74"/>
    </row>
    <row r="48" spans="1:8" s="66" customFormat="1" x14ac:dyDescent="0.3">
      <c r="A48" s="265" t="s">
        <v>119</v>
      </c>
      <c r="B48" s="11" t="s">
        <v>191</v>
      </c>
      <c r="C48" s="31">
        <f>SUM(C49:C52)</f>
        <v>74510</v>
      </c>
      <c r="D48" s="21"/>
      <c r="E48" s="21"/>
    </row>
    <row r="49" spans="1:10" s="66" customFormat="1" x14ac:dyDescent="0.3">
      <c r="A49" s="72" t="s">
        <v>150</v>
      </c>
      <c r="B49" s="24" t="s">
        <v>813</v>
      </c>
      <c r="C49" s="24">
        <v>18160</v>
      </c>
      <c r="D49" s="78"/>
      <c r="E49" s="25"/>
    </row>
    <row r="50" spans="1:10" s="66" customFormat="1" x14ac:dyDescent="0.3">
      <c r="A50" s="72" t="s">
        <v>697</v>
      </c>
      <c r="B50" s="24" t="s">
        <v>696</v>
      </c>
      <c r="C50" s="24">
        <v>21250</v>
      </c>
      <c r="D50" s="78"/>
      <c r="E50" s="25"/>
    </row>
    <row r="51" spans="1:10" s="66" customFormat="1" x14ac:dyDescent="0.3">
      <c r="A51" s="72" t="s">
        <v>816</v>
      </c>
      <c r="B51" s="24" t="s">
        <v>810</v>
      </c>
      <c r="C51" s="24">
        <v>18600</v>
      </c>
      <c r="D51" s="78"/>
      <c r="E51" s="25"/>
    </row>
    <row r="52" spans="1:10" s="66" customFormat="1" x14ac:dyDescent="0.3">
      <c r="A52" s="72" t="s">
        <v>811</v>
      </c>
      <c r="B52" s="24" t="s">
        <v>812</v>
      </c>
      <c r="C52" s="24">
        <v>16500</v>
      </c>
      <c r="D52" s="78"/>
      <c r="E52" s="25"/>
    </row>
    <row r="53" spans="1:10" s="8" customFormat="1" ht="13.5" customHeight="1" x14ac:dyDescent="0.25">
      <c r="A53" s="265" t="s">
        <v>124</v>
      </c>
      <c r="B53" s="11" t="s">
        <v>123</v>
      </c>
      <c r="C53" s="31">
        <f>SUM(C54:C55)</f>
        <v>87300</v>
      </c>
      <c r="D53" s="21"/>
      <c r="E53" s="79"/>
      <c r="F53" s="99"/>
      <c r="G53" s="55"/>
      <c r="H53" s="43"/>
      <c r="J53" s="83"/>
    </row>
    <row r="54" spans="1:10" s="8" customFormat="1" ht="13.5" customHeight="1" x14ac:dyDescent="0.25">
      <c r="A54" s="72" t="s">
        <v>230</v>
      </c>
      <c r="B54" s="24" t="s">
        <v>229</v>
      </c>
      <c r="C54" s="24">
        <v>56700</v>
      </c>
      <c r="D54" s="21"/>
      <c r="E54" s="79"/>
      <c r="F54" s="99"/>
      <c r="G54" s="55"/>
      <c r="H54" s="43"/>
      <c r="I54" s="83"/>
    </row>
    <row r="55" spans="1:10" s="8" customFormat="1" ht="13.5" customHeight="1" x14ac:dyDescent="0.25">
      <c r="A55" s="72" t="s">
        <v>93</v>
      </c>
      <c r="B55" s="24" t="s">
        <v>72</v>
      </c>
      <c r="C55" s="24">
        <v>30600</v>
      </c>
      <c r="D55" s="21"/>
      <c r="E55" s="21"/>
      <c r="F55" s="99"/>
      <c r="G55" s="55"/>
      <c r="H55" s="43"/>
      <c r="I55" s="83"/>
    </row>
    <row r="56" spans="1:10" s="66" customFormat="1" x14ac:dyDescent="0.3">
      <c r="A56" s="265" t="s">
        <v>151</v>
      </c>
      <c r="B56" s="11" t="s">
        <v>125</v>
      </c>
      <c r="C56" s="31">
        <f>SUM(C57:C59)</f>
        <v>107710</v>
      </c>
      <c r="D56" s="78"/>
      <c r="E56" s="25"/>
    </row>
    <row r="57" spans="1:10" s="66" customFormat="1" x14ac:dyDescent="0.3">
      <c r="A57" s="72" t="s">
        <v>152</v>
      </c>
      <c r="B57" s="24" t="s">
        <v>65</v>
      </c>
      <c r="C57" s="24">
        <v>48100</v>
      </c>
      <c r="D57" s="78"/>
      <c r="E57" s="25"/>
    </row>
    <row r="58" spans="1:10" s="66" customFormat="1" x14ac:dyDescent="0.3">
      <c r="A58" s="72" t="s">
        <v>244</v>
      </c>
      <c r="B58" s="23" t="s">
        <v>245</v>
      </c>
      <c r="C58" s="24">
        <v>16100</v>
      </c>
      <c r="D58" s="78"/>
      <c r="E58" s="25"/>
      <c r="F58" s="57"/>
    </row>
    <row r="59" spans="1:10" s="8" customFormat="1" ht="13.5" customHeight="1" x14ac:dyDescent="0.25">
      <c r="A59" s="72" t="s">
        <v>155</v>
      </c>
      <c r="B59" s="24" t="s">
        <v>125</v>
      </c>
      <c r="C59" s="24">
        <v>43510</v>
      </c>
      <c r="D59" s="21"/>
      <c r="E59" s="79"/>
      <c r="F59" s="204"/>
      <c r="G59" s="55"/>
      <c r="H59" s="55"/>
    </row>
    <row r="60" spans="1:10" s="8" customFormat="1" ht="13.5" customHeight="1" thickBot="1" x14ac:dyDescent="0.3">
      <c r="A60" s="72"/>
      <c r="B60" s="24"/>
      <c r="C60" s="23"/>
      <c r="D60" s="21"/>
      <c r="E60" s="21"/>
      <c r="F60" s="99"/>
      <c r="G60" s="55"/>
      <c r="H60" s="43"/>
    </row>
    <row r="61" spans="1:10" s="56" customFormat="1" ht="13.5" thickBot="1" x14ac:dyDescent="0.35">
      <c r="A61" s="1096" t="s">
        <v>3</v>
      </c>
      <c r="B61" s="1097"/>
      <c r="C61" s="668">
        <f>C62+C68+C70+C73+C76+C80</f>
        <v>1944010</v>
      </c>
      <c r="D61" s="21"/>
      <c r="E61" s="21"/>
      <c r="F61" s="57"/>
    </row>
    <row r="62" spans="1:10" s="56" customFormat="1" x14ac:dyDescent="0.3">
      <c r="A62" s="265" t="s">
        <v>341</v>
      </c>
      <c r="B62" s="11" t="s">
        <v>342</v>
      </c>
      <c r="C62" s="32">
        <f>SUM(C63:C67)</f>
        <v>247390</v>
      </c>
      <c r="D62" s="237"/>
      <c r="E62" s="237"/>
      <c r="F62" s="57"/>
    </row>
    <row r="63" spans="1:10" s="56" customFormat="1" x14ac:dyDescent="0.3">
      <c r="A63" s="72" t="s">
        <v>343</v>
      </c>
      <c r="B63" s="12" t="s">
        <v>344</v>
      </c>
      <c r="C63" s="24">
        <v>12870</v>
      </c>
      <c r="D63" s="31"/>
      <c r="E63" s="120"/>
      <c r="F63" s="57"/>
    </row>
    <row r="64" spans="1:10" s="56" customFormat="1" x14ac:dyDescent="0.3">
      <c r="A64" s="72" t="s">
        <v>345</v>
      </c>
      <c r="B64" s="12" t="s">
        <v>346</v>
      </c>
      <c r="C64" s="24">
        <v>4050</v>
      </c>
      <c r="D64" s="78"/>
      <c r="E64" s="25"/>
      <c r="F64" s="57"/>
    </row>
    <row r="65" spans="1:8" s="56" customFormat="1" x14ac:dyDescent="0.3">
      <c r="A65" s="72" t="s">
        <v>347</v>
      </c>
      <c r="B65" s="12" t="s">
        <v>348</v>
      </c>
      <c r="C65" s="24">
        <v>121520</v>
      </c>
      <c r="D65" s="78"/>
      <c r="E65" s="25"/>
      <c r="F65" s="57"/>
    </row>
    <row r="66" spans="1:8" s="56" customFormat="1" x14ac:dyDescent="0.3">
      <c r="A66" s="72" t="s">
        <v>384</v>
      </c>
      <c r="B66" s="12" t="s">
        <v>565</v>
      </c>
      <c r="C66" s="24">
        <v>24000</v>
      </c>
      <c r="D66" s="78"/>
      <c r="E66" s="25"/>
      <c r="F66" s="57"/>
    </row>
    <row r="67" spans="1:8" s="56" customFormat="1" x14ac:dyDescent="0.3">
      <c r="A67" s="72" t="s">
        <v>349</v>
      </c>
      <c r="B67" s="12" t="s">
        <v>350</v>
      </c>
      <c r="C67" s="24">
        <v>84950</v>
      </c>
      <c r="D67" s="78"/>
      <c r="E67" s="25"/>
      <c r="F67" s="57"/>
    </row>
    <row r="68" spans="1:8" s="56" customFormat="1" x14ac:dyDescent="0.3">
      <c r="A68" s="11" t="s">
        <v>110</v>
      </c>
      <c r="B68" s="11" t="s">
        <v>111</v>
      </c>
      <c r="C68" s="31">
        <f>SUM(C69)</f>
        <v>90550</v>
      </c>
      <c r="D68" s="78"/>
      <c r="E68" s="25"/>
      <c r="F68" s="57"/>
    </row>
    <row r="69" spans="1:8" s="56" customFormat="1" x14ac:dyDescent="0.3">
      <c r="A69" s="12" t="s">
        <v>52</v>
      </c>
      <c r="B69" s="12" t="s">
        <v>15</v>
      </c>
      <c r="C69" s="24">
        <v>90550</v>
      </c>
      <c r="D69" s="79"/>
      <c r="E69" s="25"/>
      <c r="F69" s="57"/>
    </row>
    <row r="70" spans="1:8" s="56" customFormat="1" x14ac:dyDescent="0.3">
      <c r="A70" s="11" t="s">
        <v>120</v>
      </c>
      <c r="B70" s="11" t="s">
        <v>121</v>
      </c>
      <c r="C70" s="31">
        <f>SUM(C71:C72)</f>
        <v>101730</v>
      </c>
      <c r="D70" s="31"/>
      <c r="E70" s="120"/>
      <c r="F70" s="57"/>
    </row>
    <row r="71" spans="1:8" s="56" customFormat="1" x14ac:dyDescent="0.3">
      <c r="A71" s="12" t="s">
        <v>140</v>
      </c>
      <c r="B71" s="12" t="s">
        <v>141</v>
      </c>
      <c r="C71" s="24">
        <v>72900</v>
      </c>
      <c r="D71" s="31"/>
      <c r="E71" s="120"/>
      <c r="F71" s="57"/>
    </row>
    <row r="72" spans="1:8" s="66" customFormat="1" x14ac:dyDescent="0.3">
      <c r="A72" s="12" t="s">
        <v>136</v>
      </c>
      <c r="B72" s="12" t="s">
        <v>71</v>
      </c>
      <c r="C72" s="24">
        <v>28830</v>
      </c>
      <c r="D72" s="31"/>
      <c r="E72" s="120"/>
      <c r="F72" s="57"/>
    </row>
    <row r="73" spans="1:8" s="66" customFormat="1" x14ac:dyDescent="0.3">
      <c r="A73" s="265" t="s">
        <v>112</v>
      </c>
      <c r="B73" s="11" t="s">
        <v>157</v>
      </c>
      <c r="C73" s="31">
        <f>SUM(C74:C75)</f>
        <v>854650</v>
      </c>
      <c r="D73" s="31"/>
      <c r="E73" s="120"/>
    </row>
    <row r="74" spans="1:8" s="8" customFormat="1" x14ac:dyDescent="0.25">
      <c r="A74" s="72" t="s">
        <v>138</v>
      </c>
      <c r="B74" s="59" t="s">
        <v>878</v>
      </c>
      <c r="C74" s="24">
        <v>19750</v>
      </c>
      <c r="D74" s="24"/>
      <c r="E74" s="120"/>
      <c r="F74" s="99"/>
      <c r="G74" s="55"/>
      <c r="H74" s="43"/>
    </row>
    <row r="75" spans="1:8" s="8" customFormat="1" x14ac:dyDescent="0.25">
      <c r="A75" s="72" t="s">
        <v>49</v>
      </c>
      <c r="B75" s="12" t="s">
        <v>87</v>
      </c>
      <c r="C75" s="24">
        <v>834900</v>
      </c>
      <c r="E75" s="120"/>
      <c r="F75" s="24"/>
    </row>
    <row r="76" spans="1:8" s="8" customFormat="1" x14ac:dyDescent="0.25">
      <c r="A76" s="265" t="s">
        <v>113</v>
      </c>
      <c r="B76" s="11" t="s">
        <v>114</v>
      </c>
      <c r="C76" s="31">
        <f>SUM(C77:C79)</f>
        <v>41510</v>
      </c>
      <c r="D76" s="24"/>
      <c r="E76" s="120"/>
      <c r="F76" s="99"/>
      <c r="G76" s="55"/>
      <c r="H76" s="43"/>
    </row>
    <row r="77" spans="1:8" s="8" customFormat="1" ht="13.5" customHeight="1" x14ac:dyDescent="0.25">
      <c r="A77" s="72" t="s">
        <v>164</v>
      </c>
      <c r="B77" s="12" t="s">
        <v>74</v>
      </c>
      <c r="C77" s="24">
        <v>20610</v>
      </c>
      <c r="D77" s="24"/>
      <c r="E77" s="120"/>
      <c r="F77" s="43"/>
      <c r="G77" s="73"/>
      <c r="H77" s="43"/>
    </row>
    <row r="78" spans="1:8" s="8" customFormat="1" ht="13.5" customHeight="1" x14ac:dyDescent="0.25">
      <c r="A78" s="72" t="s">
        <v>75</v>
      </c>
      <c r="B78" s="12" t="s">
        <v>73</v>
      </c>
      <c r="C78" s="24">
        <v>8900</v>
      </c>
      <c r="D78" s="24"/>
      <c r="E78" s="120"/>
      <c r="F78" s="43"/>
      <c r="G78" s="73"/>
      <c r="H78" s="43"/>
    </row>
    <row r="79" spans="1:8" s="8" customFormat="1" ht="13.5" customHeight="1" x14ac:dyDescent="0.25">
      <c r="A79" s="72" t="s">
        <v>88</v>
      </c>
      <c r="B79" s="24" t="s">
        <v>64</v>
      </c>
      <c r="C79" s="24">
        <v>12000</v>
      </c>
      <c r="D79" s="24"/>
      <c r="E79" s="120"/>
      <c r="F79" s="43"/>
      <c r="G79" s="73"/>
      <c r="H79" s="43"/>
    </row>
    <row r="80" spans="1:8" s="8" customFormat="1" ht="13.5" customHeight="1" x14ac:dyDescent="0.25">
      <c r="A80" s="265" t="s">
        <v>115</v>
      </c>
      <c r="B80" s="31" t="s">
        <v>8</v>
      </c>
      <c r="C80" s="31">
        <f>SUM(C81:C83)</f>
        <v>608180</v>
      </c>
      <c r="D80" s="25"/>
      <c r="E80" s="38"/>
      <c r="F80" s="99"/>
      <c r="G80" s="55"/>
      <c r="H80" s="43"/>
    </row>
    <row r="81" spans="1:8" s="8" customFormat="1" ht="13.5" customHeight="1" x14ac:dyDescent="0.25">
      <c r="A81" s="72" t="s">
        <v>89</v>
      </c>
      <c r="B81" s="24" t="s">
        <v>8</v>
      </c>
      <c r="C81" s="24">
        <v>474900</v>
      </c>
      <c r="E81" s="21"/>
      <c r="F81" s="21"/>
      <c r="G81" s="55"/>
      <c r="H81" s="43"/>
    </row>
    <row r="82" spans="1:8" x14ac:dyDescent="0.3">
      <c r="A82" s="72" t="s">
        <v>181</v>
      </c>
      <c r="B82" s="24" t="s">
        <v>50</v>
      </c>
      <c r="C82" s="24">
        <v>92660</v>
      </c>
      <c r="D82" s="120"/>
      <c r="E82" s="120"/>
    </row>
    <row r="83" spans="1:8" x14ac:dyDescent="0.3">
      <c r="A83" s="72" t="s">
        <v>90</v>
      </c>
      <c r="B83" s="24" t="s">
        <v>7</v>
      </c>
      <c r="C83" s="24">
        <v>40620</v>
      </c>
      <c r="D83" s="31"/>
      <c r="E83" s="120"/>
    </row>
    <row r="84" spans="1:8" ht="13.5" thickBot="1" x14ac:dyDescent="0.35">
      <c r="A84" s="72"/>
      <c r="B84" s="24"/>
      <c r="C84" s="23"/>
      <c r="D84" s="21"/>
      <c r="E84" s="21"/>
    </row>
    <row r="85" spans="1:8" ht="13.5" thickBot="1" x14ac:dyDescent="0.35">
      <c r="A85" s="1115" t="s">
        <v>5</v>
      </c>
      <c r="B85" s="1116"/>
      <c r="C85" s="669">
        <f>C86+C88</f>
        <v>359050</v>
      </c>
      <c r="D85" s="21"/>
      <c r="E85" s="21"/>
    </row>
    <row r="86" spans="1:8" x14ac:dyDescent="0.3">
      <c r="A86" s="265" t="s">
        <v>126</v>
      </c>
      <c r="B86" s="11" t="s">
        <v>127</v>
      </c>
      <c r="C86" s="32">
        <f>SUM(C87)</f>
        <v>81400</v>
      </c>
      <c r="D86" s="237"/>
      <c r="E86" s="237"/>
    </row>
    <row r="87" spans="1:8" x14ac:dyDescent="0.3">
      <c r="A87" s="72" t="s">
        <v>593</v>
      </c>
      <c r="B87" s="43" t="s">
        <v>594</v>
      </c>
      <c r="C87" s="24">
        <v>81400</v>
      </c>
      <c r="D87" s="78"/>
      <c r="E87" s="25"/>
    </row>
    <row r="88" spans="1:8" x14ac:dyDescent="0.3">
      <c r="A88" s="265" t="s">
        <v>128</v>
      </c>
      <c r="B88" s="11" t="s">
        <v>129</v>
      </c>
      <c r="C88" s="32">
        <f>SUM(C89:C91)</f>
        <v>277650</v>
      </c>
      <c r="D88" s="237"/>
      <c r="E88" s="237"/>
    </row>
    <row r="89" spans="1:8" x14ac:dyDescent="0.3">
      <c r="A89" s="72" t="s">
        <v>238</v>
      </c>
      <c r="B89" s="12" t="s">
        <v>573</v>
      </c>
      <c r="C89" s="24">
        <v>76350</v>
      </c>
      <c r="D89" s="78"/>
      <c r="E89" s="25"/>
    </row>
    <row r="90" spans="1:8" x14ac:dyDescent="0.3">
      <c r="A90" s="72" t="s">
        <v>256</v>
      </c>
      <c r="B90" s="23" t="s">
        <v>257</v>
      </c>
      <c r="C90" s="24">
        <v>139700</v>
      </c>
      <c r="D90" s="78"/>
      <c r="E90" s="25"/>
    </row>
    <row r="91" spans="1:8" x14ac:dyDescent="0.3">
      <c r="A91" s="72" t="s">
        <v>144</v>
      </c>
      <c r="B91" s="24" t="s">
        <v>12</v>
      </c>
      <c r="C91" s="24">
        <v>61600</v>
      </c>
      <c r="D91" s="78"/>
      <c r="E91" s="25"/>
    </row>
    <row r="92" spans="1:8" ht="13.5" thickBot="1" x14ac:dyDescent="0.35">
      <c r="A92" s="72"/>
      <c r="B92" s="23"/>
      <c r="C92" s="24"/>
      <c r="D92" s="78"/>
      <c r="E92" s="25"/>
    </row>
    <row r="93" spans="1:8" ht="13.5" thickBot="1" x14ac:dyDescent="0.35">
      <c r="A93" s="1100" t="s">
        <v>4</v>
      </c>
      <c r="B93" s="1101"/>
      <c r="C93" s="670">
        <f>+C94+C96+C100+C102</f>
        <v>320050</v>
      </c>
      <c r="D93" s="21"/>
      <c r="E93" s="21"/>
    </row>
    <row r="94" spans="1:8" x14ac:dyDescent="0.3">
      <c r="A94" s="265" t="s">
        <v>179</v>
      </c>
      <c r="B94" s="11" t="s">
        <v>178</v>
      </c>
      <c r="C94" s="32">
        <f>SUM(C95)</f>
        <v>39100</v>
      </c>
      <c r="D94" s="237"/>
      <c r="E94" s="237"/>
      <c r="F94" s="62"/>
      <c r="G94" s="62"/>
    </row>
    <row r="95" spans="1:8" x14ac:dyDescent="0.3">
      <c r="A95" s="72" t="s">
        <v>177</v>
      </c>
      <c r="B95" s="23" t="s">
        <v>381</v>
      </c>
      <c r="C95" s="24">
        <v>39100</v>
      </c>
      <c r="D95" s="78"/>
      <c r="E95" s="25"/>
    </row>
    <row r="96" spans="1:8" x14ac:dyDescent="0.3">
      <c r="A96" s="265" t="s">
        <v>116</v>
      </c>
      <c r="B96" s="11" t="s">
        <v>117</v>
      </c>
      <c r="C96" s="31">
        <f>SUM(C97:C99)</f>
        <v>178180</v>
      </c>
      <c r="D96" s="78"/>
      <c r="E96" s="25"/>
    </row>
    <row r="97" spans="1:8" s="43" customFormat="1" ht="13.5" customHeight="1" x14ac:dyDescent="0.25">
      <c r="A97" s="72" t="s">
        <v>91</v>
      </c>
      <c r="B97" s="24" t="s">
        <v>9</v>
      </c>
      <c r="C97" s="24">
        <v>128000</v>
      </c>
      <c r="D97" s="78"/>
      <c r="E97" s="25"/>
      <c r="G97" s="55"/>
    </row>
    <row r="98" spans="1:8" s="8" customFormat="1" ht="13.5" customHeight="1" x14ac:dyDescent="0.25">
      <c r="A98" s="72" t="s">
        <v>57</v>
      </c>
      <c r="B98" s="23" t="s">
        <v>58</v>
      </c>
      <c r="C98" s="24">
        <v>20180</v>
      </c>
      <c r="D98" s="78"/>
      <c r="E98" s="25"/>
      <c r="F98" s="99"/>
      <c r="G98" s="55"/>
      <c r="H98" s="43"/>
    </row>
    <row r="99" spans="1:8" s="8" customFormat="1" ht="13.5" customHeight="1" x14ac:dyDescent="0.25">
      <c r="A99" s="72" t="s">
        <v>814</v>
      </c>
      <c r="B99" s="23" t="s">
        <v>815</v>
      </c>
      <c r="C99" s="24">
        <v>30000</v>
      </c>
      <c r="D99" s="78"/>
      <c r="E99" s="25"/>
      <c r="F99" s="99"/>
      <c r="G99" s="55"/>
      <c r="H99" s="43"/>
    </row>
    <row r="100" spans="1:8" s="43" customFormat="1" ht="13.5" customHeight="1" x14ac:dyDescent="0.25">
      <c r="A100" s="265" t="s">
        <v>574</v>
      </c>
      <c r="B100" s="25" t="s">
        <v>260</v>
      </c>
      <c r="C100" s="31">
        <f>SUM(C101)</f>
        <v>91830</v>
      </c>
      <c r="D100" s="78"/>
      <c r="E100" s="25"/>
      <c r="G100" s="55"/>
    </row>
    <row r="101" spans="1:8" s="8" customFormat="1" ht="13.5" customHeight="1" x14ac:dyDescent="0.25">
      <c r="A101" s="72" t="s">
        <v>165</v>
      </c>
      <c r="B101" s="23" t="s">
        <v>260</v>
      </c>
      <c r="C101" s="24">
        <v>91830</v>
      </c>
      <c r="D101" s="78"/>
      <c r="E101" s="25"/>
      <c r="F101" s="99"/>
      <c r="G101" s="55"/>
      <c r="H101" s="43"/>
    </row>
    <row r="102" spans="1:8" s="8" customFormat="1" ht="13.5" customHeight="1" x14ac:dyDescent="0.25">
      <c r="A102" s="265" t="s">
        <v>166</v>
      </c>
      <c r="B102" s="11" t="s">
        <v>135</v>
      </c>
      <c r="C102" s="31">
        <f>SUM(C103)</f>
        <v>10940</v>
      </c>
      <c r="D102" s="78"/>
      <c r="E102" s="25"/>
      <c r="F102" s="211"/>
      <c r="G102" s="55"/>
      <c r="H102" s="74"/>
    </row>
    <row r="103" spans="1:8" s="66" customFormat="1" x14ac:dyDescent="0.3">
      <c r="A103" s="72" t="s">
        <v>167</v>
      </c>
      <c r="B103" s="24" t="s">
        <v>51</v>
      </c>
      <c r="C103" s="24">
        <v>10940</v>
      </c>
      <c r="D103" s="78"/>
      <c r="E103" s="25"/>
    </row>
    <row r="104" spans="1:8" s="56" customFormat="1" x14ac:dyDescent="0.3">
      <c r="A104" s="72"/>
      <c r="B104" s="72"/>
      <c r="C104" s="23"/>
      <c r="D104" s="21"/>
      <c r="E104" s="21"/>
      <c r="F104" s="57"/>
    </row>
    <row r="105" spans="1:8" s="56" customFormat="1" ht="13.5" thickBot="1" x14ac:dyDescent="0.35">
      <c r="A105" s="72"/>
      <c r="B105" s="72"/>
      <c r="C105" s="23"/>
      <c r="D105" s="18"/>
      <c r="E105" s="18"/>
      <c r="F105" s="57"/>
    </row>
    <row r="106" spans="1:8" s="56" customFormat="1" x14ac:dyDescent="0.3">
      <c r="A106" s="816" t="s">
        <v>575</v>
      </c>
      <c r="B106" s="817"/>
      <c r="C106" s="818"/>
      <c r="D106" s="819" t="s">
        <v>6</v>
      </c>
      <c r="E106" s="901" t="s">
        <v>576</v>
      </c>
      <c r="F106" s="57"/>
    </row>
    <row r="107" spans="1:8" s="56" customFormat="1" ht="13.5" thickBot="1" x14ac:dyDescent="0.35">
      <c r="A107" s="820"/>
      <c r="B107" s="821"/>
      <c r="C107" s="822"/>
      <c r="D107" s="823"/>
      <c r="E107" s="824"/>
      <c r="F107" s="57"/>
    </row>
    <row r="108" spans="1:8" s="56" customFormat="1" ht="12.75" customHeight="1" x14ac:dyDescent="0.3">
      <c r="A108" s="1123" t="s">
        <v>1031</v>
      </c>
      <c r="B108" s="1124"/>
      <c r="C108" s="1124"/>
      <c r="D108" s="1124"/>
      <c r="E108" s="1125"/>
      <c r="F108" s="57"/>
    </row>
    <row r="109" spans="1:8" s="56" customFormat="1" ht="13.5" thickBot="1" x14ac:dyDescent="0.35">
      <c r="A109" s="1129"/>
      <c r="B109" s="1130"/>
      <c r="C109" s="1130"/>
      <c r="D109" s="1130"/>
      <c r="E109" s="1131"/>
      <c r="F109" s="57"/>
    </row>
    <row r="110" spans="1:8" s="66" customFormat="1" x14ac:dyDescent="0.3">
      <c r="A110" s="41" t="s">
        <v>1029</v>
      </c>
      <c r="B110" s="12"/>
      <c r="C110" s="24"/>
      <c r="D110" s="24"/>
      <c r="E110" s="320"/>
    </row>
    <row r="111" spans="1:8" s="66" customFormat="1" x14ac:dyDescent="0.3">
      <c r="A111" s="41" t="s">
        <v>572</v>
      </c>
      <c r="B111" s="12"/>
      <c r="C111" s="24"/>
      <c r="D111" s="24"/>
      <c r="E111" s="320"/>
    </row>
    <row r="112" spans="1:8" s="454" customFormat="1" ht="11.5" x14ac:dyDescent="0.25">
      <c r="A112" s="41" t="s">
        <v>1030</v>
      </c>
      <c r="B112" s="12"/>
      <c r="C112" s="24"/>
      <c r="D112" s="24"/>
      <c r="E112" s="320"/>
    </row>
    <row r="113" spans="1:7" s="66" customFormat="1" ht="13.5" thickBot="1" x14ac:dyDescent="0.35">
      <c r="A113" s="41" t="s">
        <v>13</v>
      </c>
      <c r="B113" s="12"/>
      <c r="C113" s="24"/>
      <c r="D113" s="24"/>
      <c r="E113" s="320"/>
    </row>
    <row r="114" spans="1:7" ht="13.5" thickBot="1" x14ac:dyDescent="0.35">
      <c r="A114" s="825" t="s">
        <v>14</v>
      </c>
      <c r="B114" s="826"/>
      <c r="C114" s="827"/>
      <c r="D114" s="828"/>
      <c r="E114" s="829">
        <f>C116+C133+C147</f>
        <v>1076930</v>
      </c>
      <c r="F114" s="62"/>
    </row>
    <row r="115" spans="1:7" ht="13.5" thickBot="1" x14ac:dyDescent="0.35">
      <c r="A115" s="11"/>
      <c r="B115" s="11"/>
      <c r="C115" s="31"/>
      <c r="D115" s="31"/>
      <c r="E115" s="31"/>
    </row>
    <row r="116" spans="1:7" ht="13.5" thickBot="1" x14ac:dyDescent="0.35">
      <c r="A116" s="1104" t="s">
        <v>2</v>
      </c>
      <c r="B116" s="1105"/>
      <c r="C116" s="667">
        <f>+C117+C119+C122+C128+C124</f>
        <v>479280</v>
      </c>
      <c r="D116" s="18"/>
      <c r="E116" s="533"/>
    </row>
    <row r="117" spans="1:7" s="43" customFormat="1" ht="13.5" customHeight="1" x14ac:dyDescent="0.25">
      <c r="A117" s="265" t="s">
        <v>199</v>
      </c>
      <c r="B117" s="11" t="s">
        <v>228</v>
      </c>
      <c r="C117" s="31">
        <f>SUM(C118)</f>
        <v>32630</v>
      </c>
      <c r="D117" s="22"/>
      <c r="E117" s="31"/>
      <c r="F117" s="532"/>
      <c r="G117" s="55"/>
    </row>
    <row r="118" spans="1:7" s="43" customFormat="1" ht="13.5" customHeight="1" x14ac:dyDescent="0.25">
      <c r="A118" s="72" t="s">
        <v>227</v>
      </c>
      <c r="B118" s="70" t="s">
        <v>226</v>
      </c>
      <c r="C118" s="24">
        <v>32630</v>
      </c>
      <c r="E118" s="31"/>
      <c r="F118" s="22"/>
      <c r="G118" s="55"/>
    </row>
    <row r="119" spans="1:7" x14ac:dyDescent="0.3">
      <c r="A119" s="11" t="s">
        <v>105</v>
      </c>
      <c r="B119" s="11" t="s">
        <v>106</v>
      </c>
      <c r="C119" s="32">
        <f>SUM(C120:C121)</f>
        <v>190590</v>
      </c>
      <c r="D119" s="15"/>
      <c r="E119" s="534"/>
    </row>
    <row r="120" spans="1:7" x14ac:dyDescent="0.3">
      <c r="A120" s="12" t="s">
        <v>67</v>
      </c>
      <c r="B120" s="12" t="s">
        <v>68</v>
      </c>
      <c r="C120" s="24">
        <v>117250</v>
      </c>
      <c r="D120" s="22"/>
      <c r="E120" s="31"/>
    </row>
    <row r="121" spans="1:7" x14ac:dyDescent="0.3">
      <c r="A121" s="12" t="s">
        <v>86</v>
      </c>
      <c r="B121" s="12" t="s">
        <v>66</v>
      </c>
      <c r="C121" s="24">
        <v>73340</v>
      </c>
      <c r="D121" s="22"/>
      <c r="E121" s="31"/>
    </row>
    <row r="122" spans="1:7" x14ac:dyDescent="0.3">
      <c r="A122" s="11" t="s">
        <v>107</v>
      </c>
      <c r="B122" s="11" t="s">
        <v>108</v>
      </c>
      <c r="C122" s="31">
        <f>SUM(C123)</f>
        <v>32310</v>
      </c>
      <c r="D122" s="22"/>
      <c r="E122" s="31"/>
    </row>
    <row r="123" spans="1:7" x14ac:dyDescent="0.3">
      <c r="A123" s="12" t="s">
        <v>47</v>
      </c>
      <c r="B123" s="24" t="s">
        <v>48</v>
      </c>
      <c r="C123" s="24">
        <v>32310</v>
      </c>
      <c r="D123" s="78"/>
      <c r="E123" s="25"/>
      <c r="F123" s="62"/>
      <c r="G123" s="62"/>
    </row>
    <row r="124" spans="1:7" s="66" customFormat="1" x14ac:dyDescent="0.3">
      <c r="A124" s="265" t="s">
        <v>119</v>
      </c>
      <c r="B124" s="11" t="s">
        <v>191</v>
      </c>
      <c r="C124" s="31">
        <f>SUM(C125:C127)</f>
        <v>46240</v>
      </c>
      <c r="D124" s="21"/>
      <c r="E124" s="21"/>
    </row>
    <row r="125" spans="1:7" s="66" customFormat="1" x14ac:dyDescent="0.3">
      <c r="A125" s="72" t="s">
        <v>697</v>
      </c>
      <c r="B125" s="24" t="s">
        <v>696</v>
      </c>
      <c r="C125" s="24">
        <v>13820</v>
      </c>
      <c r="D125" s="78"/>
      <c r="E125" s="25"/>
    </row>
    <row r="126" spans="1:7" s="66" customFormat="1" x14ac:dyDescent="0.3">
      <c r="A126" s="72" t="s">
        <v>816</v>
      </c>
      <c r="B126" s="24" t="s">
        <v>810</v>
      </c>
      <c r="C126" s="24">
        <v>22420</v>
      </c>
      <c r="D126" s="78"/>
      <c r="E126" s="25"/>
    </row>
    <row r="127" spans="1:7" s="66" customFormat="1" x14ac:dyDescent="0.3">
      <c r="A127" s="72" t="s">
        <v>811</v>
      </c>
      <c r="B127" s="24" t="s">
        <v>812</v>
      </c>
      <c r="C127" s="24">
        <v>10000</v>
      </c>
      <c r="D127" s="78"/>
      <c r="E127" s="25"/>
    </row>
    <row r="128" spans="1:7" x14ac:dyDescent="0.3">
      <c r="A128" s="265" t="s">
        <v>577</v>
      </c>
      <c r="B128" s="31" t="s">
        <v>125</v>
      </c>
      <c r="C128" s="31">
        <f>SUM(C129:C131)</f>
        <v>177510</v>
      </c>
      <c r="D128" s="24"/>
      <c r="E128" s="120"/>
    </row>
    <row r="129" spans="1:8" x14ac:dyDescent="0.3">
      <c r="A129" s="72" t="s">
        <v>153</v>
      </c>
      <c r="B129" s="24" t="s">
        <v>70</v>
      </c>
      <c r="C129" s="24">
        <v>97180</v>
      </c>
      <c r="D129" s="78"/>
      <c r="E129" s="25"/>
    </row>
    <row r="130" spans="1:8" s="8" customFormat="1" ht="13.5" customHeight="1" x14ac:dyDescent="0.25">
      <c r="A130" s="72" t="s">
        <v>155</v>
      </c>
      <c r="B130" s="24" t="s">
        <v>125</v>
      </c>
      <c r="C130" s="24">
        <v>19000</v>
      </c>
      <c r="D130" s="78"/>
      <c r="E130" s="25"/>
      <c r="F130" s="99"/>
      <c r="G130" s="55"/>
      <c r="H130" s="43"/>
    </row>
    <row r="131" spans="1:8" s="226" customFormat="1" x14ac:dyDescent="0.3">
      <c r="A131" s="72" t="s">
        <v>699</v>
      </c>
      <c r="B131" s="23" t="s">
        <v>817</v>
      </c>
      <c r="C131" s="60">
        <v>61330</v>
      </c>
      <c r="E131" s="62"/>
      <c r="F131" s="457"/>
      <c r="G131" s="90"/>
    </row>
    <row r="132" spans="1:8" s="66" customFormat="1" ht="13.5" thickBot="1" x14ac:dyDescent="0.35">
      <c r="A132" s="72"/>
      <c r="B132" s="24"/>
      <c r="C132" s="23"/>
      <c r="D132" s="78"/>
      <c r="E132" s="25"/>
    </row>
    <row r="133" spans="1:8" s="8" customFormat="1" ht="13.5" customHeight="1" thickBot="1" x14ac:dyDescent="0.3">
      <c r="A133" s="1096" t="s">
        <v>3</v>
      </c>
      <c r="B133" s="1097"/>
      <c r="C133" s="668">
        <f>C134+C136+C138+C141</f>
        <v>540460</v>
      </c>
      <c r="D133" s="21"/>
      <c r="E133" s="21"/>
      <c r="F133" s="211"/>
      <c r="G133" s="55"/>
      <c r="H133" s="74"/>
    </row>
    <row r="134" spans="1:8" s="66" customFormat="1" x14ac:dyDescent="0.3">
      <c r="A134" s="265" t="s">
        <v>112</v>
      </c>
      <c r="B134" s="11" t="s">
        <v>157</v>
      </c>
      <c r="C134" s="32">
        <f>SUM(C135:C135)</f>
        <v>87500</v>
      </c>
      <c r="D134" s="237"/>
      <c r="E134" s="237"/>
    </row>
    <row r="135" spans="1:8" s="56" customFormat="1" x14ac:dyDescent="0.3">
      <c r="A135" s="72" t="s">
        <v>49</v>
      </c>
      <c r="B135" s="12" t="s">
        <v>87</v>
      </c>
      <c r="C135" s="24">
        <v>87500</v>
      </c>
      <c r="D135" s="24"/>
      <c r="E135" s="120"/>
      <c r="F135" s="57"/>
    </row>
    <row r="136" spans="1:8" s="66" customFormat="1" x14ac:dyDescent="0.3">
      <c r="A136" s="265" t="s">
        <v>113</v>
      </c>
      <c r="B136" s="11" t="s">
        <v>114</v>
      </c>
      <c r="C136" s="31">
        <f>SUM(C137:C137)</f>
        <v>11250</v>
      </c>
      <c r="D136" s="24"/>
      <c r="E136" s="120"/>
      <c r="F136" s="57"/>
    </row>
    <row r="137" spans="1:8" s="8" customFormat="1" ht="13.5" customHeight="1" x14ac:dyDescent="0.25">
      <c r="A137" s="72" t="s">
        <v>88</v>
      </c>
      <c r="B137" s="24" t="s">
        <v>64</v>
      </c>
      <c r="C137" s="24">
        <v>11250</v>
      </c>
      <c r="D137" s="24"/>
      <c r="E137" s="120"/>
      <c r="F137" s="43"/>
      <c r="G137" s="73"/>
      <c r="H137" s="43"/>
    </row>
    <row r="138" spans="1:8" s="8" customFormat="1" ht="13.5" customHeight="1" x14ac:dyDescent="0.25">
      <c r="A138" s="265" t="s">
        <v>132</v>
      </c>
      <c r="B138" s="11" t="s">
        <v>56</v>
      </c>
      <c r="C138" s="31">
        <f>SUM(C139:C140)</f>
        <v>247190</v>
      </c>
      <c r="D138" s="24"/>
      <c r="E138" s="120"/>
      <c r="F138" s="43"/>
      <c r="G138" s="73"/>
      <c r="H138" s="43"/>
    </row>
    <row r="139" spans="1:8" s="8" customFormat="1" ht="13.5" customHeight="1" x14ac:dyDescent="0.25">
      <c r="A139" s="72" t="s">
        <v>55</v>
      </c>
      <c r="B139" s="12" t="s">
        <v>56</v>
      </c>
      <c r="C139" s="24">
        <v>189700</v>
      </c>
      <c r="D139" s="24"/>
      <c r="E139" s="120"/>
      <c r="F139" s="99"/>
      <c r="G139" s="55"/>
      <c r="H139" s="43"/>
    </row>
    <row r="140" spans="1:8" s="8" customFormat="1" ht="13.5" customHeight="1" x14ac:dyDescent="0.25">
      <c r="A140" s="72" t="s">
        <v>534</v>
      </c>
      <c r="B140" s="12" t="s">
        <v>535</v>
      </c>
      <c r="C140" s="24">
        <v>57490</v>
      </c>
      <c r="D140" s="25"/>
      <c r="E140" s="38"/>
      <c r="F140" s="99"/>
      <c r="G140" s="55"/>
      <c r="H140" s="43"/>
    </row>
    <row r="141" spans="1:8" s="66" customFormat="1" x14ac:dyDescent="0.3">
      <c r="A141" s="265" t="s">
        <v>115</v>
      </c>
      <c r="B141" s="31" t="s">
        <v>8</v>
      </c>
      <c r="C141" s="31">
        <f>SUM(C142:C145)</f>
        <v>194520</v>
      </c>
      <c r="D141" s="25"/>
      <c r="E141" s="38"/>
    </row>
    <row r="142" spans="1:8" x14ac:dyDescent="0.3">
      <c r="A142" s="72" t="s">
        <v>92</v>
      </c>
      <c r="B142" s="24" t="s">
        <v>8</v>
      </c>
      <c r="C142" s="24">
        <v>66040</v>
      </c>
      <c r="D142" s="120"/>
      <c r="E142" s="120"/>
    </row>
    <row r="143" spans="1:8" x14ac:dyDescent="0.3">
      <c r="A143" s="72" t="s">
        <v>224</v>
      </c>
      <c r="B143" s="43" t="s">
        <v>223</v>
      </c>
      <c r="C143" s="24">
        <v>26350</v>
      </c>
      <c r="D143" s="24"/>
      <c r="E143" s="120"/>
    </row>
    <row r="144" spans="1:8" x14ac:dyDescent="0.3">
      <c r="A144" s="72" t="s">
        <v>222</v>
      </c>
      <c r="B144" s="43" t="s">
        <v>221</v>
      </c>
      <c r="C144" s="24">
        <v>66680</v>
      </c>
      <c r="D144" s="24"/>
      <c r="E144" s="120"/>
    </row>
    <row r="145" spans="1:7" x14ac:dyDescent="0.3">
      <c r="A145" s="72" t="s">
        <v>90</v>
      </c>
      <c r="B145" s="24" t="s">
        <v>7</v>
      </c>
      <c r="C145" s="24">
        <v>35450</v>
      </c>
      <c r="D145" s="24"/>
      <c r="E145" s="120"/>
    </row>
    <row r="146" spans="1:7" ht="13.5" thickBot="1" x14ac:dyDescent="0.35">
      <c r="A146" s="72"/>
      <c r="B146" s="24"/>
      <c r="C146" s="23"/>
      <c r="D146" s="120"/>
      <c r="E146" s="120"/>
    </row>
    <row r="147" spans="1:7" ht="13.5" thickBot="1" x14ac:dyDescent="0.35">
      <c r="A147" s="1100" t="s">
        <v>4</v>
      </c>
      <c r="B147" s="1101"/>
      <c r="C147" s="670">
        <f>C148+C151</f>
        <v>57190</v>
      </c>
      <c r="D147" s="21"/>
      <c r="E147" s="21"/>
    </row>
    <row r="148" spans="1:7" x14ac:dyDescent="0.3">
      <c r="A148" s="265" t="s">
        <v>116</v>
      </c>
      <c r="B148" s="11" t="s">
        <v>117</v>
      </c>
      <c r="C148" s="32">
        <f>SUM(C149:C150)</f>
        <v>47440</v>
      </c>
      <c r="D148" s="237"/>
      <c r="E148" s="237"/>
    </row>
    <row r="149" spans="1:7" x14ac:dyDescent="0.3">
      <c r="A149" s="72" t="s">
        <v>91</v>
      </c>
      <c r="B149" s="24" t="s">
        <v>9</v>
      </c>
      <c r="C149" s="24">
        <v>22440</v>
      </c>
      <c r="D149" s="21"/>
      <c r="E149" s="21"/>
    </row>
    <row r="150" spans="1:7" x14ac:dyDescent="0.3">
      <c r="A150" s="72" t="s">
        <v>57</v>
      </c>
      <c r="B150" s="23" t="s">
        <v>58</v>
      </c>
      <c r="C150" s="24">
        <v>25000</v>
      </c>
      <c r="D150" s="21"/>
      <c r="E150" s="21"/>
    </row>
    <row r="151" spans="1:7" x14ac:dyDescent="0.3">
      <c r="A151" s="265" t="s">
        <v>166</v>
      </c>
      <c r="B151" s="11" t="s">
        <v>135</v>
      </c>
      <c r="C151" s="31">
        <f>SUM(C152)</f>
        <v>9750</v>
      </c>
      <c r="D151" s="21"/>
      <c r="E151" s="21"/>
    </row>
    <row r="152" spans="1:7" x14ac:dyDescent="0.3">
      <c r="A152" s="72" t="s">
        <v>167</v>
      </c>
      <c r="B152" s="24" t="s">
        <v>51</v>
      </c>
      <c r="C152" s="24">
        <v>9750</v>
      </c>
      <c r="D152" s="21"/>
      <c r="E152" s="21"/>
    </row>
    <row r="153" spans="1:7" x14ac:dyDescent="0.3">
      <c r="A153" s="72"/>
      <c r="B153" s="24"/>
      <c r="C153" s="23"/>
      <c r="D153" s="120"/>
      <c r="E153" s="120"/>
      <c r="G153" s="62"/>
    </row>
  </sheetData>
  <mergeCells count="10">
    <mergeCell ref="A108:E109"/>
    <mergeCell ref="A6:E9"/>
    <mergeCell ref="A116:B116"/>
    <mergeCell ref="A133:B133"/>
    <mergeCell ref="A147:B147"/>
    <mergeCell ref="A16:B16"/>
    <mergeCell ref="A39:B39"/>
    <mergeCell ref="A61:B61"/>
    <mergeCell ref="A85:B85"/>
    <mergeCell ref="A93:B93"/>
  </mergeCells>
  <pageMargins left="0.78740157480314965" right="0.19685039370078741" top="0.78740157480314965" bottom="0.78740157480314965" header="0.39370078740157483" footer="0.19685039370078741"/>
  <pageSetup paperSize="9" scale="90" orientation="portrait" r:id="rId1"/>
  <headerFooter alignWithMargins="0">
    <oddHeader>&amp;L&amp;"Arial Narrow,Normal"&amp;8Presupuesto Municipal 2020
&amp;R&amp;"Arial Narrow,Normal"&amp;8MUNICIPALIDAD DE VILLA MARÍA
Secretaría de Economía y Finanzas</oddHeader>
  </headerFooter>
  <rowBreaks count="2" manualBreakCount="2">
    <brk id="55" max="4" man="1"/>
    <brk id="105"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view="pageLayout" topLeftCell="A79" zoomScaleNormal="100" workbookViewId="0">
      <selection activeCell="C36" sqref="C36"/>
    </sheetView>
  </sheetViews>
  <sheetFormatPr baseColWidth="10" defaultColWidth="11.453125" defaultRowHeight="13" x14ac:dyDescent="0.3"/>
  <cols>
    <col min="1" max="1" width="9.7265625" style="52" customWidth="1"/>
    <col min="2" max="2" width="46.7265625" style="52" customWidth="1"/>
    <col min="3" max="3" width="12.7265625" style="62" customWidth="1"/>
    <col min="4" max="4" width="10.7265625" style="65" customWidth="1"/>
    <col min="5" max="5" width="13.7265625" style="62" customWidth="1"/>
    <col min="6" max="6" width="6.54296875" style="52" customWidth="1"/>
    <col min="7" max="16384" width="11.453125" style="52"/>
  </cols>
  <sheetData>
    <row r="1" spans="1:7" x14ac:dyDescent="0.3">
      <c r="A1" s="623" t="s">
        <v>566</v>
      </c>
      <c r="B1" s="623"/>
    </row>
    <row r="2" spans="1:7" x14ac:dyDescent="0.3">
      <c r="A2" s="453"/>
    </row>
    <row r="3" spans="1:7" ht="13.5" thickBot="1" x14ac:dyDescent="0.35"/>
    <row r="4" spans="1:7" x14ac:dyDescent="0.3">
      <c r="A4" s="832" t="s">
        <v>567</v>
      </c>
      <c r="B4" s="833"/>
      <c r="C4" s="834"/>
      <c r="D4" s="835" t="s">
        <v>6</v>
      </c>
      <c r="E4" s="900" t="s">
        <v>568</v>
      </c>
    </row>
    <row r="5" spans="1:7" ht="13.5" thickBot="1" x14ac:dyDescent="0.35">
      <c r="A5" s="836"/>
      <c r="B5" s="837"/>
      <c r="C5" s="838"/>
      <c r="D5" s="839"/>
      <c r="E5" s="840"/>
    </row>
    <row r="6" spans="1:7" s="1" customFormat="1" x14ac:dyDescent="0.25">
      <c r="A6" s="1123" t="s">
        <v>1010</v>
      </c>
      <c r="B6" s="1124"/>
      <c r="C6" s="1124"/>
      <c r="D6" s="1124"/>
      <c r="E6" s="1125"/>
      <c r="F6" s="469"/>
    </row>
    <row r="7" spans="1:7" s="69" customFormat="1" x14ac:dyDescent="0.3">
      <c r="A7" s="1126"/>
      <c r="B7" s="1127"/>
      <c r="C7" s="1127"/>
      <c r="D7" s="1127"/>
      <c r="E7" s="1128"/>
    </row>
    <row r="8" spans="1:7" s="69" customFormat="1" x14ac:dyDescent="0.3">
      <c r="A8" s="1126"/>
      <c r="B8" s="1127"/>
      <c r="C8" s="1127"/>
      <c r="D8" s="1127"/>
      <c r="E8" s="1128"/>
    </row>
    <row r="9" spans="1:7" s="69" customFormat="1" x14ac:dyDescent="0.3">
      <c r="A9" s="1126"/>
      <c r="B9" s="1127"/>
      <c r="C9" s="1127"/>
      <c r="D9" s="1127"/>
      <c r="E9" s="1128"/>
    </row>
    <row r="10" spans="1:7" s="69" customFormat="1" ht="13.5" thickBot="1" x14ac:dyDescent="0.35">
      <c r="A10" s="1129"/>
      <c r="B10" s="1130"/>
      <c r="C10" s="1130"/>
      <c r="D10" s="1130"/>
      <c r="E10" s="1131"/>
    </row>
    <row r="11" spans="1:7" s="454" customFormat="1" ht="11.5" x14ac:dyDescent="0.25">
      <c r="A11" s="456" t="s">
        <v>1029</v>
      </c>
      <c r="B11" s="170"/>
      <c r="C11" s="169"/>
      <c r="D11" s="169"/>
      <c r="E11" s="168"/>
    </row>
    <row r="12" spans="1:7" s="454" customFormat="1" ht="11.5" x14ac:dyDescent="0.25">
      <c r="A12" s="58" t="s">
        <v>569</v>
      </c>
      <c r="B12" s="59"/>
      <c r="C12" s="60"/>
      <c r="D12" s="60"/>
      <c r="E12" s="61"/>
    </row>
    <row r="13" spans="1:7" s="454" customFormat="1" ht="11.5" x14ac:dyDescent="0.25">
      <c r="A13" s="58" t="s">
        <v>1033</v>
      </c>
      <c r="B13" s="59"/>
      <c r="C13" s="60"/>
      <c r="D13" s="60"/>
      <c r="E13" s="61"/>
    </row>
    <row r="14" spans="1:7" s="454" customFormat="1" ht="12" thickBot="1" x14ac:dyDescent="0.3">
      <c r="A14" s="167" t="s">
        <v>13</v>
      </c>
      <c r="B14" s="166"/>
      <c r="C14" s="165"/>
      <c r="D14" s="165"/>
      <c r="E14" s="164"/>
    </row>
    <row r="15" spans="1:7" s="454" customFormat="1" ht="12" thickBot="1" x14ac:dyDescent="0.3">
      <c r="A15" s="841" t="s">
        <v>14</v>
      </c>
      <c r="B15" s="842"/>
      <c r="C15" s="843"/>
      <c r="D15" s="843"/>
      <c r="E15" s="844">
        <f>C17+C40+C60+C80</f>
        <v>26520206</v>
      </c>
      <c r="G15" s="567"/>
    </row>
    <row r="16" spans="1:7" s="234" customFormat="1" ht="12" thickBot="1" x14ac:dyDescent="0.3">
      <c r="A16" s="63"/>
      <c r="B16" s="63"/>
      <c r="C16" s="64"/>
      <c r="D16" s="64"/>
      <c r="E16" s="64"/>
    </row>
    <row r="17" spans="1:8" s="234" customFormat="1" ht="13.5" thickBot="1" x14ac:dyDescent="0.35">
      <c r="A17" s="1261" t="s">
        <v>1</v>
      </c>
      <c r="B17" s="1262"/>
      <c r="C17" s="808">
        <f>(C18+C25+C32)</f>
        <v>24733616</v>
      </c>
      <c r="D17" s="213"/>
      <c r="E17" s="186"/>
    </row>
    <row r="18" spans="1:8" s="43" customFormat="1" ht="12.75" customHeight="1" x14ac:dyDescent="0.3">
      <c r="A18" s="11" t="s">
        <v>97</v>
      </c>
      <c r="B18" s="211" t="s">
        <v>98</v>
      </c>
      <c r="C18" s="31">
        <f>SUM(C19:C24)</f>
        <v>6</v>
      </c>
      <c r="D18" s="22"/>
      <c r="E18" s="24"/>
      <c r="F18" s="95"/>
    </row>
    <row r="19" spans="1:8" s="8" customFormat="1" ht="12.75" customHeight="1" x14ac:dyDescent="0.3">
      <c r="A19" s="12" t="s">
        <v>23</v>
      </c>
      <c r="B19" s="24" t="s">
        <v>20</v>
      </c>
      <c r="C19" s="24">
        <v>1</v>
      </c>
      <c r="D19" s="22"/>
      <c r="E19" s="25"/>
      <c r="F19" s="92"/>
    </row>
    <row r="20" spans="1:8" s="8" customFormat="1" ht="12.75" customHeight="1" x14ac:dyDescent="0.3">
      <c r="A20" s="12" t="s">
        <v>24</v>
      </c>
      <c r="B20" s="24" t="s">
        <v>22</v>
      </c>
      <c r="C20" s="24">
        <v>1</v>
      </c>
      <c r="D20" s="22"/>
      <c r="E20" s="25"/>
      <c r="F20" s="92"/>
    </row>
    <row r="21" spans="1:8" s="9" customFormat="1" ht="12.75" customHeight="1" x14ac:dyDescent="0.3">
      <c r="A21" s="12" t="s">
        <v>25</v>
      </c>
      <c r="B21" s="24" t="s">
        <v>76</v>
      </c>
      <c r="C21" s="24">
        <v>1</v>
      </c>
      <c r="D21" s="22"/>
      <c r="E21" s="25"/>
      <c r="F21" s="92"/>
    </row>
    <row r="22" spans="1:8" s="9" customFormat="1" ht="12.75" customHeight="1" x14ac:dyDescent="0.3">
      <c r="A22" s="12" t="s">
        <v>26</v>
      </c>
      <c r="B22" s="24" t="s">
        <v>77</v>
      </c>
      <c r="C22" s="24">
        <v>1</v>
      </c>
      <c r="D22" s="22"/>
      <c r="E22" s="25"/>
      <c r="F22" s="92"/>
    </row>
    <row r="23" spans="1:8" s="9" customFormat="1" ht="12.75" customHeight="1" x14ac:dyDescent="0.3">
      <c r="A23" s="12" t="s">
        <v>27</v>
      </c>
      <c r="B23" s="24" t="s">
        <v>21</v>
      </c>
      <c r="C23" s="24">
        <v>1</v>
      </c>
      <c r="D23" s="22"/>
      <c r="E23" s="25"/>
      <c r="F23" s="92"/>
    </row>
    <row r="24" spans="1:8" s="9" customFormat="1" ht="12.75" customHeight="1" x14ac:dyDescent="0.3">
      <c r="A24" s="12" t="s">
        <v>28</v>
      </c>
      <c r="B24" s="24" t="s">
        <v>19</v>
      </c>
      <c r="C24" s="24">
        <v>1</v>
      </c>
      <c r="D24" s="22"/>
      <c r="E24" s="25"/>
      <c r="F24" s="92"/>
    </row>
    <row r="25" spans="1:8" s="9" customFormat="1" ht="12.75" customHeight="1" x14ac:dyDescent="0.3">
      <c r="A25" s="11" t="s">
        <v>99</v>
      </c>
      <c r="B25" s="31" t="s">
        <v>100</v>
      </c>
      <c r="C25" s="31">
        <f>SUM(C26:C31)</f>
        <v>18878711</v>
      </c>
      <c r="D25" s="22"/>
      <c r="E25" s="25"/>
      <c r="F25" s="92"/>
    </row>
    <row r="26" spans="1:8" s="9" customFormat="1" ht="12.75" customHeight="1" x14ac:dyDescent="0.3">
      <c r="A26" s="12" t="s">
        <v>30</v>
      </c>
      <c r="B26" s="24" t="s">
        <v>78</v>
      </c>
      <c r="C26" s="24">
        <f>12877546+584321+2317959</f>
        <v>15779826</v>
      </c>
      <c r="D26" s="22"/>
      <c r="E26" s="25"/>
      <c r="F26" s="93"/>
    </row>
    <row r="27" spans="1:8" s="8" customFormat="1" ht="12.75" customHeight="1" x14ac:dyDescent="0.3">
      <c r="A27" s="12" t="s">
        <v>31</v>
      </c>
      <c r="B27" s="24" t="s">
        <v>79</v>
      </c>
      <c r="C27" s="24">
        <f>579489+2060408</f>
        <v>2639897</v>
      </c>
      <c r="D27" s="22"/>
      <c r="E27" s="25"/>
      <c r="F27" s="54"/>
      <c r="G27" s="43"/>
      <c r="H27" s="43"/>
    </row>
    <row r="28" spans="1:8" s="8" customFormat="1" ht="12.75" customHeight="1" x14ac:dyDescent="0.3">
      <c r="A28" s="12" t="s">
        <v>32</v>
      </c>
      <c r="B28" s="24" t="s">
        <v>80</v>
      </c>
      <c r="C28" s="24">
        <f>75000+383985</f>
        <v>458985</v>
      </c>
      <c r="D28" s="22"/>
      <c r="E28" s="25"/>
      <c r="F28" s="92"/>
    </row>
    <row r="29" spans="1:8" s="9" customFormat="1" ht="12.75" customHeight="1" x14ac:dyDescent="0.3">
      <c r="A29" s="12" t="s">
        <v>33</v>
      </c>
      <c r="B29" s="24" t="s">
        <v>81</v>
      </c>
      <c r="C29" s="24">
        <v>1</v>
      </c>
      <c r="D29" s="22"/>
      <c r="E29" s="572"/>
      <c r="F29" s="92"/>
    </row>
    <row r="30" spans="1:8" s="9" customFormat="1" ht="12.75" customHeight="1" x14ac:dyDescent="0.3">
      <c r="A30" s="12" t="s">
        <v>34</v>
      </c>
      <c r="B30" s="24" t="s">
        <v>29</v>
      </c>
      <c r="C30" s="24">
        <v>1</v>
      </c>
      <c r="D30" s="22"/>
      <c r="E30" s="25"/>
      <c r="F30" s="92"/>
    </row>
    <row r="31" spans="1:8" s="9" customFormat="1" ht="12.75" customHeight="1" x14ac:dyDescent="0.3">
      <c r="A31" s="12" t="s">
        <v>83</v>
      </c>
      <c r="B31" s="24" t="s">
        <v>82</v>
      </c>
      <c r="C31" s="24">
        <v>1</v>
      </c>
      <c r="D31" s="22"/>
      <c r="E31" s="25"/>
      <c r="F31" s="93"/>
    </row>
    <row r="32" spans="1:8" s="9" customFormat="1" ht="12.75" customHeight="1" x14ac:dyDescent="0.3">
      <c r="A32" s="11" t="s">
        <v>101</v>
      </c>
      <c r="B32" s="31" t="s">
        <v>102</v>
      </c>
      <c r="C32" s="31">
        <f>SUM(C33:C38)</f>
        <v>5854899</v>
      </c>
      <c r="D32" s="22"/>
      <c r="E32" s="526"/>
      <c r="F32" s="93"/>
    </row>
    <row r="33" spans="1:8" s="9" customFormat="1" ht="12.75" customHeight="1" x14ac:dyDescent="0.25">
      <c r="A33" s="12" t="s">
        <v>39</v>
      </c>
      <c r="B33" s="24" t="s">
        <v>35</v>
      </c>
      <c r="C33" s="24">
        <f>3962520+246232+713254</f>
        <v>4922006</v>
      </c>
      <c r="D33" s="22"/>
      <c r="E33" s="526"/>
      <c r="F33" s="205"/>
    </row>
    <row r="34" spans="1:8" s="9" customFormat="1" ht="12.75" customHeight="1" x14ac:dyDescent="0.25">
      <c r="A34" s="12" t="s">
        <v>40</v>
      </c>
      <c r="B34" s="24" t="s">
        <v>37</v>
      </c>
      <c r="C34" s="24">
        <f>634004+178314</f>
        <v>812318</v>
      </c>
      <c r="D34" s="22"/>
      <c r="E34" s="526"/>
      <c r="F34" s="205"/>
    </row>
    <row r="35" spans="1:8" s="9" customFormat="1" ht="12.75" customHeight="1" x14ac:dyDescent="0.25">
      <c r="A35" s="12" t="s">
        <v>41</v>
      </c>
      <c r="B35" s="24" t="s">
        <v>84</v>
      </c>
      <c r="C35" s="24">
        <v>120572</v>
      </c>
      <c r="D35" s="22"/>
      <c r="E35" s="526"/>
      <c r="F35" s="205"/>
    </row>
    <row r="36" spans="1:8" s="9" customFormat="1" ht="12.75" customHeight="1" x14ac:dyDescent="0.25">
      <c r="A36" s="12" t="s">
        <v>42</v>
      </c>
      <c r="B36" s="24" t="s">
        <v>85</v>
      </c>
      <c r="C36" s="24">
        <v>1</v>
      </c>
      <c r="D36" s="22"/>
      <c r="E36" s="526"/>
      <c r="F36" s="205"/>
    </row>
    <row r="37" spans="1:8" s="9" customFormat="1" ht="12.75" customHeight="1" x14ac:dyDescent="0.25">
      <c r="A37" s="12" t="s">
        <v>43</v>
      </c>
      <c r="B37" s="24" t="s">
        <v>36</v>
      </c>
      <c r="C37" s="24">
        <v>1</v>
      </c>
      <c r="D37" s="22"/>
      <c r="E37" s="526"/>
    </row>
    <row r="38" spans="1:8" s="66" customFormat="1" x14ac:dyDescent="0.3">
      <c r="A38" s="12" t="s">
        <v>44</v>
      </c>
      <c r="B38" s="24" t="s">
        <v>38</v>
      </c>
      <c r="C38" s="60">
        <v>1</v>
      </c>
      <c r="D38" s="60"/>
      <c r="E38" s="527"/>
    </row>
    <row r="39" spans="1:8" s="66" customFormat="1" ht="13.5" thickBot="1" x14ac:dyDescent="0.35">
      <c r="A39" s="12"/>
      <c r="B39" s="24"/>
      <c r="C39" s="67"/>
      <c r="D39" s="60"/>
      <c r="E39" s="527"/>
    </row>
    <row r="40" spans="1:8" s="66" customFormat="1" ht="13.5" thickBot="1" x14ac:dyDescent="0.35">
      <c r="A40" s="1102" t="s">
        <v>2</v>
      </c>
      <c r="B40" s="1103"/>
      <c r="C40" s="699">
        <f>C41+C43+C46+C53+C55+C48</f>
        <v>314530</v>
      </c>
      <c r="D40" s="213"/>
      <c r="E40" s="109"/>
    </row>
    <row r="41" spans="1:8" s="56" customFormat="1" x14ac:dyDescent="0.3">
      <c r="A41" s="11" t="s">
        <v>103</v>
      </c>
      <c r="B41" s="211" t="s">
        <v>104</v>
      </c>
      <c r="C41" s="64">
        <f>SUM(C42)</f>
        <v>62400</v>
      </c>
      <c r="D41" s="57"/>
      <c r="E41" s="528"/>
    </row>
    <row r="42" spans="1:8" s="43" customFormat="1" ht="13.5" customHeight="1" x14ac:dyDescent="0.25">
      <c r="A42" s="12" t="s">
        <v>46</v>
      </c>
      <c r="B42" s="8" t="s">
        <v>45</v>
      </c>
      <c r="C42" s="24">
        <v>62400</v>
      </c>
      <c r="D42" s="22"/>
      <c r="E42" s="529"/>
      <c r="G42" s="55"/>
    </row>
    <row r="43" spans="1:8" s="43" customFormat="1" ht="13.5" customHeight="1" x14ac:dyDescent="0.25">
      <c r="A43" s="11" t="s">
        <v>105</v>
      </c>
      <c r="B43" s="556" t="s">
        <v>106</v>
      </c>
      <c r="C43" s="31">
        <f>SUM(C44:C45)</f>
        <v>78000</v>
      </c>
      <c r="D43" s="22"/>
      <c r="E43" s="529"/>
      <c r="G43" s="55"/>
    </row>
    <row r="44" spans="1:8" s="43" customFormat="1" ht="13.5" customHeight="1" x14ac:dyDescent="0.25">
      <c r="A44" s="12" t="s">
        <v>67</v>
      </c>
      <c r="B44" s="8" t="s">
        <v>68</v>
      </c>
      <c r="C44" s="24">
        <v>58000</v>
      </c>
      <c r="D44" s="22"/>
      <c r="E44" s="529"/>
      <c r="G44" s="55"/>
    </row>
    <row r="45" spans="1:8" s="43" customFormat="1" ht="13.5" customHeight="1" x14ac:dyDescent="0.25">
      <c r="A45" s="12" t="s">
        <v>86</v>
      </c>
      <c r="B45" s="8" t="s">
        <v>66</v>
      </c>
      <c r="C45" s="24">
        <v>20000</v>
      </c>
      <c r="D45" s="22"/>
      <c r="E45" s="529"/>
      <c r="G45" s="55"/>
    </row>
    <row r="46" spans="1:8" s="43" customFormat="1" ht="13.5" customHeight="1" x14ac:dyDescent="0.25">
      <c r="A46" s="11" t="s">
        <v>107</v>
      </c>
      <c r="B46" s="556" t="s">
        <v>108</v>
      </c>
      <c r="C46" s="31">
        <f>SUM(C47)</f>
        <v>70270</v>
      </c>
      <c r="D46" s="22"/>
      <c r="E46" s="529"/>
      <c r="G46" s="55"/>
    </row>
    <row r="47" spans="1:8" s="8" customFormat="1" ht="13.5" customHeight="1" x14ac:dyDescent="0.25">
      <c r="A47" s="12" t="s">
        <v>47</v>
      </c>
      <c r="B47" s="24" t="s">
        <v>48</v>
      </c>
      <c r="C47" s="24">
        <v>70270</v>
      </c>
      <c r="D47" s="78"/>
      <c r="E47" s="526"/>
      <c r="F47" s="99"/>
      <c r="G47" s="55"/>
      <c r="H47" s="43"/>
    </row>
    <row r="48" spans="1:8" s="66" customFormat="1" x14ac:dyDescent="0.3">
      <c r="A48" s="265" t="s">
        <v>119</v>
      </c>
      <c r="B48" s="11" t="s">
        <v>191</v>
      </c>
      <c r="C48" s="31">
        <f>SUM(C49:C52)</f>
        <v>45100</v>
      </c>
      <c r="D48" s="21"/>
      <c r="E48" s="21"/>
    </row>
    <row r="49" spans="1:9" s="66" customFormat="1" x14ac:dyDescent="0.3">
      <c r="A49" s="72" t="s">
        <v>150</v>
      </c>
      <c r="B49" s="24" t="s">
        <v>695</v>
      </c>
      <c r="C49" s="24">
        <v>8400</v>
      </c>
      <c r="D49" s="21"/>
      <c r="E49" s="21"/>
    </row>
    <row r="50" spans="1:9" s="66" customFormat="1" x14ac:dyDescent="0.3">
      <c r="A50" s="72" t="s">
        <v>697</v>
      </c>
      <c r="B50" s="24" t="s">
        <v>696</v>
      </c>
      <c r="C50" s="24">
        <v>11700</v>
      </c>
      <c r="D50" s="78"/>
      <c r="E50" s="25"/>
    </row>
    <row r="51" spans="1:9" s="66" customFormat="1" x14ac:dyDescent="0.3">
      <c r="A51" s="72" t="s">
        <v>816</v>
      </c>
      <c r="B51" s="24" t="s">
        <v>810</v>
      </c>
      <c r="C51" s="24">
        <v>15000</v>
      </c>
      <c r="D51" s="78"/>
      <c r="E51" s="25"/>
    </row>
    <row r="52" spans="1:9" s="66" customFormat="1" x14ac:dyDescent="0.3">
      <c r="A52" s="72" t="s">
        <v>811</v>
      </c>
      <c r="B52" s="24" t="s">
        <v>812</v>
      </c>
      <c r="C52" s="24">
        <v>10000</v>
      </c>
      <c r="D52" s="78"/>
      <c r="E52" s="25"/>
    </row>
    <row r="53" spans="1:9" s="8" customFormat="1" ht="13.5" customHeight="1" x14ac:dyDescent="0.25">
      <c r="A53" s="265" t="s">
        <v>124</v>
      </c>
      <c r="B53" s="31" t="s">
        <v>123</v>
      </c>
      <c r="C53" s="31">
        <f>SUM(C54)</f>
        <v>8060</v>
      </c>
      <c r="D53" s="78"/>
      <c r="E53" s="526"/>
      <c r="F53" s="99"/>
      <c r="G53" s="55"/>
      <c r="H53" s="43"/>
    </row>
    <row r="54" spans="1:9" s="66" customFormat="1" x14ac:dyDescent="0.3">
      <c r="A54" s="72" t="s">
        <v>93</v>
      </c>
      <c r="B54" s="24" t="s">
        <v>72</v>
      </c>
      <c r="C54" s="60">
        <v>8060</v>
      </c>
      <c r="D54" s="68"/>
      <c r="E54" s="527"/>
    </row>
    <row r="55" spans="1:9" s="66" customFormat="1" x14ac:dyDescent="0.3">
      <c r="A55" s="265" t="s">
        <v>151</v>
      </c>
      <c r="B55" s="31" t="s">
        <v>125</v>
      </c>
      <c r="C55" s="64">
        <f>SUM(C56:C58)</f>
        <v>50700</v>
      </c>
      <c r="D55" s="68"/>
      <c r="E55" s="527"/>
    </row>
    <row r="56" spans="1:9" s="8" customFormat="1" ht="13.5" customHeight="1" x14ac:dyDescent="0.25">
      <c r="A56" s="72" t="s">
        <v>152</v>
      </c>
      <c r="B56" s="24" t="s">
        <v>65</v>
      </c>
      <c r="C56" s="24">
        <v>36400</v>
      </c>
      <c r="D56" s="78"/>
      <c r="E56" s="526"/>
      <c r="F56" s="99"/>
      <c r="G56" s="55"/>
      <c r="H56" s="43"/>
    </row>
    <row r="57" spans="1:9" s="8" customFormat="1" ht="13.5" customHeight="1" x14ac:dyDescent="0.25">
      <c r="A57" s="72" t="s">
        <v>153</v>
      </c>
      <c r="B57" s="24" t="s">
        <v>70</v>
      </c>
      <c r="C57" s="24">
        <v>5200</v>
      </c>
      <c r="D57" s="78"/>
      <c r="E57" s="526"/>
      <c r="F57" s="99"/>
      <c r="G57" s="55"/>
      <c r="H57" s="43"/>
    </row>
    <row r="58" spans="1:9" s="8" customFormat="1" ht="13.5" customHeight="1" x14ac:dyDescent="0.25">
      <c r="A58" s="72" t="s">
        <v>155</v>
      </c>
      <c r="B58" s="24" t="s">
        <v>133</v>
      </c>
      <c r="C58" s="24">
        <v>9100</v>
      </c>
      <c r="D58" s="78"/>
      <c r="E58" s="526"/>
      <c r="F58" s="211"/>
      <c r="G58" s="55"/>
      <c r="H58" s="74"/>
    </row>
    <row r="59" spans="1:9" s="8" customFormat="1" ht="13.5" customHeight="1" thickBot="1" x14ac:dyDescent="0.3">
      <c r="A59" s="72"/>
      <c r="B59" s="24"/>
      <c r="C59" s="23"/>
      <c r="D59" s="78"/>
      <c r="E59" s="526"/>
      <c r="F59" s="211"/>
      <c r="G59" s="55"/>
      <c r="H59" s="74"/>
    </row>
    <row r="60" spans="1:9" s="66" customFormat="1" ht="13.5" thickBot="1" x14ac:dyDescent="0.35">
      <c r="A60" s="1098" t="s">
        <v>3</v>
      </c>
      <c r="B60" s="1099"/>
      <c r="C60" s="700">
        <f>C61+C63+C65+C67+C70+C73+C75</f>
        <v>1332060</v>
      </c>
      <c r="D60" s="213"/>
      <c r="E60" s="109"/>
    </row>
    <row r="61" spans="1:9" s="56" customFormat="1" x14ac:dyDescent="0.3">
      <c r="A61" s="265" t="s">
        <v>341</v>
      </c>
      <c r="B61" s="211" t="s">
        <v>342</v>
      </c>
      <c r="C61" s="64">
        <f>SUM(C62)</f>
        <v>5000</v>
      </c>
      <c r="D61" s="57"/>
      <c r="E61" s="528"/>
    </row>
    <row r="62" spans="1:9" s="8" customFormat="1" ht="13.5" customHeight="1" x14ac:dyDescent="0.25">
      <c r="A62" s="72" t="s">
        <v>349</v>
      </c>
      <c r="B62" s="59" t="s">
        <v>350</v>
      </c>
      <c r="C62" s="24">
        <v>5000</v>
      </c>
      <c r="D62" s="78"/>
      <c r="E62" s="526"/>
      <c r="F62" s="99"/>
      <c r="G62" s="55"/>
      <c r="H62" s="43"/>
      <c r="I62" s="83"/>
    </row>
    <row r="63" spans="1:9" s="8" customFormat="1" ht="13.5" customHeight="1" x14ac:dyDescent="0.25">
      <c r="A63" s="63" t="s">
        <v>110</v>
      </c>
      <c r="B63" s="63" t="s">
        <v>111</v>
      </c>
      <c r="C63" s="31">
        <f>SUM(C64)</f>
        <v>50560</v>
      </c>
      <c r="D63" s="78"/>
      <c r="E63" s="526"/>
      <c r="F63" s="99"/>
      <c r="G63" s="55"/>
      <c r="H63" s="43"/>
      <c r="I63" s="83"/>
    </row>
    <row r="64" spans="1:9" s="8" customFormat="1" ht="13.5" customHeight="1" x14ac:dyDescent="0.25">
      <c r="A64" s="59" t="s">
        <v>52</v>
      </c>
      <c r="B64" s="59" t="s">
        <v>15</v>
      </c>
      <c r="C64" s="24">
        <v>50560</v>
      </c>
      <c r="D64" s="84"/>
      <c r="E64" s="526"/>
      <c r="F64" s="99"/>
      <c r="G64" s="55"/>
      <c r="H64" s="43"/>
    </row>
    <row r="65" spans="1:9" s="8" customFormat="1" ht="13.5" customHeight="1" x14ac:dyDescent="0.25">
      <c r="A65" s="63" t="s">
        <v>120</v>
      </c>
      <c r="B65" s="63" t="s">
        <v>493</v>
      </c>
      <c r="C65" s="31">
        <f>SUM(C66)</f>
        <v>22500</v>
      </c>
      <c r="D65" s="84"/>
      <c r="E65" s="526"/>
      <c r="F65" s="99"/>
      <c r="G65" s="55"/>
      <c r="H65" s="43"/>
    </row>
    <row r="66" spans="1:9" s="8" customFormat="1" ht="13.5" customHeight="1" x14ac:dyDescent="0.25">
      <c r="A66" s="59" t="s">
        <v>136</v>
      </c>
      <c r="B66" s="59" t="s">
        <v>71</v>
      </c>
      <c r="C66" s="24">
        <v>22500</v>
      </c>
      <c r="D66" s="78"/>
      <c r="E66" s="526"/>
      <c r="F66" s="204"/>
      <c r="G66" s="55"/>
      <c r="H66" s="55"/>
    </row>
    <row r="67" spans="1:9" s="8" customFormat="1" ht="13.5" customHeight="1" x14ac:dyDescent="0.25">
      <c r="A67" s="265" t="s">
        <v>112</v>
      </c>
      <c r="B67" s="63" t="s">
        <v>157</v>
      </c>
      <c r="C67" s="31">
        <f>SUM(C68:C69)</f>
        <v>770000</v>
      </c>
      <c r="D67" s="84"/>
      <c r="E67" s="526"/>
      <c r="F67" s="99"/>
      <c r="G67" s="55"/>
      <c r="H67" s="43"/>
    </row>
    <row r="68" spans="1:9" s="56" customFormat="1" x14ac:dyDescent="0.3">
      <c r="A68" s="72" t="s">
        <v>138</v>
      </c>
      <c r="B68" s="59" t="s">
        <v>137</v>
      </c>
      <c r="C68" s="60">
        <v>10000</v>
      </c>
      <c r="D68" s="64"/>
      <c r="E68" s="528"/>
      <c r="F68" s="57"/>
    </row>
    <row r="69" spans="1:9" s="56" customFormat="1" x14ac:dyDescent="0.3">
      <c r="A69" s="72" t="s">
        <v>49</v>
      </c>
      <c r="B69" s="24" t="s">
        <v>87</v>
      </c>
      <c r="C69" s="60">
        <v>760000</v>
      </c>
      <c r="E69" s="528"/>
      <c r="F69" s="60"/>
    </row>
    <row r="70" spans="1:9" s="56" customFormat="1" x14ac:dyDescent="0.3">
      <c r="A70" s="265" t="s">
        <v>113</v>
      </c>
      <c r="B70" s="31" t="s">
        <v>114</v>
      </c>
      <c r="C70" s="64">
        <f>SUM(C71:C72)</f>
        <v>97000</v>
      </c>
      <c r="E70" s="528"/>
      <c r="F70" s="60"/>
    </row>
    <row r="71" spans="1:9" s="56" customFormat="1" x14ac:dyDescent="0.3">
      <c r="A71" s="72" t="s">
        <v>88</v>
      </c>
      <c r="B71" s="24" t="s">
        <v>64</v>
      </c>
      <c r="C71" s="60">
        <v>22000</v>
      </c>
      <c r="E71" s="528"/>
      <c r="F71" s="60"/>
    </row>
    <row r="72" spans="1:9" s="72" customFormat="1" ht="12.75" customHeight="1" x14ac:dyDescent="0.25">
      <c r="A72" s="72" t="s">
        <v>365</v>
      </c>
      <c r="B72" s="24" t="s">
        <v>366</v>
      </c>
      <c r="C72" s="24">
        <v>75000</v>
      </c>
      <c r="D72" s="590"/>
      <c r="E72" s="590"/>
      <c r="F72" s="605"/>
      <c r="G72" s="594"/>
      <c r="H72" s="590"/>
    </row>
    <row r="73" spans="1:9" s="56" customFormat="1" x14ac:dyDescent="0.3">
      <c r="A73" s="265" t="s">
        <v>132</v>
      </c>
      <c r="B73" s="31" t="s">
        <v>56</v>
      </c>
      <c r="C73" s="64">
        <f>SUM(C74)</f>
        <v>20000</v>
      </c>
      <c r="E73" s="528"/>
      <c r="F73" s="60"/>
    </row>
    <row r="74" spans="1:9" s="56" customFormat="1" x14ac:dyDescent="0.3">
      <c r="A74" s="72" t="s">
        <v>55</v>
      </c>
      <c r="B74" s="59" t="s">
        <v>56</v>
      </c>
      <c r="C74" s="60">
        <v>20000</v>
      </c>
      <c r="E74" s="528"/>
      <c r="F74" s="60"/>
    </row>
    <row r="75" spans="1:9" s="56" customFormat="1" x14ac:dyDescent="0.3">
      <c r="A75" s="265" t="s">
        <v>115</v>
      </c>
      <c r="B75" s="31" t="s">
        <v>8</v>
      </c>
      <c r="C75" s="64">
        <f>SUM(C76:C78)</f>
        <v>367000</v>
      </c>
      <c r="E75" s="528"/>
      <c r="F75" s="60"/>
    </row>
    <row r="76" spans="1:9" s="56" customFormat="1" x14ac:dyDescent="0.3">
      <c r="A76" s="72" t="s">
        <v>92</v>
      </c>
      <c r="B76" s="24" t="s">
        <v>8</v>
      </c>
      <c r="C76" s="60">
        <v>280000</v>
      </c>
      <c r="E76" s="528"/>
      <c r="F76" s="60"/>
      <c r="G76" s="66"/>
      <c r="H76" s="66"/>
      <c r="I76" s="66"/>
    </row>
    <row r="77" spans="1:9" s="56" customFormat="1" x14ac:dyDescent="0.3">
      <c r="A77" s="72" t="s">
        <v>94</v>
      </c>
      <c r="B77" s="24" t="s">
        <v>50</v>
      </c>
      <c r="C77" s="60">
        <v>52000</v>
      </c>
      <c r="E77" s="528"/>
      <c r="F77" s="64"/>
    </row>
    <row r="78" spans="1:9" s="66" customFormat="1" x14ac:dyDescent="0.3">
      <c r="A78" s="72" t="s">
        <v>90</v>
      </c>
      <c r="B78" s="24" t="s">
        <v>7</v>
      </c>
      <c r="C78" s="60">
        <v>35000</v>
      </c>
      <c r="D78" s="25"/>
      <c r="E78" s="530"/>
      <c r="F78" s="57"/>
      <c r="G78" s="56"/>
      <c r="H78" s="56"/>
      <c r="I78" s="56"/>
    </row>
    <row r="79" spans="1:9" s="66" customFormat="1" ht="13.5" thickBot="1" x14ac:dyDescent="0.35">
      <c r="A79" s="72"/>
      <c r="B79" s="24"/>
      <c r="C79" s="60"/>
      <c r="D79" s="25"/>
      <c r="E79" s="530"/>
      <c r="F79" s="57"/>
      <c r="G79" s="56"/>
      <c r="H79" s="56"/>
      <c r="I79" s="56"/>
    </row>
    <row r="80" spans="1:9" s="66" customFormat="1" ht="13.5" thickBot="1" x14ac:dyDescent="0.35">
      <c r="A80" s="1094" t="s">
        <v>4</v>
      </c>
      <c r="B80" s="1095"/>
      <c r="C80" s="702">
        <f>C81+C85</f>
        <v>140000</v>
      </c>
      <c r="D80" s="213"/>
      <c r="E80" s="527"/>
    </row>
    <row r="81" spans="1:8" s="56" customFormat="1" x14ac:dyDescent="0.3">
      <c r="A81" s="560" t="s">
        <v>116</v>
      </c>
      <c r="B81" s="211" t="s">
        <v>117</v>
      </c>
      <c r="C81" s="64">
        <f>SUM(C82:C84)</f>
        <v>122000</v>
      </c>
      <c r="D81" s="57"/>
      <c r="E81" s="528"/>
    </row>
    <row r="82" spans="1:8" s="66" customFormat="1" x14ac:dyDescent="0.3">
      <c r="A82" s="72" t="s">
        <v>91</v>
      </c>
      <c r="B82" s="70" t="s">
        <v>139</v>
      </c>
      <c r="C82" s="60">
        <v>87000</v>
      </c>
      <c r="D82" s="68"/>
      <c r="E82" s="527"/>
    </row>
    <row r="83" spans="1:8" s="66" customFormat="1" x14ac:dyDescent="0.3">
      <c r="A83" s="70" t="s">
        <v>57</v>
      </c>
      <c r="B83" s="70" t="s">
        <v>58</v>
      </c>
      <c r="C83" s="60">
        <v>20000</v>
      </c>
      <c r="D83" s="60"/>
      <c r="E83" s="527"/>
    </row>
    <row r="84" spans="1:8" s="8" customFormat="1" ht="13.5" customHeight="1" x14ac:dyDescent="0.25">
      <c r="A84" s="72" t="s">
        <v>814</v>
      </c>
      <c r="B84" s="23" t="s">
        <v>815</v>
      </c>
      <c r="C84" s="24">
        <v>15000</v>
      </c>
      <c r="D84" s="78"/>
      <c r="E84" s="25"/>
      <c r="F84" s="99"/>
      <c r="G84" s="55"/>
      <c r="H84" s="43"/>
    </row>
    <row r="85" spans="1:8" s="66" customFormat="1" x14ac:dyDescent="0.3">
      <c r="A85" s="265" t="s">
        <v>166</v>
      </c>
      <c r="B85" s="25" t="s">
        <v>51</v>
      </c>
      <c r="C85" s="64">
        <f>SUM(C86)</f>
        <v>18000</v>
      </c>
      <c r="D85" s="68"/>
      <c r="E85" s="527"/>
    </row>
    <row r="86" spans="1:8" s="66" customFormat="1" x14ac:dyDescent="0.3">
      <c r="A86" s="72" t="s">
        <v>167</v>
      </c>
      <c r="B86" s="23" t="s">
        <v>51</v>
      </c>
      <c r="C86" s="60">
        <v>18000</v>
      </c>
      <c r="D86" s="68"/>
      <c r="E86" s="527"/>
    </row>
    <row r="87" spans="1:8" s="66" customFormat="1" x14ac:dyDescent="0.3">
      <c r="A87" s="70"/>
      <c r="B87" s="70"/>
      <c r="C87" s="60"/>
      <c r="D87" s="60"/>
      <c r="E87" s="527"/>
    </row>
    <row r="88" spans="1:8" s="66" customFormat="1" x14ac:dyDescent="0.3">
      <c r="C88" s="68"/>
      <c r="D88" s="57"/>
      <c r="E88" s="527"/>
    </row>
    <row r="89" spans="1:8" s="66" customFormat="1" x14ac:dyDescent="0.3">
      <c r="C89" s="68"/>
      <c r="D89" s="57"/>
      <c r="E89" s="527"/>
    </row>
    <row r="90" spans="1:8" s="66" customFormat="1" x14ac:dyDescent="0.3">
      <c r="C90" s="68"/>
      <c r="D90" s="57"/>
      <c r="E90" s="527"/>
    </row>
    <row r="91" spans="1:8" s="66" customFormat="1" x14ac:dyDescent="0.3">
      <c r="C91" s="68"/>
      <c r="D91" s="57"/>
      <c r="E91" s="527"/>
    </row>
    <row r="92" spans="1:8" s="66" customFormat="1" x14ac:dyDescent="0.3">
      <c r="A92" s="3"/>
      <c r="B92" s="3"/>
      <c r="C92" s="18"/>
      <c r="D92" s="395"/>
      <c r="E92" s="483"/>
    </row>
  </sheetData>
  <mergeCells count="5">
    <mergeCell ref="A17:B17"/>
    <mergeCell ref="A40:B40"/>
    <mergeCell ref="A60:B60"/>
    <mergeCell ref="A80:B80"/>
    <mergeCell ref="A6:E10"/>
  </mergeCells>
  <pageMargins left="0.78740157480314965" right="0.19685039370078741" top="0.78740157480314965" bottom="0.78740157480314965" header="0.39370078740157483" footer="0.19685039370078741"/>
  <pageSetup paperSize="9" scale="90" orientation="portrait" r:id="rId1"/>
  <headerFooter alignWithMargins="0">
    <oddHeader>&amp;L&amp;"Arial Narrow,Normal"&amp;8Presupuesto Municipal 2020
&amp;R&amp;"Arial Narrow,Normal"&amp;8MUNICIPALIDAD DE VILLA MARÍA
Secretaría de Economía y Finanzas</oddHeader>
  </headerFooter>
  <rowBreaks count="2" manualBreakCount="2">
    <brk id="59" max="4" man="1"/>
    <brk id="9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4"/>
  <sheetViews>
    <sheetView view="pageLayout" topLeftCell="A34" zoomScale="98" zoomScaleNormal="130" zoomScalePageLayoutView="98" workbookViewId="0">
      <selection activeCell="D24" sqref="D24"/>
    </sheetView>
  </sheetViews>
  <sheetFormatPr baseColWidth="10" defaultColWidth="11.453125" defaultRowHeight="13" x14ac:dyDescent="0.3"/>
  <cols>
    <col min="1" max="1" width="9.7265625" style="52" customWidth="1"/>
    <col min="2" max="2" width="46" style="52" customWidth="1"/>
    <col min="3" max="3" width="12.7265625" style="62" customWidth="1"/>
    <col min="4" max="4" width="11.7265625" style="62" customWidth="1"/>
    <col min="5" max="5" width="14.54296875" style="62" customWidth="1"/>
    <col min="6" max="6" width="8.26953125" style="52" customWidth="1"/>
    <col min="7" max="7" width="7.453125" style="52" customWidth="1"/>
    <col min="8" max="16384" width="11.453125" style="52"/>
  </cols>
  <sheetData>
    <row r="1" spans="1:5" x14ac:dyDescent="0.3">
      <c r="A1" s="623" t="s">
        <v>561</v>
      </c>
      <c r="B1" s="623"/>
    </row>
    <row r="2" spans="1:5" x14ac:dyDescent="0.3">
      <c r="A2" s="453"/>
    </row>
    <row r="3" spans="1:5" ht="13.5" thickBot="1" x14ac:dyDescent="0.35"/>
    <row r="4" spans="1:5" x14ac:dyDescent="0.3">
      <c r="A4" s="845" t="s">
        <v>562</v>
      </c>
      <c r="B4" s="846"/>
      <c r="C4" s="847"/>
      <c r="D4" s="848" t="s">
        <v>6</v>
      </c>
      <c r="E4" s="900" t="s">
        <v>563</v>
      </c>
    </row>
    <row r="5" spans="1:5" ht="13.5" thickBot="1" x14ac:dyDescent="0.35">
      <c r="A5" s="849"/>
      <c r="B5" s="850"/>
      <c r="C5" s="851"/>
      <c r="D5" s="852"/>
      <c r="E5" s="840"/>
    </row>
    <row r="6" spans="1:5" s="454" customFormat="1" ht="13.5" customHeight="1" x14ac:dyDescent="0.25">
      <c r="A6" s="1123" t="s">
        <v>862</v>
      </c>
      <c r="B6" s="1124"/>
      <c r="C6" s="1124"/>
      <c r="D6" s="1124"/>
      <c r="E6" s="1125"/>
    </row>
    <row r="7" spans="1:5" s="454" customFormat="1" ht="11.5" x14ac:dyDescent="0.25">
      <c r="A7" s="1126"/>
      <c r="B7" s="1127"/>
      <c r="C7" s="1127"/>
      <c r="D7" s="1127"/>
      <c r="E7" s="1128"/>
    </row>
    <row r="8" spans="1:5" s="454" customFormat="1" ht="11.5" x14ac:dyDescent="0.25">
      <c r="A8" s="1126"/>
      <c r="B8" s="1127"/>
      <c r="C8" s="1127"/>
      <c r="D8" s="1127"/>
      <c r="E8" s="1128"/>
    </row>
    <row r="9" spans="1:5" s="454" customFormat="1" ht="11.5" x14ac:dyDescent="0.25">
      <c r="A9" s="1126"/>
      <c r="B9" s="1127"/>
      <c r="C9" s="1127"/>
      <c r="D9" s="1127"/>
      <c r="E9" s="1128"/>
    </row>
    <row r="10" spans="1:5" s="454" customFormat="1" ht="11.5" x14ac:dyDescent="0.25">
      <c r="A10" s="1126"/>
      <c r="B10" s="1127"/>
      <c r="C10" s="1127"/>
      <c r="D10" s="1127"/>
      <c r="E10" s="1128"/>
    </row>
    <row r="11" spans="1:5" s="454" customFormat="1" ht="11.5" x14ac:dyDescent="0.25">
      <c r="A11" s="1126"/>
      <c r="B11" s="1127"/>
      <c r="C11" s="1127"/>
      <c r="D11" s="1127"/>
      <c r="E11" s="1128"/>
    </row>
    <row r="12" spans="1:5" s="454" customFormat="1" ht="12" thickBot="1" x14ac:dyDescent="0.3">
      <c r="A12" s="1129"/>
      <c r="B12" s="1130"/>
      <c r="C12" s="1130"/>
      <c r="D12" s="1130"/>
      <c r="E12" s="1131"/>
    </row>
    <row r="13" spans="1:5" s="454" customFormat="1" ht="11.5" x14ac:dyDescent="0.25">
      <c r="A13" s="58" t="s">
        <v>1029</v>
      </c>
      <c r="B13" s="59"/>
      <c r="C13" s="60"/>
      <c r="D13" s="60"/>
      <c r="E13" s="61"/>
    </row>
    <row r="14" spans="1:5" s="454" customFormat="1" ht="11.5" x14ac:dyDescent="0.25">
      <c r="A14" s="58" t="s">
        <v>564</v>
      </c>
      <c r="B14" s="59"/>
      <c r="C14" s="60"/>
      <c r="D14" s="60"/>
      <c r="E14" s="61"/>
    </row>
    <row r="15" spans="1:5" s="454" customFormat="1" ht="11.5" x14ac:dyDescent="0.25">
      <c r="A15" s="58" t="s">
        <v>863</v>
      </c>
      <c r="B15" s="59"/>
      <c r="C15" s="60"/>
      <c r="D15" s="60"/>
      <c r="E15" s="61"/>
    </row>
    <row r="16" spans="1:5" s="454" customFormat="1" ht="12" thickBot="1" x14ac:dyDescent="0.3">
      <c r="A16" s="58" t="s">
        <v>13</v>
      </c>
      <c r="B16" s="59"/>
      <c r="C16" s="60"/>
      <c r="D16" s="60"/>
      <c r="E16" s="61"/>
    </row>
    <row r="17" spans="1:8" s="454" customFormat="1" ht="12" thickBot="1" x14ac:dyDescent="0.3">
      <c r="A17" s="841" t="s">
        <v>14</v>
      </c>
      <c r="B17" s="842"/>
      <c r="C17" s="843"/>
      <c r="D17" s="853"/>
      <c r="E17" s="844">
        <f>C19+C42+C62+C86</f>
        <v>9139001</v>
      </c>
      <c r="F17" s="854"/>
    </row>
    <row r="18" spans="1:8" s="234" customFormat="1" ht="12" thickBot="1" x14ac:dyDescent="0.3">
      <c r="A18" s="63"/>
      <c r="B18" s="63"/>
      <c r="C18" s="64"/>
      <c r="D18" s="64"/>
      <c r="E18" s="64"/>
    </row>
    <row r="19" spans="1:8" s="234" customFormat="1" ht="12" thickBot="1" x14ac:dyDescent="0.3">
      <c r="A19" s="1261" t="s">
        <v>1</v>
      </c>
      <c r="B19" s="1262"/>
      <c r="C19" s="808">
        <f>C20+C27+C34</f>
        <v>6770151</v>
      </c>
      <c r="D19" s="64"/>
      <c r="E19" s="186"/>
    </row>
    <row r="20" spans="1:8" s="43" customFormat="1" ht="12.75" customHeight="1" x14ac:dyDescent="0.3">
      <c r="A20" s="11" t="s">
        <v>97</v>
      </c>
      <c r="B20" s="211" t="s">
        <v>98</v>
      </c>
      <c r="C20" s="31">
        <f>SUM(C21:C26)</f>
        <v>759804</v>
      </c>
      <c r="D20" s="22"/>
      <c r="E20" s="24"/>
      <c r="F20" s="95"/>
    </row>
    <row r="21" spans="1:8" s="8" customFormat="1" ht="12.75" customHeight="1" x14ac:dyDescent="0.3">
      <c r="A21" s="12" t="s">
        <v>23</v>
      </c>
      <c r="B21" s="24" t="s">
        <v>20</v>
      </c>
      <c r="C21" s="24">
        <f>451538+44231+81277</f>
        <v>577046</v>
      </c>
      <c r="D21" s="22"/>
      <c r="E21" s="25"/>
      <c r="F21" s="92"/>
    </row>
    <row r="22" spans="1:8" s="8" customFormat="1" ht="12.75" customHeight="1" x14ac:dyDescent="0.3">
      <c r="A22" s="12" t="s">
        <v>24</v>
      </c>
      <c r="B22" s="24" t="s">
        <v>22</v>
      </c>
      <c r="C22" s="24">
        <f>20319+72247</f>
        <v>92566</v>
      </c>
      <c r="D22" s="22"/>
      <c r="E22" s="25"/>
      <c r="F22" s="92"/>
    </row>
    <row r="23" spans="1:8" s="9" customFormat="1" ht="12.75" customHeight="1" x14ac:dyDescent="0.3">
      <c r="A23" s="12" t="s">
        <v>25</v>
      </c>
      <c r="B23" s="24" t="s">
        <v>76</v>
      </c>
      <c r="C23" s="24">
        <f>75000+15189</f>
        <v>90189</v>
      </c>
      <c r="D23" s="22"/>
      <c r="E23" s="25"/>
      <c r="F23" s="92"/>
    </row>
    <row r="24" spans="1:8" s="9" customFormat="1" ht="12.75" customHeight="1" x14ac:dyDescent="0.3">
      <c r="A24" s="12" t="s">
        <v>26</v>
      </c>
      <c r="B24" s="24" t="s">
        <v>77</v>
      </c>
      <c r="C24" s="24">
        <v>1</v>
      </c>
      <c r="D24" s="22"/>
      <c r="E24" s="25"/>
      <c r="F24" s="92"/>
    </row>
    <row r="25" spans="1:8" s="9" customFormat="1" ht="12.75" customHeight="1" x14ac:dyDescent="0.3">
      <c r="A25" s="12" t="s">
        <v>27</v>
      </c>
      <c r="B25" s="24" t="s">
        <v>21</v>
      </c>
      <c r="C25" s="24">
        <v>1</v>
      </c>
      <c r="D25" s="22"/>
      <c r="E25" s="25"/>
      <c r="F25" s="92"/>
    </row>
    <row r="26" spans="1:8" s="9" customFormat="1" ht="12.75" customHeight="1" x14ac:dyDescent="0.3">
      <c r="A26" s="12" t="s">
        <v>28</v>
      </c>
      <c r="B26" s="24" t="s">
        <v>19</v>
      </c>
      <c r="C26" s="24">
        <v>1</v>
      </c>
      <c r="D26" s="22"/>
      <c r="E26" s="25"/>
      <c r="F26" s="92"/>
    </row>
    <row r="27" spans="1:8" s="9" customFormat="1" ht="12.75" customHeight="1" x14ac:dyDescent="0.3">
      <c r="A27" s="11" t="s">
        <v>99</v>
      </c>
      <c r="B27" s="31" t="s">
        <v>100</v>
      </c>
      <c r="C27" s="31">
        <f>SUM(C28:C33)</f>
        <v>6010341</v>
      </c>
      <c r="D27" s="22"/>
      <c r="E27" s="25"/>
      <c r="F27" s="92"/>
    </row>
    <row r="28" spans="1:8" s="9" customFormat="1" ht="12.75" customHeight="1" x14ac:dyDescent="0.3">
      <c r="A28" s="12" t="s">
        <v>30</v>
      </c>
      <c r="B28" s="24" t="s">
        <v>78</v>
      </c>
      <c r="C28" s="24">
        <f>4102970+206438+738535</f>
        <v>5047943</v>
      </c>
      <c r="D28" s="22"/>
      <c r="E28" s="25"/>
      <c r="F28" s="93"/>
    </row>
    <row r="29" spans="1:8" s="8" customFormat="1" ht="12.75" customHeight="1" x14ac:dyDescent="0.3">
      <c r="A29" s="12" t="s">
        <v>31</v>
      </c>
      <c r="B29" s="24" t="s">
        <v>79</v>
      </c>
      <c r="C29" s="24">
        <f>656475+184634</f>
        <v>841109</v>
      </c>
      <c r="D29" s="25"/>
      <c r="F29" s="54"/>
      <c r="G29" s="43"/>
      <c r="H29" s="43"/>
    </row>
    <row r="30" spans="1:8" s="8" customFormat="1" ht="12.75" customHeight="1" x14ac:dyDescent="0.3">
      <c r="A30" s="12" t="s">
        <v>32</v>
      </c>
      <c r="B30" s="24" t="s">
        <v>80</v>
      </c>
      <c r="C30" s="24">
        <v>121286</v>
      </c>
      <c r="D30" s="25"/>
      <c r="F30" s="92"/>
    </row>
    <row r="31" spans="1:8" s="9" customFormat="1" ht="12.75" customHeight="1" x14ac:dyDescent="0.3">
      <c r="A31" s="12" t="s">
        <v>33</v>
      </c>
      <c r="B31" s="24" t="s">
        <v>81</v>
      </c>
      <c r="C31" s="24">
        <v>1</v>
      </c>
      <c r="D31" s="25"/>
      <c r="F31" s="92"/>
    </row>
    <row r="32" spans="1:8" s="9" customFormat="1" ht="12.75" customHeight="1" x14ac:dyDescent="0.3">
      <c r="A32" s="12" t="s">
        <v>34</v>
      </c>
      <c r="B32" s="24" t="s">
        <v>29</v>
      </c>
      <c r="C32" s="24">
        <v>1</v>
      </c>
      <c r="D32" s="25"/>
      <c r="F32" s="92"/>
    </row>
    <row r="33" spans="1:7" s="9" customFormat="1" ht="12.75" customHeight="1" x14ac:dyDescent="0.3">
      <c r="A33" s="12" t="s">
        <v>83</v>
      </c>
      <c r="B33" s="24" t="s">
        <v>82</v>
      </c>
      <c r="C33" s="24">
        <v>1</v>
      </c>
      <c r="F33" s="93"/>
    </row>
    <row r="34" spans="1:7" s="9" customFormat="1" ht="12.75" customHeight="1" x14ac:dyDescent="0.3">
      <c r="A34" s="11" t="s">
        <v>101</v>
      </c>
      <c r="B34" s="31" t="s">
        <v>102</v>
      </c>
      <c r="C34" s="31">
        <f>SUM(C35:C40)</f>
        <v>6</v>
      </c>
      <c r="F34" s="93"/>
    </row>
    <row r="35" spans="1:7" s="8" customFormat="1" ht="12.75" customHeight="1" x14ac:dyDescent="0.25">
      <c r="A35" s="12" t="s">
        <v>39</v>
      </c>
      <c r="B35" s="24" t="s">
        <v>35</v>
      </c>
      <c r="C35" s="24">
        <v>1</v>
      </c>
      <c r="F35" s="25"/>
    </row>
    <row r="36" spans="1:7" s="8" customFormat="1" ht="12.75" customHeight="1" x14ac:dyDescent="0.25">
      <c r="A36" s="12" t="s">
        <v>40</v>
      </c>
      <c r="B36" s="24" t="s">
        <v>37</v>
      </c>
      <c r="C36" s="24">
        <v>1</v>
      </c>
      <c r="F36" s="25"/>
    </row>
    <row r="37" spans="1:7" s="9" customFormat="1" ht="12.75" customHeight="1" x14ac:dyDescent="0.25">
      <c r="A37" s="12" t="s">
        <v>41</v>
      </c>
      <c r="B37" s="24" t="s">
        <v>84</v>
      </c>
      <c r="C37" s="24">
        <v>1</v>
      </c>
      <c r="F37" s="25"/>
    </row>
    <row r="38" spans="1:7" s="9" customFormat="1" ht="12.75" customHeight="1" x14ac:dyDescent="0.25">
      <c r="A38" s="12" t="s">
        <v>42</v>
      </c>
      <c r="B38" s="24" t="s">
        <v>85</v>
      </c>
      <c r="C38" s="24">
        <v>1</v>
      </c>
      <c r="E38" s="25"/>
      <c r="F38" s="25"/>
    </row>
    <row r="39" spans="1:7" s="9" customFormat="1" ht="12.75" customHeight="1" x14ac:dyDescent="0.25">
      <c r="A39" s="12" t="s">
        <v>43</v>
      </c>
      <c r="B39" s="24" t="s">
        <v>36</v>
      </c>
      <c r="C39" s="24">
        <v>1</v>
      </c>
      <c r="E39" s="25"/>
      <c r="F39" s="25"/>
    </row>
    <row r="40" spans="1:7" s="9" customFormat="1" ht="12.75" customHeight="1" x14ac:dyDescent="0.25">
      <c r="A40" s="12" t="s">
        <v>44</v>
      </c>
      <c r="B40" s="24" t="s">
        <v>38</v>
      </c>
      <c r="C40" s="24">
        <v>1</v>
      </c>
      <c r="E40" s="25"/>
      <c r="F40" s="22"/>
    </row>
    <row r="41" spans="1:7" s="66" customFormat="1" ht="13.5" thickBot="1" x14ac:dyDescent="0.35">
      <c r="A41" s="59"/>
      <c r="B41" s="70"/>
      <c r="C41" s="67"/>
      <c r="D41" s="68"/>
      <c r="E41" s="68"/>
      <c r="F41" s="22"/>
    </row>
    <row r="42" spans="1:7" s="66" customFormat="1" ht="13.5" thickBot="1" x14ac:dyDescent="0.35">
      <c r="A42" s="1102" t="s">
        <v>2</v>
      </c>
      <c r="B42" s="1103"/>
      <c r="C42" s="699">
        <f>C43+C45+C48+C50+C55+C57</f>
        <v>320490</v>
      </c>
      <c r="D42" s="68"/>
      <c r="E42" s="109"/>
      <c r="F42" s="22"/>
    </row>
    <row r="43" spans="1:7" s="239" customFormat="1" x14ac:dyDescent="0.3">
      <c r="A43" s="11" t="s">
        <v>103</v>
      </c>
      <c r="B43" s="211" t="s">
        <v>104</v>
      </c>
      <c r="C43" s="563">
        <f>SUM(C44)</f>
        <v>64350</v>
      </c>
      <c r="D43" s="95"/>
      <c r="E43" s="238"/>
    </row>
    <row r="44" spans="1:7" s="43" customFormat="1" ht="13.5" customHeight="1" x14ac:dyDescent="0.25">
      <c r="A44" s="12" t="s">
        <v>46</v>
      </c>
      <c r="B44" s="43" t="s">
        <v>45</v>
      </c>
      <c r="C44" s="24">
        <v>64350</v>
      </c>
      <c r="D44" s="22"/>
      <c r="E44" s="31"/>
      <c r="G44" s="55"/>
    </row>
    <row r="45" spans="1:7" s="43" customFormat="1" ht="13.5" customHeight="1" x14ac:dyDescent="0.25">
      <c r="A45" s="11" t="s">
        <v>105</v>
      </c>
      <c r="B45" s="559" t="s">
        <v>106</v>
      </c>
      <c r="C45" s="31">
        <f>SUM(C46:C47)</f>
        <v>53420</v>
      </c>
      <c r="D45" s="22"/>
      <c r="E45" s="31"/>
      <c r="G45" s="55"/>
    </row>
    <row r="46" spans="1:7" s="43" customFormat="1" ht="13.5" customHeight="1" x14ac:dyDescent="0.25">
      <c r="A46" s="12" t="s">
        <v>67</v>
      </c>
      <c r="B46" s="43" t="s">
        <v>68</v>
      </c>
      <c r="C46" s="24">
        <v>18860</v>
      </c>
      <c r="D46" s="22"/>
      <c r="E46" s="31"/>
      <c r="G46" s="55"/>
    </row>
    <row r="47" spans="1:7" s="43" customFormat="1" ht="13.5" customHeight="1" x14ac:dyDescent="0.25">
      <c r="A47" s="12" t="s">
        <v>86</v>
      </c>
      <c r="B47" s="43" t="s">
        <v>66</v>
      </c>
      <c r="C47" s="24">
        <v>34560</v>
      </c>
      <c r="D47" s="22"/>
      <c r="E47" s="31"/>
      <c r="G47" s="55"/>
    </row>
    <row r="48" spans="1:7" s="43" customFormat="1" ht="13.5" customHeight="1" x14ac:dyDescent="0.25">
      <c r="A48" s="11" t="s">
        <v>107</v>
      </c>
      <c r="B48" s="559" t="s">
        <v>108</v>
      </c>
      <c r="C48" s="31">
        <f>SUM(C49)</f>
        <v>55430</v>
      </c>
      <c r="D48" s="22"/>
      <c r="E48" s="31"/>
      <c r="G48" s="55"/>
    </row>
    <row r="49" spans="1:8" s="8" customFormat="1" ht="13.5" customHeight="1" x14ac:dyDescent="0.25">
      <c r="A49" s="12" t="s">
        <v>47</v>
      </c>
      <c r="B49" s="24" t="s">
        <v>48</v>
      </c>
      <c r="C49" s="24">
        <v>55430</v>
      </c>
      <c r="D49" s="78"/>
      <c r="E49" s="25"/>
      <c r="F49" s="99"/>
      <c r="G49" s="55"/>
      <c r="H49" s="43"/>
    </row>
    <row r="50" spans="1:8" s="8" customFormat="1" ht="13.5" customHeight="1" x14ac:dyDescent="0.3">
      <c r="A50" s="11" t="s">
        <v>119</v>
      </c>
      <c r="B50" s="541" t="s">
        <v>191</v>
      </c>
      <c r="C50" s="31">
        <f>SUM(C51:C54)</f>
        <v>101880</v>
      </c>
      <c r="D50" s="78"/>
      <c r="E50" s="25"/>
      <c r="F50" s="99"/>
      <c r="G50" s="55"/>
      <c r="H50" s="43"/>
    </row>
    <row r="51" spans="1:8" s="8" customFormat="1" ht="13.5" customHeight="1" x14ac:dyDescent="0.25">
      <c r="A51" s="12" t="s">
        <v>150</v>
      </c>
      <c r="B51" s="43" t="s">
        <v>695</v>
      </c>
      <c r="C51" s="24">
        <v>28530</v>
      </c>
      <c r="D51" s="78"/>
      <c r="E51" s="25"/>
      <c r="F51" s="99"/>
      <c r="G51" s="55"/>
      <c r="H51" s="43"/>
    </row>
    <row r="52" spans="1:8" s="8" customFormat="1" ht="13.5" customHeight="1" x14ac:dyDescent="0.25">
      <c r="A52" s="12" t="s">
        <v>697</v>
      </c>
      <c r="B52" s="43" t="s">
        <v>696</v>
      </c>
      <c r="C52" s="24">
        <f>30000*1.17</f>
        <v>35100</v>
      </c>
      <c r="D52" s="78"/>
      <c r="E52" s="25"/>
      <c r="F52" s="99"/>
      <c r="G52" s="55"/>
      <c r="H52" s="43"/>
    </row>
    <row r="53" spans="1:8" s="66" customFormat="1" x14ac:dyDescent="0.3">
      <c r="A53" s="72" t="s">
        <v>816</v>
      </c>
      <c r="B53" s="24" t="s">
        <v>810</v>
      </c>
      <c r="C53" s="24">
        <v>19500</v>
      </c>
      <c r="D53" s="78"/>
      <c r="E53" s="25"/>
    </row>
    <row r="54" spans="1:8" s="66" customFormat="1" x14ac:dyDescent="0.3">
      <c r="A54" s="72" t="s">
        <v>811</v>
      </c>
      <c r="B54" s="24" t="s">
        <v>812</v>
      </c>
      <c r="C54" s="24">
        <v>18750</v>
      </c>
      <c r="D54" s="78"/>
      <c r="E54" s="25"/>
    </row>
    <row r="55" spans="1:8" s="66" customFormat="1" x14ac:dyDescent="0.3">
      <c r="A55" s="265" t="s">
        <v>124</v>
      </c>
      <c r="B55" s="559" t="s">
        <v>123</v>
      </c>
      <c r="C55" s="64">
        <f>SUM(C56)</f>
        <v>11210</v>
      </c>
      <c r="D55" s="68"/>
      <c r="E55" s="68"/>
    </row>
    <row r="56" spans="1:8" s="66" customFormat="1" x14ac:dyDescent="0.3">
      <c r="A56" s="72" t="s">
        <v>93</v>
      </c>
      <c r="B56" s="24" t="s">
        <v>72</v>
      </c>
      <c r="C56" s="60">
        <v>11210</v>
      </c>
      <c r="D56" s="68"/>
      <c r="E56" s="68"/>
    </row>
    <row r="57" spans="1:8" s="66" customFormat="1" x14ac:dyDescent="0.3">
      <c r="A57" s="265" t="s">
        <v>151</v>
      </c>
      <c r="B57" s="31" t="s">
        <v>125</v>
      </c>
      <c r="C57" s="64">
        <f>SUM(C58:C60)</f>
        <v>34200</v>
      </c>
      <c r="D57" s="68"/>
      <c r="E57" s="68"/>
    </row>
    <row r="58" spans="1:8" s="66" customFormat="1" x14ac:dyDescent="0.3">
      <c r="A58" s="72" t="s">
        <v>152</v>
      </c>
      <c r="B58" s="24" t="s">
        <v>65</v>
      </c>
      <c r="C58" s="60">
        <v>12250</v>
      </c>
      <c r="D58" s="68"/>
      <c r="E58" s="68"/>
    </row>
    <row r="59" spans="1:8" s="8" customFormat="1" ht="13.5" customHeight="1" x14ac:dyDescent="0.25">
      <c r="A59" s="72" t="s">
        <v>155</v>
      </c>
      <c r="B59" s="24" t="s">
        <v>125</v>
      </c>
      <c r="C59" s="24">
        <v>8450</v>
      </c>
      <c r="D59" s="78"/>
      <c r="E59" s="25"/>
      <c r="F59" s="211"/>
      <c r="G59" s="55"/>
      <c r="H59" s="74"/>
    </row>
    <row r="60" spans="1:8" s="8" customFormat="1" ht="13.5" customHeight="1" x14ac:dyDescent="0.25">
      <c r="A60" s="72" t="s">
        <v>864</v>
      </c>
      <c r="B60" s="43" t="s">
        <v>698</v>
      </c>
      <c r="C60" s="24">
        <v>13500</v>
      </c>
      <c r="D60" s="78"/>
      <c r="E60" s="25"/>
      <c r="F60" s="211"/>
      <c r="G60" s="55"/>
      <c r="H60" s="74"/>
    </row>
    <row r="61" spans="1:8" s="66" customFormat="1" ht="13.5" thickBot="1" x14ac:dyDescent="0.35">
      <c r="A61" s="70"/>
      <c r="B61" s="70"/>
      <c r="C61" s="67"/>
      <c r="D61" s="68"/>
      <c r="E61" s="68"/>
    </row>
    <row r="62" spans="1:8" s="66" customFormat="1" ht="13.5" thickBot="1" x14ac:dyDescent="0.35">
      <c r="A62" s="1098" t="s">
        <v>3</v>
      </c>
      <c r="B62" s="1099"/>
      <c r="C62" s="700">
        <f>C63+C69+C72+C74+C76+C79+C81</f>
        <v>1927370</v>
      </c>
      <c r="D62" s="68"/>
      <c r="E62" s="109"/>
    </row>
    <row r="63" spans="1:8" s="66" customFormat="1" x14ac:dyDescent="0.3">
      <c r="A63" s="265" t="s">
        <v>341</v>
      </c>
      <c r="B63" s="211" t="s">
        <v>342</v>
      </c>
      <c r="C63" s="563">
        <f>SUM(C64:C68)</f>
        <v>133030</v>
      </c>
      <c r="D63" s="68"/>
      <c r="E63" s="109"/>
    </row>
    <row r="64" spans="1:8" s="8" customFormat="1" ht="13.5" customHeight="1" x14ac:dyDescent="0.25">
      <c r="A64" s="72" t="s">
        <v>343</v>
      </c>
      <c r="B64" s="59" t="s">
        <v>344</v>
      </c>
      <c r="C64" s="24">
        <v>7720</v>
      </c>
      <c r="D64" s="78"/>
      <c r="F64" s="204"/>
      <c r="G64" s="55"/>
      <c r="H64" s="55"/>
    </row>
    <row r="65" spans="1:10" s="8" customFormat="1" ht="13.5" customHeight="1" x14ac:dyDescent="0.25">
      <c r="A65" s="72" t="s">
        <v>345</v>
      </c>
      <c r="B65" s="59" t="s">
        <v>346</v>
      </c>
      <c r="C65" s="24">
        <v>10140</v>
      </c>
      <c r="D65" s="78"/>
      <c r="E65" s="25"/>
      <c r="F65" s="204"/>
      <c r="G65" s="55"/>
      <c r="H65" s="55"/>
    </row>
    <row r="66" spans="1:10" s="8" customFormat="1" ht="13.5" customHeight="1" x14ac:dyDescent="0.25">
      <c r="A66" s="72" t="s">
        <v>347</v>
      </c>
      <c r="B66" s="59" t="s">
        <v>348</v>
      </c>
      <c r="C66" s="24">
        <v>9880</v>
      </c>
      <c r="D66" s="78"/>
      <c r="E66" s="25"/>
      <c r="F66" s="99"/>
      <c r="G66" s="55"/>
      <c r="H66" s="43"/>
      <c r="J66" s="83"/>
    </row>
    <row r="67" spans="1:10" s="8" customFormat="1" ht="13.5" customHeight="1" x14ac:dyDescent="0.25">
      <c r="A67" s="72" t="s">
        <v>384</v>
      </c>
      <c r="B67" s="59" t="s">
        <v>565</v>
      </c>
      <c r="C67" s="24">
        <v>14550</v>
      </c>
      <c r="D67" s="78"/>
      <c r="E67" s="25"/>
      <c r="F67" s="99"/>
      <c r="G67" s="55"/>
      <c r="H67" s="43"/>
      <c r="I67" s="83"/>
    </row>
    <row r="68" spans="1:10" s="8" customFormat="1" ht="13.5" customHeight="1" x14ac:dyDescent="0.25">
      <c r="A68" s="72" t="s">
        <v>349</v>
      </c>
      <c r="B68" s="59" t="s">
        <v>350</v>
      </c>
      <c r="C68" s="24">
        <v>90740</v>
      </c>
      <c r="D68" s="78"/>
      <c r="E68" s="25"/>
      <c r="F68" s="99"/>
      <c r="G68" s="55"/>
      <c r="H68" s="43"/>
      <c r="I68" s="83"/>
    </row>
    <row r="69" spans="1:10" s="66" customFormat="1" x14ac:dyDescent="0.3">
      <c r="A69" s="265" t="s">
        <v>110</v>
      </c>
      <c r="B69" s="63" t="s">
        <v>111</v>
      </c>
      <c r="C69" s="64">
        <f>SUM(C70:C71)</f>
        <v>317100</v>
      </c>
      <c r="D69" s="64"/>
      <c r="E69" s="57"/>
      <c r="F69" s="57"/>
    </row>
    <row r="70" spans="1:10" s="43" customFormat="1" ht="13.5" customHeight="1" x14ac:dyDescent="0.25">
      <c r="A70" s="12" t="s">
        <v>160</v>
      </c>
      <c r="B70" s="59" t="s">
        <v>159</v>
      </c>
      <c r="C70" s="24">
        <v>276480</v>
      </c>
      <c r="D70" s="22"/>
      <c r="E70" s="31"/>
      <c r="F70" s="99"/>
      <c r="G70" s="55"/>
      <c r="I70" s="55"/>
    </row>
    <row r="71" spans="1:10" s="8" customFormat="1" ht="13.5" customHeight="1" x14ac:dyDescent="0.25">
      <c r="A71" s="72" t="s">
        <v>52</v>
      </c>
      <c r="B71" s="23" t="s">
        <v>15</v>
      </c>
      <c r="C71" s="24">
        <v>40620</v>
      </c>
      <c r="D71" s="78"/>
      <c r="E71" s="25"/>
      <c r="F71" s="204"/>
      <c r="G71" s="55"/>
      <c r="H71" s="55"/>
    </row>
    <row r="72" spans="1:10" s="8" customFormat="1" ht="13.5" customHeight="1" x14ac:dyDescent="0.25">
      <c r="A72" s="63" t="s">
        <v>120</v>
      </c>
      <c r="B72" s="25" t="s">
        <v>121</v>
      </c>
      <c r="C72" s="31">
        <f>SUM(C73)</f>
        <v>17250</v>
      </c>
      <c r="D72" s="78"/>
      <c r="E72" s="25"/>
      <c r="F72" s="204"/>
      <c r="G72" s="55"/>
      <c r="H72" s="55"/>
    </row>
    <row r="73" spans="1:10" s="8" customFormat="1" ht="13.5" customHeight="1" x14ac:dyDescent="0.25">
      <c r="A73" s="59" t="s">
        <v>136</v>
      </c>
      <c r="B73" s="59" t="s">
        <v>71</v>
      </c>
      <c r="C73" s="24">
        <v>17250</v>
      </c>
      <c r="D73" s="78"/>
      <c r="E73" s="25"/>
      <c r="F73" s="204"/>
      <c r="G73" s="55"/>
      <c r="H73" s="55"/>
    </row>
    <row r="74" spans="1:10" s="8" customFormat="1" ht="13.5" customHeight="1" x14ac:dyDescent="0.25">
      <c r="A74" s="265" t="s">
        <v>112</v>
      </c>
      <c r="B74" s="63" t="s">
        <v>157</v>
      </c>
      <c r="C74" s="31">
        <f>SUM(C75)</f>
        <v>700800</v>
      </c>
      <c r="D74" s="78"/>
      <c r="E74" s="25"/>
      <c r="F74" s="204"/>
      <c r="G74" s="55"/>
      <c r="H74" s="55"/>
    </row>
    <row r="75" spans="1:10" s="43" customFormat="1" ht="13.5" customHeight="1" x14ac:dyDescent="0.25">
      <c r="A75" s="12" t="s">
        <v>49</v>
      </c>
      <c r="B75" s="24" t="s">
        <v>87</v>
      </c>
      <c r="C75" s="24">
        <v>700800</v>
      </c>
      <c r="D75" s="24"/>
      <c r="F75" s="99"/>
      <c r="G75" s="55"/>
      <c r="J75" s="55"/>
    </row>
    <row r="76" spans="1:10" s="8" customFormat="1" ht="13.5" customHeight="1" x14ac:dyDescent="0.25">
      <c r="A76" s="265" t="s">
        <v>113</v>
      </c>
      <c r="B76" s="31" t="s">
        <v>114</v>
      </c>
      <c r="C76" s="31">
        <f>SUM(C77:C78)</f>
        <v>19650</v>
      </c>
      <c r="D76" s="23"/>
      <c r="F76" s="99"/>
      <c r="G76" s="55"/>
      <c r="H76" s="43"/>
      <c r="J76" s="83"/>
    </row>
    <row r="77" spans="1:10" s="8" customFormat="1" ht="13.5" customHeight="1" x14ac:dyDescent="0.25">
      <c r="A77" s="72" t="s">
        <v>75</v>
      </c>
      <c r="B77" s="24" t="s">
        <v>73</v>
      </c>
      <c r="C77" s="24">
        <v>6180</v>
      </c>
      <c r="D77" s="25"/>
      <c r="F77" s="99"/>
      <c r="G77" s="55"/>
      <c r="H77" s="43"/>
      <c r="I77" s="83"/>
    </row>
    <row r="78" spans="1:10" s="8" customFormat="1" ht="13.5" customHeight="1" x14ac:dyDescent="0.25">
      <c r="A78" s="72" t="s">
        <v>88</v>
      </c>
      <c r="B78" s="24" t="s">
        <v>64</v>
      </c>
      <c r="C78" s="24">
        <v>13470</v>
      </c>
      <c r="D78" s="25"/>
      <c r="F78" s="99"/>
      <c r="G78" s="55"/>
      <c r="H78" s="43"/>
    </row>
    <row r="79" spans="1:10" s="8" customFormat="1" ht="13.5" customHeight="1" x14ac:dyDescent="0.25">
      <c r="A79" s="560" t="s">
        <v>132</v>
      </c>
      <c r="B79" s="63" t="s">
        <v>56</v>
      </c>
      <c r="C79" s="31">
        <f>SUM(C80)</f>
        <v>50540</v>
      </c>
      <c r="D79" s="25"/>
      <c r="F79" s="99"/>
      <c r="G79" s="55"/>
      <c r="H79" s="43"/>
    </row>
    <row r="80" spans="1:10" s="56" customFormat="1" x14ac:dyDescent="0.3">
      <c r="A80" s="70" t="s">
        <v>55</v>
      </c>
      <c r="B80" s="59" t="s">
        <v>56</v>
      </c>
      <c r="C80" s="60">
        <v>50540</v>
      </c>
      <c r="D80" s="57"/>
    </row>
    <row r="81" spans="1:8" s="56" customFormat="1" x14ac:dyDescent="0.3">
      <c r="A81" s="265" t="s">
        <v>115</v>
      </c>
      <c r="B81" s="31" t="s">
        <v>8</v>
      </c>
      <c r="C81" s="64">
        <f>SUM(C82:C84)</f>
        <v>689000</v>
      </c>
      <c r="D81" s="57"/>
    </row>
    <row r="82" spans="1:8" s="66" customFormat="1" x14ac:dyDescent="0.3">
      <c r="A82" s="72" t="s">
        <v>92</v>
      </c>
      <c r="B82" s="24" t="s">
        <v>8</v>
      </c>
      <c r="C82" s="60">
        <v>525400</v>
      </c>
      <c r="D82" s="68"/>
    </row>
    <row r="83" spans="1:8" s="66" customFormat="1" x14ac:dyDescent="0.3">
      <c r="A83" s="72" t="s">
        <v>94</v>
      </c>
      <c r="B83" s="24" t="s">
        <v>50</v>
      </c>
      <c r="C83" s="60">
        <v>143600</v>
      </c>
      <c r="D83" s="68"/>
      <c r="E83" s="68"/>
    </row>
    <row r="84" spans="1:8" s="66" customFormat="1" x14ac:dyDescent="0.3">
      <c r="A84" s="72" t="s">
        <v>90</v>
      </c>
      <c r="B84" s="24" t="s">
        <v>7</v>
      </c>
      <c r="C84" s="60">
        <v>20000</v>
      </c>
      <c r="D84" s="68"/>
      <c r="E84" s="68"/>
    </row>
    <row r="85" spans="1:8" s="66" customFormat="1" ht="13.5" thickBot="1" x14ac:dyDescent="0.35">
      <c r="A85" s="70"/>
      <c r="B85" s="70"/>
      <c r="C85" s="67"/>
      <c r="D85" s="68"/>
      <c r="E85" s="68"/>
    </row>
    <row r="86" spans="1:8" s="66" customFormat="1" ht="13.5" thickBot="1" x14ac:dyDescent="0.35">
      <c r="A86" s="1094" t="s">
        <v>4</v>
      </c>
      <c r="B86" s="1095"/>
      <c r="C86" s="702">
        <f>+C87+C93+C91</f>
        <v>120990</v>
      </c>
      <c r="D86" s="68"/>
      <c r="E86" s="109"/>
    </row>
    <row r="87" spans="1:8" s="239" customFormat="1" x14ac:dyDescent="0.3">
      <c r="A87" s="265" t="s">
        <v>116</v>
      </c>
      <c r="B87" s="211" t="s">
        <v>117</v>
      </c>
      <c r="C87" s="563">
        <f>SUM(C88:C90)</f>
        <v>63320</v>
      </c>
      <c r="D87" s="95"/>
      <c r="E87" s="238"/>
    </row>
    <row r="88" spans="1:8" s="66" customFormat="1" x14ac:dyDescent="0.3">
      <c r="A88" s="72" t="s">
        <v>91</v>
      </c>
      <c r="B88" s="70" t="s">
        <v>139</v>
      </c>
      <c r="C88" s="60">
        <v>28320</v>
      </c>
      <c r="D88" s="68"/>
      <c r="E88" s="68"/>
    </row>
    <row r="89" spans="1:8" s="66" customFormat="1" x14ac:dyDescent="0.3">
      <c r="A89" s="70" t="s">
        <v>57</v>
      </c>
      <c r="B89" s="70" t="s">
        <v>58</v>
      </c>
      <c r="C89" s="60">
        <v>20000</v>
      </c>
      <c r="D89" s="60"/>
      <c r="E89" s="527"/>
    </row>
    <row r="90" spans="1:8" s="8" customFormat="1" ht="13.5" customHeight="1" x14ac:dyDescent="0.25">
      <c r="A90" s="72" t="s">
        <v>814</v>
      </c>
      <c r="B90" s="23" t="s">
        <v>815</v>
      </c>
      <c r="C90" s="24">
        <v>15000</v>
      </c>
      <c r="D90" s="78"/>
      <c r="E90" s="25"/>
      <c r="F90" s="99"/>
      <c r="G90" s="55"/>
      <c r="H90" s="43"/>
    </row>
    <row r="91" spans="1:8" s="8" customFormat="1" ht="13.5" customHeight="1" x14ac:dyDescent="0.25">
      <c r="A91" s="265" t="s">
        <v>131</v>
      </c>
      <c r="B91" s="559" t="s">
        <v>865</v>
      </c>
      <c r="C91" s="31">
        <f>SUM(C92)</f>
        <v>50000</v>
      </c>
      <c r="D91" s="78"/>
      <c r="E91" s="25"/>
      <c r="F91" s="99"/>
      <c r="G91" s="55"/>
      <c r="H91" s="43"/>
    </row>
    <row r="92" spans="1:8" s="8" customFormat="1" ht="13.5" customHeight="1" x14ac:dyDescent="0.25">
      <c r="A92" s="72" t="s">
        <v>165</v>
      </c>
      <c r="B92" s="43" t="s">
        <v>865</v>
      </c>
      <c r="C92" s="24">
        <v>50000</v>
      </c>
      <c r="D92" s="78"/>
      <c r="E92" s="25"/>
      <c r="F92" s="99"/>
      <c r="G92" s="55"/>
      <c r="H92" s="43"/>
    </row>
    <row r="93" spans="1:8" s="66" customFormat="1" x14ac:dyDescent="0.3">
      <c r="A93" s="265" t="s">
        <v>166</v>
      </c>
      <c r="B93" s="25" t="s">
        <v>134</v>
      </c>
      <c r="C93" s="64">
        <f>SUM(C94)</f>
        <v>7670</v>
      </c>
      <c r="D93" s="68"/>
      <c r="E93" s="68"/>
    </row>
    <row r="94" spans="1:8" s="8" customFormat="1" ht="13.5" customHeight="1" x14ac:dyDescent="0.25">
      <c r="A94" s="72" t="s">
        <v>167</v>
      </c>
      <c r="B94" s="23" t="s">
        <v>51</v>
      </c>
      <c r="C94" s="24">
        <v>7670</v>
      </c>
      <c r="D94" s="232"/>
      <c r="E94" s="9"/>
      <c r="F94" s="204"/>
    </row>
    <row r="95" spans="1:8" s="8" customFormat="1" ht="13.5" customHeight="1" x14ac:dyDescent="0.25">
      <c r="A95" s="72"/>
      <c r="B95" s="23"/>
      <c r="C95" s="24"/>
      <c r="D95" s="232"/>
      <c r="E95" s="9"/>
      <c r="F95" s="204"/>
    </row>
    <row r="96" spans="1:8" s="66" customFormat="1" ht="13.5" thickBot="1" x14ac:dyDescent="0.35">
      <c r="A96" s="70"/>
      <c r="B96" s="70"/>
      <c r="C96" s="67"/>
      <c r="D96" s="68"/>
      <c r="E96" s="68"/>
    </row>
    <row r="97" spans="1:5" s="66" customFormat="1" x14ac:dyDescent="0.3">
      <c r="A97" s="845" t="s">
        <v>834</v>
      </c>
      <c r="B97" s="846"/>
      <c r="C97" s="847"/>
      <c r="D97" s="848" t="s">
        <v>6</v>
      </c>
      <c r="E97" s="900" t="s">
        <v>804</v>
      </c>
    </row>
    <row r="98" spans="1:5" s="66" customFormat="1" ht="13.5" thickBot="1" x14ac:dyDescent="0.35">
      <c r="A98" s="849"/>
      <c r="B98" s="850"/>
      <c r="C98" s="851"/>
      <c r="D98" s="852"/>
      <c r="E98" s="840"/>
    </row>
    <row r="99" spans="1:5" ht="12.75" customHeight="1" x14ac:dyDescent="0.3">
      <c r="A99" s="1123" t="s">
        <v>1034</v>
      </c>
      <c r="B99" s="1124"/>
      <c r="C99" s="1124"/>
      <c r="D99" s="1124"/>
      <c r="E99" s="1125"/>
    </row>
    <row r="100" spans="1:5" x14ac:dyDescent="0.3">
      <c r="A100" s="1126"/>
      <c r="B100" s="1127"/>
      <c r="C100" s="1127"/>
      <c r="D100" s="1127"/>
      <c r="E100" s="1128"/>
    </row>
    <row r="101" spans="1:5" x14ac:dyDescent="0.3">
      <c r="A101" s="1126"/>
      <c r="B101" s="1127"/>
      <c r="C101" s="1127"/>
      <c r="D101" s="1127"/>
      <c r="E101" s="1128"/>
    </row>
    <row r="102" spans="1:5" x14ac:dyDescent="0.3">
      <c r="A102" s="1126"/>
      <c r="B102" s="1127"/>
      <c r="C102" s="1127"/>
      <c r="D102" s="1127"/>
      <c r="E102" s="1128"/>
    </row>
    <row r="103" spans="1:5" x14ac:dyDescent="0.3">
      <c r="A103" s="1126"/>
      <c r="B103" s="1127"/>
      <c r="C103" s="1127"/>
      <c r="D103" s="1127"/>
      <c r="E103" s="1128"/>
    </row>
    <row r="104" spans="1:5" x14ac:dyDescent="0.3">
      <c r="A104" s="1126"/>
      <c r="B104" s="1127"/>
      <c r="C104" s="1127"/>
      <c r="D104" s="1127"/>
      <c r="E104" s="1128"/>
    </row>
    <row r="105" spans="1:5" ht="27" customHeight="1" thickBot="1" x14ac:dyDescent="0.35">
      <c r="A105" s="1129"/>
      <c r="B105" s="1130"/>
      <c r="C105" s="1130"/>
      <c r="D105" s="1130"/>
      <c r="E105" s="1131"/>
    </row>
    <row r="106" spans="1:5" x14ac:dyDescent="0.3">
      <c r="A106" s="58" t="s">
        <v>1029</v>
      </c>
      <c r="B106" s="59"/>
      <c r="C106" s="60"/>
      <c r="D106" s="60"/>
      <c r="E106" s="61"/>
    </row>
    <row r="107" spans="1:5" x14ac:dyDescent="0.3">
      <c r="A107" s="58" t="s">
        <v>564</v>
      </c>
      <c r="B107" s="59"/>
      <c r="C107" s="60"/>
      <c r="D107" s="60"/>
      <c r="E107" s="61"/>
    </row>
    <row r="108" spans="1:5" x14ac:dyDescent="0.3">
      <c r="A108" s="58" t="s">
        <v>863</v>
      </c>
      <c r="B108" s="59"/>
      <c r="C108" s="60"/>
      <c r="D108" s="60"/>
      <c r="E108" s="61"/>
    </row>
    <row r="109" spans="1:5" ht="13.5" thickBot="1" x14ac:dyDescent="0.35">
      <c r="A109" s="58" t="s">
        <v>13</v>
      </c>
      <c r="B109" s="59"/>
      <c r="C109" s="60"/>
      <c r="D109" s="60"/>
      <c r="E109" s="61"/>
    </row>
    <row r="110" spans="1:5" ht="13.5" thickBot="1" x14ac:dyDescent="0.35">
      <c r="A110" s="841" t="s">
        <v>14</v>
      </c>
      <c r="B110" s="842"/>
      <c r="C110" s="843"/>
      <c r="D110" s="853"/>
      <c r="E110" s="844">
        <f>C112+C128+C154</f>
        <v>1179210</v>
      </c>
    </row>
    <row r="111" spans="1:5" ht="13.5" thickBot="1" x14ac:dyDescent="0.35"/>
    <row r="112" spans="1:5" ht="13.5" thickBot="1" x14ac:dyDescent="0.35">
      <c r="A112" s="1102" t="s">
        <v>2</v>
      </c>
      <c r="B112" s="1103"/>
      <c r="C112" s="699">
        <f>C113+C115+C118+C122+C124+C120</f>
        <v>305230</v>
      </c>
    </row>
    <row r="113" spans="1:3" x14ac:dyDescent="0.3">
      <c r="A113" s="11" t="s">
        <v>103</v>
      </c>
      <c r="B113" s="211" t="s">
        <v>104</v>
      </c>
      <c r="C113" s="563">
        <f>SUM(C114)</f>
        <v>49140</v>
      </c>
    </row>
    <row r="114" spans="1:3" x14ac:dyDescent="0.3">
      <c r="A114" s="12" t="s">
        <v>46</v>
      </c>
      <c r="B114" s="43" t="s">
        <v>45</v>
      </c>
      <c r="C114" s="24">
        <v>49140</v>
      </c>
    </row>
    <row r="115" spans="1:3" x14ac:dyDescent="0.3">
      <c r="A115" s="11" t="s">
        <v>105</v>
      </c>
      <c r="B115" s="559" t="s">
        <v>106</v>
      </c>
      <c r="C115" s="31">
        <f>SUM(C116:C117)</f>
        <v>58500</v>
      </c>
    </row>
    <row r="116" spans="1:3" hidden="1" x14ac:dyDescent="0.3">
      <c r="A116" s="12" t="s">
        <v>67</v>
      </c>
      <c r="B116" s="43" t="s">
        <v>68</v>
      </c>
      <c r="C116" s="24">
        <v>0</v>
      </c>
    </row>
    <row r="117" spans="1:3" x14ac:dyDescent="0.3">
      <c r="A117" s="12" t="s">
        <v>86</v>
      </c>
      <c r="B117" s="43" t="s">
        <v>66</v>
      </c>
      <c r="C117" s="24">
        <f>50000*1.17</f>
        <v>58500</v>
      </c>
    </row>
    <row r="118" spans="1:3" x14ac:dyDescent="0.3">
      <c r="A118" s="11" t="s">
        <v>107</v>
      </c>
      <c r="B118" s="559" t="s">
        <v>108</v>
      </c>
      <c r="C118" s="31">
        <f>SUM(C119)</f>
        <v>35100</v>
      </c>
    </row>
    <row r="119" spans="1:3" x14ac:dyDescent="0.3">
      <c r="A119" s="12" t="s">
        <v>47</v>
      </c>
      <c r="B119" s="24" t="s">
        <v>48</v>
      </c>
      <c r="C119" s="24">
        <f>30000*1.17</f>
        <v>35100</v>
      </c>
    </row>
    <row r="120" spans="1:3" x14ac:dyDescent="0.3">
      <c r="A120" s="11" t="s">
        <v>195</v>
      </c>
      <c r="B120" s="559" t="s">
        <v>194</v>
      </c>
      <c r="C120" s="31">
        <f>SUM(C121)</f>
        <v>50000</v>
      </c>
    </row>
    <row r="121" spans="1:3" x14ac:dyDescent="0.3">
      <c r="A121" s="12" t="s">
        <v>193</v>
      </c>
      <c r="B121" s="43" t="s">
        <v>192</v>
      </c>
      <c r="C121" s="24">
        <v>50000</v>
      </c>
    </row>
    <row r="122" spans="1:3" x14ac:dyDescent="0.3">
      <c r="A122" s="265" t="s">
        <v>124</v>
      </c>
      <c r="B122" s="559" t="s">
        <v>123</v>
      </c>
      <c r="C122" s="64">
        <f>SUM(C123)</f>
        <v>17550</v>
      </c>
    </row>
    <row r="123" spans="1:3" x14ac:dyDescent="0.3">
      <c r="A123" s="72" t="s">
        <v>93</v>
      </c>
      <c r="B123" s="24" t="s">
        <v>72</v>
      </c>
      <c r="C123" s="60">
        <f>15000*1.17</f>
        <v>17550</v>
      </c>
    </row>
    <row r="124" spans="1:3" x14ac:dyDescent="0.3">
      <c r="A124" s="265" t="s">
        <v>151</v>
      </c>
      <c r="B124" s="31" t="s">
        <v>125</v>
      </c>
      <c r="C124" s="64">
        <f>SUM(C125:C126)</f>
        <v>94940</v>
      </c>
    </row>
    <row r="125" spans="1:3" x14ac:dyDescent="0.3">
      <c r="A125" s="72" t="s">
        <v>155</v>
      </c>
      <c r="B125" s="24" t="s">
        <v>125</v>
      </c>
      <c r="C125" s="24">
        <f>14000*1.17</f>
        <v>16379.999999999998</v>
      </c>
    </row>
    <row r="126" spans="1:3" x14ac:dyDescent="0.3">
      <c r="A126" s="72" t="s">
        <v>699</v>
      </c>
      <c r="B126" s="43" t="s">
        <v>698</v>
      </c>
      <c r="C126" s="67">
        <v>78560</v>
      </c>
    </row>
    <row r="127" spans="1:3" ht="13.5" thickBot="1" x14ac:dyDescent="0.35">
      <c r="A127" s="70"/>
      <c r="B127" s="212"/>
      <c r="C127" s="67"/>
    </row>
    <row r="128" spans="1:3" ht="13.5" thickBot="1" x14ac:dyDescent="0.35">
      <c r="A128" s="1098" t="s">
        <v>3</v>
      </c>
      <c r="B128" s="1099"/>
      <c r="C128" s="700">
        <f>C129+C136+C139+C141+C143+C146+C148</f>
        <v>850500</v>
      </c>
    </row>
    <row r="129" spans="1:3" hidden="1" x14ac:dyDescent="0.3">
      <c r="A129" s="265" t="s">
        <v>341</v>
      </c>
      <c r="B129" s="211" t="s">
        <v>342</v>
      </c>
      <c r="C129" s="563">
        <f>SUM(C130:C135)</f>
        <v>0</v>
      </c>
    </row>
    <row r="130" spans="1:3" hidden="1" x14ac:dyDescent="0.3">
      <c r="A130" s="72" t="s">
        <v>343</v>
      </c>
      <c r="B130" s="59" t="s">
        <v>344</v>
      </c>
      <c r="C130" s="24">
        <v>0</v>
      </c>
    </row>
    <row r="131" spans="1:3" hidden="1" x14ac:dyDescent="0.3">
      <c r="A131" s="72" t="s">
        <v>345</v>
      </c>
      <c r="B131" s="59" t="s">
        <v>346</v>
      </c>
      <c r="C131" s="24">
        <v>0</v>
      </c>
    </row>
    <row r="132" spans="1:3" hidden="1" x14ac:dyDescent="0.3">
      <c r="A132" s="72" t="s">
        <v>347</v>
      </c>
      <c r="B132" s="59" t="s">
        <v>348</v>
      </c>
      <c r="C132" s="24">
        <v>0</v>
      </c>
    </row>
    <row r="133" spans="1:3" hidden="1" x14ac:dyDescent="0.3">
      <c r="A133" s="72" t="s">
        <v>384</v>
      </c>
      <c r="B133" s="59" t="s">
        <v>565</v>
      </c>
      <c r="C133" s="24">
        <v>0</v>
      </c>
    </row>
    <row r="134" spans="1:3" hidden="1" x14ac:dyDescent="0.3">
      <c r="A134" s="72" t="s">
        <v>349</v>
      </c>
      <c r="B134" s="59" t="s">
        <v>350</v>
      </c>
      <c r="C134" s="24">
        <v>0</v>
      </c>
    </row>
    <row r="135" spans="1:3" hidden="1" x14ac:dyDescent="0.3">
      <c r="A135" s="72" t="s">
        <v>351</v>
      </c>
      <c r="B135" s="59" t="s">
        <v>352</v>
      </c>
      <c r="C135" s="60">
        <v>0</v>
      </c>
    </row>
    <row r="136" spans="1:3" x14ac:dyDescent="0.3">
      <c r="A136" s="265" t="s">
        <v>110</v>
      </c>
      <c r="B136" s="63" t="s">
        <v>111</v>
      </c>
      <c r="C136" s="64">
        <f>SUM(C137:C138)</f>
        <v>22340</v>
      </c>
    </row>
    <row r="137" spans="1:3" hidden="1" x14ac:dyDescent="0.3">
      <c r="A137" s="72" t="s">
        <v>160</v>
      </c>
      <c r="B137" s="59" t="s">
        <v>159</v>
      </c>
      <c r="C137" s="24">
        <v>0</v>
      </c>
    </row>
    <row r="138" spans="1:3" x14ac:dyDescent="0.3">
      <c r="A138" s="72" t="s">
        <v>52</v>
      </c>
      <c r="B138" s="23" t="s">
        <v>15</v>
      </c>
      <c r="C138" s="24">
        <v>22340</v>
      </c>
    </row>
    <row r="139" spans="1:3" x14ac:dyDescent="0.3">
      <c r="A139" s="63" t="s">
        <v>120</v>
      </c>
      <c r="B139" s="25" t="s">
        <v>121</v>
      </c>
      <c r="C139" s="31">
        <f>SUM(C140)</f>
        <v>15209.999999999998</v>
      </c>
    </row>
    <row r="140" spans="1:3" x14ac:dyDescent="0.3">
      <c r="A140" s="59" t="s">
        <v>136</v>
      </c>
      <c r="B140" s="59" t="s">
        <v>71</v>
      </c>
      <c r="C140" s="24">
        <f>13000*1.17</f>
        <v>15209.999999999998</v>
      </c>
    </row>
    <row r="141" spans="1:3" x14ac:dyDescent="0.3">
      <c r="A141" s="265" t="s">
        <v>112</v>
      </c>
      <c r="B141" s="63" t="s">
        <v>157</v>
      </c>
      <c r="C141" s="31">
        <f>SUM(C142)</f>
        <v>127980</v>
      </c>
    </row>
    <row r="142" spans="1:3" x14ac:dyDescent="0.3">
      <c r="A142" s="72" t="s">
        <v>49</v>
      </c>
      <c r="B142" s="24" t="s">
        <v>87</v>
      </c>
      <c r="C142" s="24">
        <v>127980</v>
      </c>
    </row>
    <row r="143" spans="1:3" x14ac:dyDescent="0.3">
      <c r="A143" s="265" t="s">
        <v>113</v>
      </c>
      <c r="B143" s="31" t="s">
        <v>114</v>
      </c>
      <c r="C143" s="31">
        <f>SUM(C144:C145)</f>
        <v>14300</v>
      </c>
    </row>
    <row r="144" spans="1:3" hidden="1" x14ac:dyDescent="0.3">
      <c r="A144" s="72" t="s">
        <v>75</v>
      </c>
      <c r="B144" s="24" t="s">
        <v>73</v>
      </c>
      <c r="C144" s="24">
        <v>0</v>
      </c>
    </row>
    <row r="145" spans="1:3" x14ac:dyDescent="0.3">
      <c r="A145" s="72" t="s">
        <v>88</v>
      </c>
      <c r="B145" s="24" t="s">
        <v>64</v>
      </c>
      <c r="C145" s="24">
        <v>14300</v>
      </c>
    </row>
    <row r="146" spans="1:3" x14ac:dyDescent="0.3">
      <c r="A146" s="560" t="s">
        <v>132</v>
      </c>
      <c r="B146" s="63" t="s">
        <v>56</v>
      </c>
      <c r="C146" s="31">
        <f>SUM(C147)</f>
        <v>48700</v>
      </c>
    </row>
    <row r="147" spans="1:3" x14ac:dyDescent="0.3">
      <c r="A147" s="70" t="s">
        <v>55</v>
      </c>
      <c r="B147" s="59" t="s">
        <v>56</v>
      </c>
      <c r="C147" s="60">
        <v>48700</v>
      </c>
    </row>
    <row r="148" spans="1:3" x14ac:dyDescent="0.3">
      <c r="A148" s="265" t="s">
        <v>115</v>
      </c>
      <c r="B148" s="31" t="s">
        <v>8</v>
      </c>
      <c r="C148" s="64">
        <f>SUM(C149:C152)</f>
        <v>621970</v>
      </c>
    </row>
    <row r="149" spans="1:3" x14ac:dyDescent="0.3">
      <c r="A149" s="72" t="s">
        <v>92</v>
      </c>
      <c r="B149" s="24" t="s">
        <v>8</v>
      </c>
      <c r="C149" s="60">
        <v>444760</v>
      </c>
    </row>
    <row r="150" spans="1:3" x14ac:dyDescent="0.3">
      <c r="A150" s="72" t="s">
        <v>94</v>
      </c>
      <c r="B150" s="24" t="s">
        <v>50</v>
      </c>
      <c r="C150" s="60">
        <v>53400</v>
      </c>
    </row>
    <row r="151" spans="1:3" x14ac:dyDescent="0.3">
      <c r="A151" s="72" t="s">
        <v>222</v>
      </c>
      <c r="B151" s="43" t="s">
        <v>596</v>
      </c>
      <c r="C151" s="60">
        <v>89520</v>
      </c>
    </row>
    <row r="152" spans="1:3" x14ac:dyDescent="0.3">
      <c r="A152" s="72" t="s">
        <v>90</v>
      </c>
      <c r="B152" s="24" t="s">
        <v>7</v>
      </c>
      <c r="C152" s="60">
        <v>34290</v>
      </c>
    </row>
    <row r="153" spans="1:3" ht="13.5" thickBot="1" x14ac:dyDescent="0.35">
      <c r="A153" s="70"/>
      <c r="B153" s="70"/>
      <c r="C153" s="67"/>
    </row>
    <row r="154" spans="1:3" ht="13.5" thickBot="1" x14ac:dyDescent="0.35">
      <c r="A154" s="1094" t="s">
        <v>4</v>
      </c>
      <c r="B154" s="1095"/>
      <c r="C154" s="702">
        <f>+C155</f>
        <v>23480</v>
      </c>
    </row>
    <row r="155" spans="1:3" x14ac:dyDescent="0.3">
      <c r="A155" s="265" t="s">
        <v>166</v>
      </c>
      <c r="B155" s="25" t="s">
        <v>134</v>
      </c>
      <c r="C155" s="64">
        <f>SUM(C156)</f>
        <v>23480</v>
      </c>
    </row>
    <row r="156" spans="1:3" x14ac:dyDescent="0.3">
      <c r="A156" s="72" t="s">
        <v>167</v>
      </c>
      <c r="B156" s="23" t="s">
        <v>51</v>
      </c>
      <c r="C156" s="24">
        <v>23480</v>
      </c>
    </row>
    <row r="174" spans="5:5" x14ac:dyDescent="0.3">
      <c r="E174" s="65"/>
    </row>
  </sheetData>
  <mergeCells count="9">
    <mergeCell ref="A6:E12"/>
    <mergeCell ref="A99:E105"/>
    <mergeCell ref="A86:B86"/>
    <mergeCell ref="A112:B112"/>
    <mergeCell ref="A128:B128"/>
    <mergeCell ref="A154:B154"/>
    <mergeCell ref="A19:B19"/>
    <mergeCell ref="A42:B42"/>
    <mergeCell ref="A62:B62"/>
  </mergeCells>
  <pageMargins left="0.78740157480314965" right="0.19685039370078741" top="0.78740157480314965" bottom="0.78740157480314965" header="0.39370078740157483" footer="0.19685039370078741"/>
  <pageSetup paperSize="9" scale="90" orientation="portrait" r:id="rId1"/>
  <headerFooter>
    <oddHeader>&amp;L&amp;"Arial Narrow,Normal"&amp;8Presupuesto Municipal 2020&amp;R&amp;"Arial Narrow,Normal"&amp;8MUNICIPALIDAD DE VILLA MARÍA
Secretaría de Economía y Finanzas</oddHeader>
  </headerFooter>
  <rowBreaks count="1" manualBreakCount="1">
    <brk id="50"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2"/>
  <sheetViews>
    <sheetView topLeftCell="A4" zoomScale="120" zoomScaleNormal="120" zoomScaleSheetLayoutView="100" workbookViewId="0">
      <selection activeCell="C19" sqref="C19"/>
    </sheetView>
  </sheetViews>
  <sheetFormatPr baseColWidth="10" defaultColWidth="11.26953125" defaultRowHeight="13" x14ac:dyDescent="0.25"/>
  <cols>
    <col min="1" max="1" width="9.7265625" style="3" customWidth="1"/>
    <col min="2" max="2" width="46.7265625" style="3" customWidth="1"/>
    <col min="3" max="3" width="12.7265625" style="18" customWidth="1"/>
    <col min="4" max="4" width="10.7265625" style="18" customWidth="1"/>
    <col min="5" max="5" width="13.7265625" style="18" customWidth="1"/>
    <col min="6" max="16384" width="11.26953125" style="3"/>
  </cols>
  <sheetData>
    <row r="1" spans="1:8" x14ac:dyDescent="0.25">
      <c r="A1" s="482" t="s">
        <v>556</v>
      </c>
      <c r="B1" s="482"/>
    </row>
    <row r="2" spans="1:8" x14ac:dyDescent="0.25">
      <c r="A2" s="75"/>
    </row>
    <row r="3" spans="1:8" ht="13.5" thickBot="1" x14ac:dyDescent="0.3"/>
    <row r="4" spans="1:8" s="10" customFormat="1" x14ac:dyDescent="0.25">
      <c r="A4" s="816" t="s">
        <v>557</v>
      </c>
      <c r="B4" s="817"/>
      <c r="C4" s="818"/>
      <c r="D4" s="819" t="s">
        <v>6</v>
      </c>
      <c r="E4" s="901" t="s">
        <v>558</v>
      </c>
    </row>
    <row r="5" spans="1:8" s="10" customFormat="1" ht="13.5" thickBot="1" x14ac:dyDescent="0.3">
      <c r="A5" s="820"/>
      <c r="B5" s="821"/>
      <c r="C5" s="822"/>
      <c r="D5" s="823"/>
      <c r="E5" s="824"/>
    </row>
    <row r="6" spans="1:8" s="10" customFormat="1" ht="11.5" x14ac:dyDescent="0.25">
      <c r="A6" s="1123" t="s">
        <v>860</v>
      </c>
      <c r="B6" s="1124"/>
      <c r="C6" s="1124"/>
      <c r="D6" s="1124"/>
      <c r="E6" s="1125"/>
    </row>
    <row r="7" spans="1:8" s="10" customFormat="1" ht="12" thickBot="1" x14ac:dyDescent="0.3">
      <c r="A7" s="1126"/>
      <c r="B7" s="1127"/>
      <c r="C7" s="1127"/>
      <c r="D7" s="1127"/>
      <c r="E7" s="1128"/>
    </row>
    <row r="8" spans="1:8" s="10" customFormat="1" ht="11.5" x14ac:dyDescent="0.25">
      <c r="A8" s="119" t="s">
        <v>1029</v>
      </c>
      <c r="B8" s="174"/>
      <c r="C8" s="420"/>
      <c r="D8" s="420"/>
      <c r="E8" s="422"/>
    </row>
    <row r="9" spans="1:8" s="10" customFormat="1" ht="11.5" x14ac:dyDescent="0.25">
      <c r="A9" s="41" t="s">
        <v>559</v>
      </c>
      <c r="B9" s="12"/>
      <c r="C9" s="24"/>
      <c r="D9" s="24"/>
      <c r="E9" s="320"/>
    </row>
    <row r="10" spans="1:8" s="10" customFormat="1" ht="11.5" x14ac:dyDescent="0.25">
      <c r="A10" s="41" t="s">
        <v>624</v>
      </c>
      <c r="B10" s="12"/>
      <c r="C10" s="24"/>
      <c r="D10" s="24"/>
      <c r="E10" s="320"/>
    </row>
    <row r="11" spans="1:8" s="10" customFormat="1" ht="12" thickBot="1" x14ac:dyDescent="0.3">
      <c r="A11" s="76" t="s">
        <v>13</v>
      </c>
      <c r="B11" s="140"/>
      <c r="C11" s="377"/>
      <c r="D11" s="377"/>
      <c r="E11" s="378"/>
    </row>
    <row r="12" spans="1:8" s="10" customFormat="1" ht="12" thickBot="1" x14ac:dyDescent="0.3">
      <c r="A12" s="825" t="s">
        <v>14</v>
      </c>
      <c r="B12" s="826"/>
      <c r="C12" s="827"/>
      <c r="D12" s="828"/>
      <c r="E12" s="829">
        <f>C14+C20+C27</f>
        <v>56970</v>
      </c>
      <c r="F12" s="855"/>
    </row>
    <row r="13" spans="1:8" ht="13.5" thickBot="1" x14ac:dyDescent="0.3"/>
    <row r="14" spans="1:8" ht="13.5" thickBot="1" x14ac:dyDescent="0.3">
      <c r="A14" s="1104" t="s">
        <v>2</v>
      </c>
      <c r="B14" s="1105"/>
      <c r="C14" s="667">
        <f>C15+C17</f>
        <v>9570</v>
      </c>
      <c r="E14" s="380"/>
    </row>
    <row r="15" spans="1:8" s="12" customFormat="1" ht="13.5" customHeight="1" x14ac:dyDescent="0.25">
      <c r="A15" s="11" t="s">
        <v>107</v>
      </c>
      <c r="B15" s="265" t="s">
        <v>108</v>
      </c>
      <c r="C15" s="31">
        <f>SUM(C16)</f>
        <v>5460</v>
      </c>
      <c r="D15" s="22"/>
      <c r="E15" s="31"/>
      <c r="G15" s="24"/>
    </row>
    <row r="16" spans="1:8" s="72" customFormat="1" ht="13.5" customHeight="1" x14ac:dyDescent="0.25">
      <c r="A16" s="12" t="s">
        <v>47</v>
      </c>
      <c r="B16" s="23" t="s">
        <v>48</v>
      </c>
      <c r="C16" s="24">
        <f>4550*1.2</f>
        <v>5460</v>
      </c>
      <c r="D16" s="78"/>
      <c r="E16" s="25"/>
      <c r="F16" s="101"/>
      <c r="G16" s="24"/>
      <c r="H16" s="12"/>
    </row>
    <row r="17" spans="1:256" s="72" customFormat="1" ht="13.5" customHeight="1" x14ac:dyDescent="0.25">
      <c r="A17" s="265" t="s">
        <v>560</v>
      </c>
      <c r="B17" s="25" t="s">
        <v>125</v>
      </c>
      <c r="C17" s="31">
        <f>SUM(C18)</f>
        <v>4110</v>
      </c>
      <c r="D17" s="78"/>
      <c r="E17" s="25"/>
      <c r="F17" s="101"/>
      <c r="G17" s="24"/>
      <c r="H17" s="12"/>
    </row>
    <row r="18" spans="1:256" s="72" customFormat="1" ht="13.5" customHeight="1" x14ac:dyDescent="0.25">
      <c r="A18" s="72" t="s">
        <v>155</v>
      </c>
      <c r="B18" s="23" t="s">
        <v>125</v>
      </c>
      <c r="C18" s="24">
        <f>3420*1.2+6</f>
        <v>4110</v>
      </c>
      <c r="D18" s="78"/>
      <c r="E18" s="25"/>
      <c r="F18" s="298"/>
      <c r="G18" s="24"/>
      <c r="H18" s="122"/>
    </row>
    <row r="19" spans="1:256" s="72" customFormat="1" ht="13.5" customHeight="1" thickBot="1" x14ac:dyDescent="0.3">
      <c r="B19" s="23"/>
      <c r="C19" s="23"/>
      <c r="D19" s="78"/>
      <c r="E19" s="25"/>
      <c r="F19" s="298"/>
      <c r="G19" s="24"/>
      <c r="H19" s="122"/>
    </row>
    <row r="20" spans="1:256" s="5" customFormat="1" ht="13.5" thickBot="1" x14ac:dyDescent="0.3">
      <c r="A20" s="1096" t="s">
        <v>3</v>
      </c>
      <c r="B20" s="1097"/>
      <c r="C20" s="668">
        <f>C21+C23</f>
        <v>32430</v>
      </c>
      <c r="D20" s="21"/>
      <c r="E20" s="21"/>
    </row>
    <row r="21" spans="1:256" s="351" customFormat="1" x14ac:dyDescent="0.25">
      <c r="A21" s="265" t="s">
        <v>341</v>
      </c>
      <c r="B21" s="298" t="s">
        <v>342</v>
      </c>
      <c r="C21" s="32">
        <f>SUM(C22)</f>
        <v>4830</v>
      </c>
      <c r="D21" s="237"/>
      <c r="E21" s="237"/>
    </row>
    <row r="22" spans="1:256" s="72" customFormat="1" ht="13.5" customHeight="1" x14ac:dyDescent="0.25">
      <c r="A22" s="72" t="s">
        <v>349</v>
      </c>
      <c r="B22" s="12" t="s">
        <v>350</v>
      </c>
      <c r="C22" s="24">
        <f>4020*1.2+6</f>
        <v>4830</v>
      </c>
      <c r="D22" s="78"/>
      <c r="E22" s="25"/>
      <c r="F22" s="101"/>
      <c r="G22" s="24"/>
      <c r="H22" s="12"/>
      <c r="I22" s="23"/>
    </row>
    <row r="23" spans="1:256" s="147" customFormat="1" x14ac:dyDescent="0.25">
      <c r="A23" s="265" t="s">
        <v>115</v>
      </c>
      <c r="B23" s="31" t="s">
        <v>8</v>
      </c>
      <c r="C23" s="31">
        <f>SUM(C24:C25)</f>
        <v>27600</v>
      </c>
      <c r="D23" s="24"/>
      <c r="E23" s="120"/>
      <c r="F23" s="120"/>
    </row>
    <row r="24" spans="1:256" s="5" customFormat="1" x14ac:dyDescent="0.25">
      <c r="A24" s="72" t="s">
        <v>89</v>
      </c>
      <c r="B24" s="24" t="s">
        <v>8</v>
      </c>
      <c r="C24" s="24">
        <f>12000*1.3</f>
        <v>15600</v>
      </c>
      <c r="D24" s="24"/>
      <c r="E24" s="120"/>
      <c r="F24" s="120"/>
    </row>
    <row r="25" spans="1:256" s="72" customFormat="1" ht="13.5" customHeight="1" x14ac:dyDescent="0.25">
      <c r="A25" s="72" t="s">
        <v>90</v>
      </c>
      <c r="B25" s="23" t="s">
        <v>7</v>
      </c>
      <c r="C25" s="24">
        <f>10000*1.2</f>
        <v>12000</v>
      </c>
      <c r="D25" s="79"/>
      <c r="E25" s="25"/>
      <c r="F25" s="101"/>
      <c r="G25" s="24"/>
      <c r="H25" s="12"/>
      <c r="IV25" s="23">
        <f>SUM(C25:IU25)</f>
        <v>12000</v>
      </c>
    </row>
    <row r="26" spans="1:256" s="5" customFormat="1" ht="13.5" thickBot="1" x14ac:dyDescent="0.3">
      <c r="A26" s="72"/>
      <c r="B26" s="24"/>
      <c r="C26" s="23"/>
      <c r="D26" s="24"/>
      <c r="E26" s="120"/>
      <c r="F26" s="120"/>
    </row>
    <row r="27" spans="1:256" s="5" customFormat="1" ht="13.5" thickBot="1" x14ac:dyDescent="0.3">
      <c r="A27" s="1100" t="s">
        <v>4</v>
      </c>
      <c r="B27" s="1101"/>
      <c r="C27" s="670">
        <f>C28+C30</f>
        <v>14970</v>
      </c>
      <c r="D27" s="21"/>
      <c r="E27" s="21"/>
    </row>
    <row r="28" spans="1:256" s="351" customFormat="1" x14ac:dyDescent="0.25">
      <c r="A28" s="265" t="s">
        <v>116</v>
      </c>
      <c r="B28" s="298" t="s">
        <v>117</v>
      </c>
      <c r="C28" s="32">
        <f>SUM(C29)</f>
        <v>11150</v>
      </c>
      <c r="D28" s="237"/>
      <c r="E28" s="237"/>
    </row>
    <row r="29" spans="1:256" s="5" customFormat="1" x14ac:dyDescent="0.25">
      <c r="A29" s="72" t="s">
        <v>91</v>
      </c>
      <c r="B29" s="72" t="s">
        <v>139</v>
      </c>
      <c r="C29" s="24">
        <f>11150</f>
        <v>11150</v>
      </c>
      <c r="D29" s="21"/>
      <c r="E29" s="21"/>
    </row>
    <row r="30" spans="1:256" s="5" customFormat="1" x14ac:dyDescent="0.25">
      <c r="A30" s="265" t="s">
        <v>166</v>
      </c>
      <c r="B30" s="25" t="s">
        <v>134</v>
      </c>
      <c r="C30" s="31">
        <f>SUM(C31)</f>
        <v>3820</v>
      </c>
      <c r="D30" s="21"/>
      <c r="E30" s="21"/>
    </row>
    <row r="31" spans="1:256" s="5" customFormat="1" x14ac:dyDescent="0.25">
      <c r="A31" s="72" t="s">
        <v>167</v>
      </c>
      <c r="B31" s="23" t="s">
        <v>51</v>
      </c>
      <c r="C31" s="24">
        <f>3180*1.2+4</f>
        <v>3820</v>
      </c>
      <c r="D31" s="23"/>
      <c r="E31" s="21"/>
    </row>
    <row r="32" spans="1:256" s="5" customFormat="1" x14ac:dyDescent="0.25">
      <c r="C32" s="21"/>
      <c r="D32" s="21"/>
      <c r="E32" s="21"/>
    </row>
  </sheetData>
  <mergeCells count="4">
    <mergeCell ref="A14:B14"/>
    <mergeCell ref="A20:B20"/>
    <mergeCell ref="A27:B27"/>
    <mergeCell ref="A6:E7"/>
  </mergeCells>
  <pageMargins left="0.78740157480314965" right="0.19685039370078741" top="0.78740157480314965" bottom="0.78740157480314965" header="0.39370078740157483" footer="0.19685039370078741"/>
  <pageSetup paperSize="9" scale="90" orientation="portrait" r:id="rId1"/>
  <headerFooter>
    <oddHeader xml:space="preserve">&amp;L&amp;"Arial Narrow,Normal"&amp;8Presupuesto Municipal 2020
&amp;R&amp;"Arial Narrow,Normal"&amp;8MUNICIPALIDAD DE VILLA MARÍA
Secretaría de Economía y Finanzas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zoomScaleSheetLayoutView="100" workbookViewId="0">
      <selection activeCell="B11" sqref="B11"/>
    </sheetView>
  </sheetViews>
  <sheetFormatPr baseColWidth="10" defaultColWidth="11.453125" defaultRowHeight="13" x14ac:dyDescent="0.25"/>
  <cols>
    <col min="1" max="1" width="9.7265625" style="3" customWidth="1"/>
    <col min="2" max="2" width="46.7265625" style="3" customWidth="1"/>
    <col min="3" max="3" width="12.7265625" style="18" customWidth="1"/>
    <col min="4" max="4" width="10.7265625" style="18" customWidth="1"/>
    <col min="5" max="5" width="13.7265625" style="18" customWidth="1"/>
    <col min="6" max="6" width="7.453125" style="3" customWidth="1"/>
    <col min="7" max="7" width="8.453125" style="3" customWidth="1"/>
    <col min="8" max="16384" width="11.453125" style="3"/>
  </cols>
  <sheetData>
    <row r="1" spans="1:7" x14ac:dyDescent="0.25">
      <c r="A1" s="482" t="s">
        <v>622</v>
      </c>
      <c r="B1" s="482"/>
    </row>
    <row r="2" spans="1:7" x14ac:dyDescent="0.25">
      <c r="A2" s="75"/>
    </row>
    <row r="3" spans="1:7" ht="13.5" thickBot="1" x14ac:dyDescent="0.3"/>
    <row r="4" spans="1:7" x14ac:dyDescent="0.25">
      <c r="A4" s="816" t="s">
        <v>621</v>
      </c>
      <c r="B4" s="817"/>
      <c r="C4" s="818"/>
      <c r="D4" s="819" t="s">
        <v>6</v>
      </c>
      <c r="E4" s="901" t="s">
        <v>555</v>
      </c>
    </row>
    <row r="5" spans="1:7" ht="13.5" thickBot="1" x14ac:dyDescent="0.3">
      <c r="A5" s="820"/>
      <c r="B5" s="821"/>
      <c r="C5" s="822"/>
      <c r="D5" s="823"/>
      <c r="E5" s="824"/>
    </row>
    <row r="6" spans="1:7" x14ac:dyDescent="0.25">
      <c r="A6" s="1123" t="s">
        <v>861</v>
      </c>
      <c r="B6" s="1124"/>
      <c r="C6" s="1124"/>
      <c r="D6" s="1124"/>
      <c r="E6" s="1125"/>
    </row>
    <row r="7" spans="1:7" x14ac:dyDescent="0.25">
      <c r="A7" s="1126"/>
      <c r="B7" s="1127"/>
      <c r="C7" s="1127"/>
      <c r="D7" s="1127"/>
      <c r="E7" s="1128"/>
    </row>
    <row r="8" spans="1:7" ht="13.5" thickBot="1" x14ac:dyDescent="0.3">
      <c r="A8" s="1129"/>
      <c r="B8" s="1130"/>
      <c r="C8" s="1130"/>
      <c r="D8" s="1130"/>
      <c r="E8" s="1131"/>
    </row>
    <row r="9" spans="1:7" s="10" customFormat="1" ht="11.5" x14ac:dyDescent="0.25">
      <c r="A9" s="119" t="s">
        <v>1029</v>
      </c>
      <c r="B9" s="174"/>
      <c r="C9" s="420"/>
      <c r="D9" s="420"/>
      <c r="E9" s="422"/>
    </row>
    <row r="10" spans="1:7" s="10" customFormat="1" ht="11.5" x14ac:dyDescent="0.25">
      <c r="A10" s="41" t="s">
        <v>623</v>
      </c>
      <c r="B10" s="12"/>
      <c r="C10" s="24"/>
      <c r="D10" s="24"/>
      <c r="E10" s="320"/>
    </row>
    <row r="11" spans="1:7" s="196" customFormat="1" ht="11.5" x14ac:dyDescent="0.25">
      <c r="A11" s="41" t="s">
        <v>992</v>
      </c>
      <c r="B11" s="12"/>
      <c r="C11" s="24"/>
      <c r="D11" s="24"/>
      <c r="E11" s="320"/>
    </row>
    <row r="12" spans="1:7" s="10" customFormat="1" ht="12" thickBot="1" x14ac:dyDescent="0.3">
      <c r="A12" s="76" t="s">
        <v>13</v>
      </c>
      <c r="B12" s="140"/>
      <c r="C12" s="377"/>
      <c r="D12" s="377"/>
      <c r="E12" s="378"/>
    </row>
    <row r="13" spans="1:7" s="10" customFormat="1" ht="13.5" thickBot="1" x14ac:dyDescent="0.3">
      <c r="A13" s="825" t="s">
        <v>14</v>
      </c>
      <c r="B13" s="826"/>
      <c r="C13" s="827"/>
      <c r="D13" s="828"/>
      <c r="E13" s="829">
        <f>C15+C25+C33</f>
        <v>168560</v>
      </c>
      <c r="G13" s="380"/>
    </row>
    <row r="14" spans="1:7" ht="13.5" thickBot="1" x14ac:dyDescent="0.3"/>
    <row r="15" spans="1:7" ht="13.5" thickBot="1" x14ac:dyDescent="0.3">
      <c r="A15" s="1104" t="s">
        <v>2</v>
      </c>
      <c r="B15" s="1105"/>
      <c r="C15" s="667">
        <f>C16+C18+C22+C20</f>
        <v>42170</v>
      </c>
    </row>
    <row r="16" spans="1:7" x14ac:dyDescent="0.25">
      <c r="A16" s="11" t="s">
        <v>103</v>
      </c>
      <c r="B16" s="265" t="s">
        <v>108</v>
      </c>
      <c r="C16" s="32">
        <f>SUM(C17)</f>
        <v>8420</v>
      </c>
      <c r="E16" s="380"/>
    </row>
    <row r="17" spans="1:10" s="43" customFormat="1" ht="13.5" customHeight="1" x14ac:dyDescent="0.25">
      <c r="A17" s="12" t="s">
        <v>46</v>
      </c>
      <c r="B17" s="8" t="s">
        <v>45</v>
      </c>
      <c r="C17" s="24">
        <v>8420</v>
      </c>
      <c r="D17" s="22"/>
      <c r="E17" s="529"/>
      <c r="G17" s="55"/>
    </row>
    <row r="18" spans="1:10" s="349" customFormat="1" x14ac:dyDescent="0.25">
      <c r="A18" s="11" t="s">
        <v>107</v>
      </c>
      <c r="B18" s="265" t="s">
        <v>108</v>
      </c>
      <c r="C18" s="32">
        <f>SUM(C19)</f>
        <v>17550</v>
      </c>
      <c r="D18" s="348"/>
      <c r="E18" s="525"/>
    </row>
    <row r="19" spans="1:10" s="72" customFormat="1" ht="13.5" customHeight="1" x14ac:dyDescent="0.25">
      <c r="A19" s="12" t="s">
        <v>47</v>
      </c>
      <c r="B19" s="23" t="s">
        <v>48</v>
      </c>
      <c r="C19" s="24">
        <v>17550</v>
      </c>
      <c r="D19" s="78"/>
      <c r="E19" s="25"/>
      <c r="F19" s="101"/>
      <c r="G19" s="24"/>
      <c r="H19" s="12"/>
    </row>
    <row r="20" spans="1:10" s="8" customFormat="1" ht="13.5" customHeight="1" x14ac:dyDescent="0.25">
      <c r="A20" s="265" t="s">
        <v>124</v>
      </c>
      <c r="B20" s="31" t="s">
        <v>123</v>
      </c>
      <c r="C20" s="31">
        <f>SUM(C21)</f>
        <v>9000</v>
      </c>
      <c r="D20" s="78"/>
      <c r="E20" s="526"/>
      <c r="F20" s="99"/>
      <c r="G20" s="55"/>
      <c r="H20" s="43"/>
    </row>
    <row r="21" spans="1:10" s="66" customFormat="1" x14ac:dyDescent="0.3">
      <c r="A21" s="72" t="s">
        <v>93</v>
      </c>
      <c r="B21" s="24" t="s">
        <v>72</v>
      </c>
      <c r="C21" s="60">
        <v>9000</v>
      </c>
      <c r="D21" s="68"/>
      <c r="E21" s="527"/>
    </row>
    <row r="22" spans="1:10" s="72" customFormat="1" ht="13.5" customHeight="1" x14ac:dyDescent="0.25">
      <c r="A22" s="265" t="s">
        <v>513</v>
      </c>
      <c r="B22" s="25" t="s">
        <v>133</v>
      </c>
      <c r="C22" s="31">
        <f>SUM(C23)</f>
        <v>7200</v>
      </c>
      <c r="D22" s="78"/>
      <c r="E22" s="25"/>
      <c r="F22" s="101"/>
      <c r="G22" s="24"/>
      <c r="H22" s="12"/>
    </row>
    <row r="23" spans="1:10" s="72" customFormat="1" ht="13.5" customHeight="1" x14ac:dyDescent="0.25">
      <c r="A23" s="72" t="s">
        <v>155</v>
      </c>
      <c r="B23" s="23" t="s">
        <v>133</v>
      </c>
      <c r="C23" s="24">
        <v>7200</v>
      </c>
      <c r="D23" s="78"/>
      <c r="E23" s="25"/>
      <c r="F23" s="298"/>
      <c r="G23" s="24"/>
      <c r="H23" s="122"/>
    </row>
    <row r="24" spans="1:10" s="72" customFormat="1" ht="13.5" customHeight="1" thickBot="1" x14ac:dyDescent="0.3">
      <c r="B24" s="23"/>
      <c r="C24" s="23"/>
      <c r="D24" s="78"/>
      <c r="E24" s="25"/>
      <c r="F24" s="298"/>
      <c r="G24" s="24"/>
      <c r="H24" s="122"/>
    </row>
    <row r="25" spans="1:10" s="5" customFormat="1" ht="13.5" thickBot="1" x14ac:dyDescent="0.3">
      <c r="A25" s="1096" t="s">
        <v>3</v>
      </c>
      <c r="B25" s="1097"/>
      <c r="C25" s="668">
        <f>C26+C28</f>
        <v>107090</v>
      </c>
      <c r="D25" s="21"/>
      <c r="E25" s="21"/>
    </row>
    <row r="26" spans="1:10" s="351" customFormat="1" x14ac:dyDescent="0.25">
      <c r="A26" s="265" t="s">
        <v>113</v>
      </c>
      <c r="B26" s="298" t="s">
        <v>114</v>
      </c>
      <c r="C26" s="32">
        <f>SUM(C27)</f>
        <v>6000</v>
      </c>
      <c r="D26" s="237"/>
      <c r="E26" s="237"/>
    </row>
    <row r="27" spans="1:10" s="72" customFormat="1" ht="13.5" customHeight="1" x14ac:dyDescent="0.25">
      <c r="A27" s="72" t="s">
        <v>88</v>
      </c>
      <c r="B27" s="23" t="s">
        <v>64</v>
      </c>
      <c r="C27" s="24">
        <v>6000</v>
      </c>
      <c r="D27" s="78"/>
      <c r="E27" s="25"/>
      <c r="F27" s="231"/>
      <c r="G27" s="24"/>
      <c r="H27" s="24"/>
    </row>
    <row r="28" spans="1:10" s="72" customFormat="1" ht="13.5" customHeight="1" x14ac:dyDescent="0.25">
      <c r="A28" s="265" t="s">
        <v>115</v>
      </c>
      <c r="B28" s="25" t="s">
        <v>8</v>
      </c>
      <c r="C28" s="31">
        <f>SUM(C29:C31)</f>
        <v>101090</v>
      </c>
      <c r="D28" s="78"/>
      <c r="E28" s="25"/>
      <c r="F28" s="231"/>
      <c r="G28" s="24"/>
      <c r="H28" s="24"/>
    </row>
    <row r="29" spans="1:10" s="72" customFormat="1" ht="13.5" customHeight="1" x14ac:dyDescent="0.25">
      <c r="A29" s="72" t="s">
        <v>456</v>
      </c>
      <c r="B29" s="23" t="s">
        <v>8</v>
      </c>
      <c r="C29" s="24">
        <f>10500*7</f>
        <v>73500</v>
      </c>
      <c r="D29" s="78"/>
      <c r="E29" s="25"/>
      <c r="F29" s="101"/>
      <c r="G29" s="24"/>
      <c r="H29" s="12"/>
      <c r="J29" s="23"/>
    </row>
    <row r="30" spans="1:10" s="72" customFormat="1" ht="13.5" customHeight="1" x14ac:dyDescent="0.25">
      <c r="A30" s="72" t="s">
        <v>181</v>
      </c>
      <c r="B30" s="23" t="s">
        <v>50</v>
      </c>
      <c r="C30" s="24">
        <v>10140</v>
      </c>
      <c r="D30" s="78"/>
      <c r="E30" s="25"/>
      <c r="F30" s="101"/>
      <c r="G30" s="24"/>
      <c r="H30" s="12"/>
      <c r="I30" s="23"/>
    </row>
    <row r="31" spans="1:10" s="72" customFormat="1" ht="13.5" customHeight="1" x14ac:dyDescent="0.25">
      <c r="A31" s="72" t="s">
        <v>90</v>
      </c>
      <c r="B31" s="23" t="s">
        <v>7</v>
      </c>
      <c r="C31" s="24">
        <v>17450</v>
      </c>
      <c r="D31" s="79"/>
      <c r="E31" s="25"/>
      <c r="F31" s="101"/>
      <c r="G31" s="24"/>
      <c r="H31" s="12"/>
    </row>
    <row r="32" spans="1:10" s="72" customFormat="1" ht="13.5" customHeight="1" thickBot="1" x14ac:dyDescent="0.3">
      <c r="B32" s="23"/>
      <c r="C32" s="24"/>
      <c r="D32" s="79"/>
      <c r="E32" s="25"/>
      <c r="F32" s="101"/>
      <c r="G32" s="24"/>
      <c r="H32" s="12"/>
    </row>
    <row r="33" spans="1:8" s="5" customFormat="1" ht="13.5" thickBot="1" x14ac:dyDescent="0.3">
      <c r="A33" s="1100" t="s">
        <v>4</v>
      </c>
      <c r="B33" s="1101"/>
      <c r="C33" s="670">
        <f>+C34+C36</f>
        <v>19300</v>
      </c>
      <c r="D33" s="21"/>
      <c r="E33" s="21"/>
    </row>
    <row r="34" spans="1:8" s="351" customFormat="1" x14ac:dyDescent="0.25">
      <c r="A34" s="265" t="s">
        <v>116</v>
      </c>
      <c r="B34" s="298" t="s">
        <v>117</v>
      </c>
      <c r="C34" s="32">
        <f>SUM(C35:C35)</f>
        <v>14260</v>
      </c>
      <c r="D34" s="237"/>
      <c r="E34" s="237"/>
    </row>
    <row r="35" spans="1:8" s="72" customFormat="1" ht="13.5" customHeight="1" x14ac:dyDescent="0.25">
      <c r="A35" s="72" t="s">
        <v>91</v>
      </c>
      <c r="B35" s="23" t="s">
        <v>139</v>
      </c>
      <c r="C35" s="24">
        <f>11880*1.2+4</f>
        <v>14260</v>
      </c>
      <c r="D35" s="78"/>
      <c r="E35" s="25"/>
      <c r="F35" s="101"/>
      <c r="G35" s="24"/>
      <c r="H35" s="12"/>
    </row>
    <row r="36" spans="1:8" s="72" customFormat="1" ht="13.5" customHeight="1" x14ac:dyDescent="0.25">
      <c r="A36" s="265" t="s">
        <v>166</v>
      </c>
      <c r="B36" s="25" t="s">
        <v>134</v>
      </c>
      <c r="C36" s="31">
        <f>SUM(C37)</f>
        <v>5040</v>
      </c>
      <c r="D36" s="78"/>
      <c r="E36" s="25"/>
      <c r="F36" s="101"/>
      <c r="G36" s="24"/>
      <c r="H36" s="12"/>
    </row>
    <row r="37" spans="1:8" s="72" customFormat="1" ht="13.5" customHeight="1" x14ac:dyDescent="0.25">
      <c r="A37" s="72" t="s">
        <v>167</v>
      </c>
      <c r="B37" s="23" t="s">
        <v>51</v>
      </c>
      <c r="C37" s="24">
        <f>4200*1.2</f>
        <v>5040</v>
      </c>
      <c r="D37" s="78"/>
      <c r="E37" s="25"/>
      <c r="F37" s="101"/>
      <c r="G37" s="24"/>
      <c r="H37" s="12"/>
    </row>
    <row r="38" spans="1:8" s="5" customFormat="1" x14ac:dyDescent="0.25">
      <c r="C38" s="21"/>
      <c r="D38" s="21"/>
      <c r="E38" s="21"/>
    </row>
    <row r="39" spans="1:8" s="5" customFormat="1" ht="13.5" thickBot="1" x14ac:dyDescent="0.3">
      <c r="C39" s="21"/>
      <c r="D39" s="21"/>
      <c r="E39" s="21"/>
    </row>
    <row r="40" spans="1:8" ht="13.5" thickBot="1" x14ac:dyDescent="0.3">
      <c r="B40" s="521"/>
      <c r="C40" s="885">
        <v>2018</v>
      </c>
      <c r="D40" s="884">
        <v>2019</v>
      </c>
      <c r="E40" s="896"/>
    </row>
    <row r="41" spans="1:8" x14ac:dyDescent="0.25">
      <c r="B41" s="888" t="str">
        <f>+A15</f>
        <v>BIENES DE CONSUMO</v>
      </c>
      <c r="C41" s="886">
        <v>22080</v>
      </c>
      <c r="D41" s="887">
        <f>+C15</f>
        <v>42170</v>
      </c>
      <c r="E41" s="897"/>
    </row>
    <row r="42" spans="1:8" x14ac:dyDescent="0.25">
      <c r="B42" s="889" t="str">
        <f>+A25</f>
        <v>SERVICIOS</v>
      </c>
      <c r="C42" s="886">
        <v>128620</v>
      </c>
      <c r="D42" s="890">
        <f>+C25</f>
        <v>107090</v>
      </c>
      <c r="E42" s="897"/>
    </row>
    <row r="43" spans="1:8" ht="13.5" thickBot="1" x14ac:dyDescent="0.3">
      <c r="B43" s="891" t="str">
        <f>+A33</f>
        <v>BIENES DE CAPITAL</v>
      </c>
      <c r="C43" s="886">
        <v>16080</v>
      </c>
      <c r="D43" s="892">
        <f>+C33</f>
        <v>19300</v>
      </c>
      <c r="E43" s="898"/>
    </row>
    <row r="44" spans="1:8" ht="13.5" thickBot="1" x14ac:dyDescent="0.35">
      <c r="B44" s="893"/>
      <c r="C44" s="894">
        <f>SUM(C41:C43)</f>
        <v>166780</v>
      </c>
      <c r="D44" s="895">
        <f>SUM(D41:D43)</f>
        <v>168560</v>
      </c>
      <c r="E44" s="899">
        <f>+D44/C44-1</f>
        <v>1.0672742535076107E-2</v>
      </c>
    </row>
    <row r="49" spans="5:5" x14ac:dyDescent="0.25">
      <c r="E49" s="930">
        <f>+E13</f>
        <v>168560</v>
      </c>
    </row>
  </sheetData>
  <mergeCells count="4">
    <mergeCell ref="A15:B15"/>
    <mergeCell ref="A25:B25"/>
    <mergeCell ref="A33:B33"/>
    <mergeCell ref="A6:E8"/>
  </mergeCells>
  <pageMargins left="0.78740157480314965" right="0.19685039370078741" top="0.78740157480314965" bottom="0.78740157480314965" header="0.39370078740157483" footer="0.19685039370078741"/>
  <pageSetup paperSize="9" scale="90" orientation="portrait" r:id="rId1"/>
  <headerFooter>
    <oddHeader>&amp;L&amp;"Arial Narrow,Normal"&amp;8Presupuesto Municipal 2020
&amp;R&amp;"Arial Narrow,Normal"&amp;8MUNICIPALIDAD DE VILLA MARÍA
Secretaría de Economía y Finanzas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opLeftCell="A10" zoomScale="120" zoomScaleNormal="120" zoomScaleSheetLayoutView="100" workbookViewId="0">
      <selection activeCell="E31" sqref="E31"/>
    </sheetView>
  </sheetViews>
  <sheetFormatPr baseColWidth="10" defaultColWidth="11.453125" defaultRowHeight="13" x14ac:dyDescent="0.25"/>
  <cols>
    <col min="1" max="1" width="9.7265625" style="3" customWidth="1"/>
    <col min="2" max="2" width="46.7265625" style="3" customWidth="1"/>
    <col min="3" max="3" width="12.7265625" style="18" customWidth="1"/>
    <col min="4" max="4" width="10.7265625" style="18" customWidth="1"/>
    <col min="5" max="5" width="13.7265625" style="18" customWidth="1"/>
    <col min="6" max="16384" width="11.453125" style="3"/>
  </cols>
  <sheetData>
    <row r="1" spans="1:7" x14ac:dyDescent="0.25">
      <c r="A1" s="482" t="s">
        <v>549</v>
      </c>
      <c r="B1" s="482"/>
    </row>
    <row r="2" spans="1:7" x14ac:dyDescent="0.25">
      <c r="A2" s="75"/>
    </row>
    <row r="3" spans="1:7" ht="13.5" thickBot="1" x14ac:dyDescent="0.3"/>
    <row r="4" spans="1:7" x14ac:dyDescent="0.25">
      <c r="A4" s="816" t="s">
        <v>550</v>
      </c>
      <c r="B4" s="817"/>
      <c r="C4" s="818"/>
      <c r="D4" s="819" t="s">
        <v>6</v>
      </c>
      <c r="E4" s="901" t="s">
        <v>551</v>
      </c>
    </row>
    <row r="5" spans="1:7" ht="13.5" thickBot="1" x14ac:dyDescent="0.3">
      <c r="A5" s="820"/>
      <c r="B5" s="821"/>
      <c r="C5" s="822"/>
      <c r="D5" s="823"/>
      <c r="E5" s="824"/>
    </row>
    <row r="6" spans="1:7" x14ac:dyDescent="0.25">
      <c r="A6" s="1123" t="s">
        <v>859</v>
      </c>
      <c r="B6" s="1124"/>
      <c r="C6" s="1124"/>
      <c r="D6" s="1124"/>
      <c r="E6" s="1125"/>
    </row>
    <row r="7" spans="1:7" ht="13.5" thickBot="1" x14ac:dyDescent="0.3">
      <c r="A7" s="1129"/>
      <c r="B7" s="1130"/>
      <c r="C7" s="1130"/>
      <c r="D7" s="1130"/>
      <c r="E7" s="1131"/>
    </row>
    <row r="8" spans="1:7" s="10" customFormat="1" ht="11.5" x14ac:dyDescent="0.25">
      <c r="A8" s="119" t="s">
        <v>1029</v>
      </c>
      <c r="B8" s="174"/>
      <c r="C8" s="420"/>
      <c r="D8" s="420"/>
      <c r="E8" s="422"/>
    </row>
    <row r="9" spans="1:7" s="10" customFormat="1" ht="11.5" x14ac:dyDescent="0.25">
      <c r="A9" s="41" t="s">
        <v>552</v>
      </c>
      <c r="B9" s="12"/>
      <c r="C9" s="24"/>
      <c r="D9" s="24"/>
      <c r="E9" s="320"/>
    </row>
    <row r="10" spans="1:7" s="10" customFormat="1" ht="11.5" x14ac:dyDescent="0.25">
      <c r="A10" s="41" t="s">
        <v>624</v>
      </c>
      <c r="B10" s="12"/>
      <c r="C10" s="24"/>
      <c r="D10" s="24"/>
      <c r="E10" s="320"/>
    </row>
    <row r="11" spans="1:7" s="10" customFormat="1" ht="12" thickBot="1" x14ac:dyDescent="0.3">
      <c r="A11" s="76" t="s">
        <v>13</v>
      </c>
      <c r="B11" s="140"/>
      <c r="C11" s="377"/>
      <c r="D11" s="377"/>
      <c r="E11" s="378"/>
    </row>
    <row r="12" spans="1:7" s="10" customFormat="1" ht="13.5" thickBot="1" x14ac:dyDescent="0.3">
      <c r="A12" s="856" t="s">
        <v>14</v>
      </c>
      <c r="B12" s="857"/>
      <c r="C12" s="858"/>
      <c r="D12" s="859"/>
      <c r="E12" s="860">
        <f>C14+C22+C31</f>
        <v>138530</v>
      </c>
      <c r="G12" s="380"/>
    </row>
    <row r="13" spans="1:7" ht="13.5" thickBot="1" x14ac:dyDescent="0.3"/>
    <row r="14" spans="1:7" ht="13.5" thickBot="1" x14ac:dyDescent="0.3">
      <c r="A14" s="1104" t="s">
        <v>2</v>
      </c>
      <c r="B14" s="1105"/>
      <c r="C14" s="667">
        <f>C15+C17+C19</f>
        <v>22140</v>
      </c>
    </row>
    <row r="15" spans="1:7" s="349" customFormat="1" x14ac:dyDescent="0.25">
      <c r="A15" s="11" t="s">
        <v>105</v>
      </c>
      <c r="B15" s="298" t="s">
        <v>553</v>
      </c>
      <c r="C15" s="32">
        <f>SUM(C16)</f>
        <v>7530</v>
      </c>
      <c r="D15" s="348"/>
      <c r="E15" s="525"/>
    </row>
    <row r="16" spans="1:7" s="12" customFormat="1" ht="13.5" customHeight="1" x14ac:dyDescent="0.25">
      <c r="A16" s="12" t="s">
        <v>86</v>
      </c>
      <c r="B16" s="72" t="s">
        <v>66</v>
      </c>
      <c r="C16" s="24">
        <f>2940*1.2+4002</f>
        <v>7530</v>
      </c>
      <c r="D16" s="22"/>
      <c r="E16" s="31"/>
      <c r="G16" s="24"/>
    </row>
    <row r="17" spans="1:10" s="12" customFormat="1" ht="13.5" customHeight="1" x14ac:dyDescent="0.25">
      <c r="A17" s="11" t="s">
        <v>107</v>
      </c>
      <c r="B17" s="265" t="s">
        <v>554</v>
      </c>
      <c r="C17" s="31">
        <f>SUM(C18)</f>
        <v>10800</v>
      </c>
      <c r="D17" s="22"/>
      <c r="E17" s="31"/>
      <c r="G17" s="24"/>
    </row>
    <row r="18" spans="1:10" s="72" customFormat="1" ht="13.5" customHeight="1" x14ac:dyDescent="0.25">
      <c r="A18" s="12" t="s">
        <v>47</v>
      </c>
      <c r="B18" s="23" t="s">
        <v>48</v>
      </c>
      <c r="C18" s="24">
        <f>9000*1.2</f>
        <v>10800</v>
      </c>
      <c r="D18" s="78"/>
      <c r="E18" s="25"/>
      <c r="F18" s="101"/>
      <c r="G18" s="24"/>
      <c r="H18" s="12"/>
    </row>
    <row r="19" spans="1:10" s="72" customFormat="1" ht="13.5" customHeight="1" x14ac:dyDescent="0.25">
      <c r="A19" s="265" t="s">
        <v>151</v>
      </c>
      <c r="B19" s="25" t="s">
        <v>133</v>
      </c>
      <c r="C19" s="31">
        <f>SUM(C20)</f>
        <v>3810</v>
      </c>
      <c r="D19" s="78"/>
      <c r="E19" s="25"/>
      <c r="F19" s="101"/>
      <c r="G19" s="24"/>
      <c r="H19" s="12"/>
    </row>
    <row r="20" spans="1:10" s="72" customFormat="1" ht="13.5" customHeight="1" x14ac:dyDescent="0.25">
      <c r="A20" s="72" t="s">
        <v>155</v>
      </c>
      <c r="B20" s="23" t="s">
        <v>133</v>
      </c>
      <c r="C20" s="24">
        <f>2340*1.2+1002</f>
        <v>3810</v>
      </c>
      <c r="D20" s="78"/>
      <c r="E20" s="25"/>
      <c r="F20" s="298"/>
      <c r="G20" s="24"/>
      <c r="H20" s="122"/>
    </row>
    <row r="21" spans="1:10" s="72" customFormat="1" ht="13.5" customHeight="1" thickBot="1" x14ac:dyDescent="0.3">
      <c r="B21" s="23"/>
      <c r="C21" s="23"/>
      <c r="D21" s="78"/>
      <c r="E21" s="25"/>
      <c r="F21" s="298"/>
      <c r="G21" s="24"/>
      <c r="H21" s="122"/>
    </row>
    <row r="22" spans="1:10" s="5" customFormat="1" ht="13.5" thickBot="1" x14ac:dyDescent="0.3">
      <c r="A22" s="1096" t="s">
        <v>3</v>
      </c>
      <c r="B22" s="1097"/>
      <c r="C22" s="668">
        <f>C23+C25+C27</f>
        <v>102780</v>
      </c>
      <c r="D22" s="21"/>
      <c r="E22" s="21"/>
    </row>
    <row r="23" spans="1:10" s="147" customFormat="1" x14ac:dyDescent="0.25">
      <c r="A23" s="265" t="s">
        <v>113</v>
      </c>
      <c r="B23" s="25" t="s">
        <v>114</v>
      </c>
      <c r="C23" s="31">
        <f>SUM(C24)</f>
        <v>4120</v>
      </c>
      <c r="D23" s="24"/>
      <c r="E23" s="120"/>
      <c r="F23" s="120"/>
    </row>
    <row r="24" spans="1:10" s="147" customFormat="1" x14ac:dyDescent="0.25">
      <c r="A24" s="72" t="s">
        <v>88</v>
      </c>
      <c r="B24" s="23" t="s">
        <v>64</v>
      </c>
      <c r="C24" s="24">
        <f>4120</f>
        <v>4120</v>
      </c>
      <c r="D24" s="24"/>
      <c r="E24" s="120"/>
      <c r="F24" s="120"/>
    </row>
    <row r="25" spans="1:10" s="147" customFormat="1" x14ac:dyDescent="0.25">
      <c r="A25" s="265" t="s">
        <v>132</v>
      </c>
      <c r="B25" s="11" t="s">
        <v>56</v>
      </c>
      <c r="C25" s="31">
        <f>SUM(C26)</f>
        <v>14540</v>
      </c>
      <c r="D25" s="24"/>
      <c r="E25" s="120"/>
      <c r="F25" s="120"/>
    </row>
    <row r="26" spans="1:10" s="147" customFormat="1" x14ac:dyDescent="0.25">
      <c r="A26" s="72" t="s">
        <v>55</v>
      </c>
      <c r="B26" s="12" t="s">
        <v>56</v>
      </c>
      <c r="C26" s="24">
        <f>3780*1.2+10004</f>
        <v>14540</v>
      </c>
      <c r="D26" s="24"/>
      <c r="E26" s="120"/>
      <c r="F26" s="120"/>
    </row>
    <row r="27" spans="1:10" s="147" customFormat="1" x14ac:dyDescent="0.25">
      <c r="A27" s="265" t="s">
        <v>115</v>
      </c>
      <c r="B27" s="31" t="s">
        <v>8</v>
      </c>
      <c r="C27" s="31">
        <f>SUM(C28:C29)</f>
        <v>84120</v>
      </c>
      <c r="D27" s="24"/>
      <c r="E27" s="120"/>
      <c r="F27" s="120"/>
    </row>
    <row r="28" spans="1:10" s="147" customFormat="1" x14ac:dyDescent="0.25">
      <c r="A28" s="72" t="s">
        <v>89</v>
      </c>
      <c r="B28" s="24" t="s">
        <v>8</v>
      </c>
      <c r="C28" s="24">
        <f>9500*8</f>
        <v>76000</v>
      </c>
      <c r="D28" s="24"/>
      <c r="E28" s="120"/>
      <c r="F28" s="120"/>
      <c r="G28" s="5"/>
      <c r="H28" s="5"/>
      <c r="I28" s="5"/>
      <c r="J28" s="5"/>
    </row>
    <row r="29" spans="1:10" s="5" customFormat="1" x14ac:dyDescent="0.25">
      <c r="A29" s="72" t="s">
        <v>90</v>
      </c>
      <c r="B29" s="24" t="s">
        <v>7</v>
      </c>
      <c r="C29" s="24">
        <f>8120</f>
        <v>8120</v>
      </c>
      <c r="D29" s="25"/>
      <c r="E29" s="38"/>
      <c r="F29" s="120"/>
      <c r="G29" s="147"/>
      <c r="H29" s="147"/>
      <c r="I29" s="147"/>
      <c r="J29" s="147"/>
    </row>
    <row r="30" spans="1:10" s="72" customFormat="1" ht="13.5" customHeight="1" thickBot="1" x14ac:dyDescent="0.3">
      <c r="A30" s="12"/>
      <c r="B30" s="12"/>
      <c r="C30" s="24"/>
      <c r="D30" s="78"/>
      <c r="E30" s="25"/>
      <c r="F30" s="231"/>
      <c r="G30" s="24"/>
      <c r="H30" s="24"/>
    </row>
    <row r="31" spans="1:10" s="5" customFormat="1" ht="13.5" thickBot="1" x14ac:dyDescent="0.3">
      <c r="A31" s="1100" t="s">
        <v>4</v>
      </c>
      <c r="B31" s="1101"/>
      <c r="C31" s="670">
        <f>C32+C34</f>
        <v>13610</v>
      </c>
      <c r="D31" s="21"/>
      <c r="E31" s="21"/>
    </row>
    <row r="32" spans="1:10" s="5" customFormat="1" x14ac:dyDescent="0.25">
      <c r="A32" s="265" t="s">
        <v>116</v>
      </c>
      <c r="B32" s="25" t="s">
        <v>117</v>
      </c>
      <c r="C32" s="31">
        <f>SUM(C33)</f>
        <v>10730</v>
      </c>
      <c r="D32" s="23"/>
      <c r="E32" s="21"/>
    </row>
    <row r="33" spans="1:5" s="5" customFormat="1" x14ac:dyDescent="0.25">
      <c r="A33" s="72" t="s">
        <v>91</v>
      </c>
      <c r="B33" s="72" t="s">
        <v>139</v>
      </c>
      <c r="C33" s="24">
        <f>8940*1.2+2</f>
        <v>10730</v>
      </c>
      <c r="D33" s="21"/>
      <c r="E33" s="21"/>
    </row>
    <row r="34" spans="1:5" s="351" customFormat="1" x14ac:dyDescent="0.25">
      <c r="A34" s="265" t="s">
        <v>166</v>
      </c>
      <c r="B34" s="25" t="s">
        <v>134</v>
      </c>
      <c r="C34" s="32">
        <f>SUM(C35)</f>
        <v>2880</v>
      </c>
      <c r="D34" s="237"/>
      <c r="E34" s="237"/>
    </row>
    <row r="35" spans="1:5" s="5" customFormat="1" x14ac:dyDescent="0.25">
      <c r="A35" s="72" t="s">
        <v>167</v>
      </c>
      <c r="B35" s="23" t="s">
        <v>51</v>
      </c>
      <c r="C35" s="24">
        <f>2400*1.2</f>
        <v>2880</v>
      </c>
      <c r="D35" s="23"/>
      <c r="E35" s="21"/>
    </row>
    <row r="36" spans="1:5" s="5" customFormat="1" x14ac:dyDescent="0.25">
      <c r="C36" s="21"/>
      <c r="D36" s="21"/>
      <c r="E36" s="21"/>
    </row>
    <row r="37" spans="1:5" s="5" customFormat="1" x14ac:dyDescent="0.25">
      <c r="C37" s="21"/>
      <c r="D37" s="21"/>
      <c r="E37" s="21"/>
    </row>
    <row r="38" spans="1:5" s="5" customFormat="1" x14ac:dyDescent="0.25">
      <c r="C38" s="21"/>
      <c r="D38" s="21"/>
      <c r="E38" s="21"/>
    </row>
    <row r="39" spans="1:5" s="5" customFormat="1" x14ac:dyDescent="0.25">
      <c r="C39" s="21"/>
      <c r="D39" s="21"/>
      <c r="E39" s="21"/>
    </row>
    <row r="40" spans="1:5" s="5" customFormat="1" x14ac:dyDescent="0.25">
      <c r="C40" s="21"/>
      <c r="D40" s="21"/>
      <c r="E40" s="21"/>
    </row>
    <row r="41" spans="1:5" s="5" customFormat="1" x14ac:dyDescent="0.25">
      <c r="C41" s="21"/>
      <c r="D41" s="21"/>
      <c r="E41" s="21"/>
    </row>
    <row r="42" spans="1:5" s="5" customFormat="1" x14ac:dyDescent="0.25">
      <c r="C42" s="21"/>
      <c r="D42" s="21"/>
      <c r="E42" s="21"/>
    </row>
    <row r="43" spans="1:5" s="5" customFormat="1" x14ac:dyDescent="0.25">
      <c r="C43" s="21"/>
      <c r="D43" s="21"/>
      <c r="E43" s="21"/>
    </row>
    <row r="44" spans="1:5" s="5" customFormat="1" x14ac:dyDescent="0.25">
      <c r="C44" s="21"/>
      <c r="D44" s="21"/>
      <c r="E44" s="21"/>
    </row>
    <row r="45" spans="1:5" s="5" customFormat="1" x14ac:dyDescent="0.25">
      <c r="C45" s="21"/>
      <c r="D45" s="21"/>
      <c r="E45" s="21"/>
    </row>
    <row r="46" spans="1:5" s="5" customFormat="1" x14ac:dyDescent="0.25">
      <c r="C46" s="21"/>
      <c r="D46" s="21"/>
      <c r="E46" s="21"/>
    </row>
    <row r="47" spans="1:5" s="5" customFormat="1" x14ac:dyDescent="0.25">
      <c r="C47" s="21"/>
      <c r="D47" s="21"/>
      <c r="E47" s="21"/>
    </row>
    <row r="48" spans="1:5" s="5" customFormat="1" x14ac:dyDescent="0.25">
      <c r="C48" s="21"/>
      <c r="D48" s="21"/>
      <c r="E48" s="21"/>
    </row>
    <row r="49" spans="3:5" s="5" customFormat="1" x14ac:dyDescent="0.25">
      <c r="C49" s="21"/>
      <c r="D49" s="21"/>
      <c r="E49" s="21"/>
    </row>
    <row r="50" spans="3:5" s="5" customFormat="1" x14ac:dyDescent="0.25">
      <c r="C50" s="21"/>
      <c r="D50" s="21"/>
      <c r="E50" s="21"/>
    </row>
    <row r="51" spans="3:5" s="5" customFormat="1" x14ac:dyDescent="0.25">
      <c r="C51" s="21"/>
      <c r="D51" s="21"/>
      <c r="E51" s="21"/>
    </row>
    <row r="52" spans="3:5" s="5" customFormat="1" x14ac:dyDescent="0.25">
      <c r="C52" s="21"/>
      <c r="D52" s="21"/>
      <c r="E52" s="21"/>
    </row>
    <row r="53" spans="3:5" s="5" customFormat="1" x14ac:dyDescent="0.25">
      <c r="C53" s="21"/>
      <c r="D53" s="21"/>
      <c r="E53" s="21"/>
    </row>
    <row r="54" spans="3:5" s="5" customFormat="1" x14ac:dyDescent="0.25">
      <c r="C54" s="21"/>
      <c r="D54" s="21"/>
      <c r="E54" s="21"/>
    </row>
    <row r="55" spans="3:5" s="5" customFormat="1" x14ac:dyDescent="0.25">
      <c r="C55" s="21"/>
      <c r="D55" s="21"/>
      <c r="E55" s="21"/>
    </row>
    <row r="56" spans="3:5" s="5" customFormat="1" x14ac:dyDescent="0.25">
      <c r="C56" s="21"/>
      <c r="D56" s="21"/>
      <c r="E56" s="21"/>
    </row>
    <row r="57" spans="3:5" s="5" customFormat="1" x14ac:dyDescent="0.25">
      <c r="C57" s="21"/>
      <c r="D57" s="21"/>
      <c r="E57" s="21"/>
    </row>
    <row r="58" spans="3:5" s="5" customFormat="1" x14ac:dyDescent="0.25">
      <c r="C58" s="21"/>
      <c r="D58" s="21"/>
      <c r="E58" s="21"/>
    </row>
    <row r="59" spans="3:5" s="5" customFormat="1" x14ac:dyDescent="0.25">
      <c r="C59" s="21"/>
      <c r="D59" s="21"/>
      <c r="E59" s="21"/>
    </row>
    <row r="60" spans="3:5" s="5" customFormat="1" x14ac:dyDescent="0.25">
      <c r="C60" s="21"/>
      <c r="D60" s="21"/>
      <c r="E60" s="21"/>
    </row>
    <row r="61" spans="3:5" s="5" customFormat="1" x14ac:dyDescent="0.25">
      <c r="C61" s="21"/>
      <c r="D61" s="21"/>
      <c r="E61" s="21"/>
    </row>
    <row r="62" spans="3:5" s="5" customFormat="1" x14ac:dyDescent="0.25">
      <c r="C62" s="21"/>
      <c r="D62" s="21"/>
      <c r="E62" s="21"/>
    </row>
    <row r="63" spans="3:5" s="5" customFormat="1" x14ac:dyDescent="0.25">
      <c r="C63" s="21"/>
      <c r="D63" s="21"/>
      <c r="E63" s="21"/>
    </row>
  </sheetData>
  <mergeCells count="4">
    <mergeCell ref="A14:B14"/>
    <mergeCell ref="A22:B22"/>
    <mergeCell ref="A31:B31"/>
    <mergeCell ref="A6:E7"/>
  </mergeCells>
  <pageMargins left="0.78740157480314965" right="0.19685039370078741" top="0.78740157480314965" bottom="0.78740157480314965" header="0.39370078740157483" footer="0.19685039370078741"/>
  <pageSetup paperSize="9" scale="90" orientation="portrait" r:id="rId1"/>
  <headerFooter alignWithMargins="0">
    <oddHeader>&amp;L&amp;"Arial Narrow,Normal"&amp;8Presupuesto Municipal 2020
&amp;R&amp;"Arial Narrow,Normal"&amp;8MUNICIPALIDAD DE VILLA MARÍA
Secretaría de Economía y Finanzas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30" zoomScale="120" zoomScaleNormal="120" zoomScaleSheetLayoutView="100" workbookViewId="0">
      <selection activeCell="B51" sqref="B51"/>
    </sheetView>
  </sheetViews>
  <sheetFormatPr baseColWidth="10" defaultColWidth="11.453125" defaultRowHeight="13" x14ac:dyDescent="0.3"/>
  <cols>
    <col min="1" max="1" width="9.7265625" style="52" customWidth="1"/>
    <col min="2" max="2" width="46.7265625" style="52" customWidth="1"/>
    <col min="3" max="3" width="12.7265625" style="62" customWidth="1"/>
    <col min="4" max="4" width="10.7265625" style="62" customWidth="1"/>
    <col min="5" max="5" width="13.7265625" style="62" customWidth="1"/>
    <col min="6" max="6" width="6.453125" style="52" customWidth="1"/>
    <col min="7" max="16384" width="11.453125" style="52"/>
  </cols>
  <sheetData>
    <row r="1" spans="1:7" x14ac:dyDescent="0.3">
      <c r="A1" s="623" t="s">
        <v>544</v>
      </c>
      <c r="B1" s="623"/>
    </row>
    <row r="2" spans="1:7" x14ac:dyDescent="0.3">
      <c r="A2" s="453"/>
    </row>
    <row r="3" spans="1:7" ht="13.5" thickBot="1" x14ac:dyDescent="0.35"/>
    <row r="4" spans="1:7" x14ac:dyDescent="0.3">
      <c r="A4" s="845" t="s">
        <v>545</v>
      </c>
      <c r="B4" s="846"/>
      <c r="C4" s="847"/>
      <c r="D4" s="848" t="s">
        <v>6</v>
      </c>
      <c r="E4" s="900" t="s">
        <v>546</v>
      </c>
    </row>
    <row r="5" spans="1:7" ht="13.5" thickBot="1" x14ac:dyDescent="0.35">
      <c r="A5" s="849"/>
      <c r="B5" s="850"/>
      <c r="C5" s="851"/>
      <c r="D5" s="852"/>
      <c r="E5" s="840"/>
    </row>
    <row r="6" spans="1:7" x14ac:dyDescent="0.3">
      <c r="A6" s="1123" t="s">
        <v>1035</v>
      </c>
      <c r="B6" s="1124"/>
      <c r="C6" s="1124"/>
      <c r="D6" s="1124"/>
      <c r="E6" s="1125"/>
    </row>
    <row r="7" spans="1:7" x14ac:dyDescent="0.3">
      <c r="A7" s="1126"/>
      <c r="B7" s="1127"/>
      <c r="C7" s="1127"/>
      <c r="D7" s="1127"/>
      <c r="E7" s="1128"/>
    </row>
    <row r="8" spans="1:7" ht="13.5" thickBot="1" x14ac:dyDescent="0.35">
      <c r="A8" s="1129"/>
      <c r="B8" s="1130"/>
      <c r="C8" s="1130"/>
      <c r="D8" s="1130"/>
      <c r="E8" s="1131"/>
    </row>
    <row r="9" spans="1:7" s="454" customFormat="1" ht="11.5" x14ac:dyDescent="0.25">
      <c r="A9" s="58" t="s">
        <v>1029</v>
      </c>
      <c r="B9" s="59"/>
      <c r="C9" s="60"/>
      <c r="D9" s="60"/>
      <c r="E9" s="61"/>
    </row>
    <row r="10" spans="1:7" s="454" customFormat="1" ht="11.5" x14ac:dyDescent="0.25">
      <c r="A10" s="58" t="s">
        <v>547</v>
      </c>
      <c r="B10" s="59"/>
      <c r="C10" s="60"/>
      <c r="D10" s="60"/>
      <c r="E10" s="61"/>
    </row>
    <row r="11" spans="1:7" s="454" customFormat="1" ht="11.5" x14ac:dyDescent="0.25">
      <c r="A11" s="58" t="s">
        <v>809</v>
      </c>
      <c r="B11" s="59"/>
      <c r="C11" s="60"/>
      <c r="D11" s="60"/>
      <c r="E11" s="61"/>
    </row>
    <row r="12" spans="1:7" s="454" customFormat="1" ht="12" thickBot="1" x14ac:dyDescent="0.3">
      <c r="A12" s="58" t="s">
        <v>13</v>
      </c>
      <c r="B12" s="59"/>
      <c r="C12" s="60"/>
      <c r="D12" s="60"/>
      <c r="E12" s="61"/>
    </row>
    <row r="13" spans="1:7" s="454" customFormat="1" ht="12" thickBot="1" x14ac:dyDescent="0.3">
      <c r="A13" s="841" t="s">
        <v>14</v>
      </c>
      <c r="B13" s="842"/>
      <c r="C13" s="843"/>
      <c r="D13" s="853"/>
      <c r="E13" s="844">
        <f>C15+C32+C44</f>
        <v>827530</v>
      </c>
      <c r="G13" s="567"/>
    </row>
    <row r="14" spans="1:7" ht="13.5" thickBot="1" x14ac:dyDescent="0.35"/>
    <row r="15" spans="1:7" ht="13.5" thickBot="1" x14ac:dyDescent="0.35">
      <c r="A15" s="1102" t="s">
        <v>2</v>
      </c>
      <c r="B15" s="1103"/>
      <c r="C15" s="699">
        <f>C16+C18+C21+C27+C25+C23</f>
        <v>129050</v>
      </c>
      <c r="E15" s="467"/>
    </row>
    <row r="16" spans="1:7" s="226" customFormat="1" x14ac:dyDescent="0.3">
      <c r="A16" s="11" t="s">
        <v>103</v>
      </c>
      <c r="B16" s="211" t="s">
        <v>104</v>
      </c>
      <c r="C16" s="563">
        <f>SUM(C17)</f>
        <v>28400</v>
      </c>
      <c r="D16" s="90"/>
      <c r="E16" s="543"/>
    </row>
    <row r="17" spans="1:8" s="43" customFormat="1" ht="13.5" customHeight="1" x14ac:dyDescent="0.25">
      <c r="A17" s="12" t="s">
        <v>46</v>
      </c>
      <c r="B17" s="43" t="s">
        <v>45</v>
      </c>
      <c r="C17" s="24">
        <v>28400</v>
      </c>
      <c r="D17" s="22"/>
      <c r="E17" s="31"/>
      <c r="G17" s="55"/>
    </row>
    <row r="18" spans="1:8" s="43" customFormat="1" ht="13.5" customHeight="1" x14ac:dyDescent="0.25">
      <c r="A18" s="11" t="s">
        <v>105</v>
      </c>
      <c r="B18" s="556" t="s">
        <v>106</v>
      </c>
      <c r="C18" s="31">
        <f>SUM(C19:C20)</f>
        <v>24870</v>
      </c>
      <c r="D18" s="22"/>
      <c r="E18" s="31"/>
      <c r="G18" s="55"/>
    </row>
    <row r="19" spans="1:8" s="43" customFormat="1" ht="13.5" customHeight="1" x14ac:dyDescent="0.25">
      <c r="A19" s="12" t="s">
        <v>67</v>
      </c>
      <c r="B19" s="43" t="s">
        <v>68</v>
      </c>
      <c r="C19" s="24">
        <v>8970</v>
      </c>
      <c r="D19" s="22"/>
      <c r="E19" s="31"/>
      <c r="G19" s="55"/>
    </row>
    <row r="20" spans="1:8" s="43" customFormat="1" ht="13.5" customHeight="1" x14ac:dyDescent="0.25">
      <c r="A20" s="12" t="s">
        <v>86</v>
      </c>
      <c r="B20" s="43" t="s">
        <v>66</v>
      </c>
      <c r="C20" s="24">
        <v>15900</v>
      </c>
      <c r="D20" s="22"/>
      <c r="E20" s="31"/>
      <c r="G20" s="55"/>
    </row>
    <row r="21" spans="1:8" s="43" customFormat="1" ht="13.5" customHeight="1" x14ac:dyDescent="0.25">
      <c r="A21" s="11" t="s">
        <v>107</v>
      </c>
      <c r="B21" s="556" t="s">
        <v>108</v>
      </c>
      <c r="C21" s="31">
        <f>SUM(C22)</f>
        <v>31780</v>
      </c>
      <c r="D21" s="22"/>
      <c r="E21" s="31"/>
      <c r="G21" s="55"/>
    </row>
    <row r="22" spans="1:8" s="8" customFormat="1" ht="13.5" customHeight="1" x14ac:dyDescent="0.25">
      <c r="A22" s="12" t="s">
        <v>47</v>
      </c>
      <c r="B22" s="24" t="s">
        <v>48</v>
      </c>
      <c r="C22" s="24">
        <v>31780</v>
      </c>
      <c r="D22" s="78"/>
      <c r="E22" s="25"/>
      <c r="F22" s="99"/>
      <c r="G22" s="55"/>
      <c r="H22" s="43"/>
    </row>
    <row r="23" spans="1:8" s="8" customFormat="1" ht="13.5" customHeight="1" x14ac:dyDescent="0.25">
      <c r="A23" s="265" t="s">
        <v>119</v>
      </c>
      <c r="B23" s="559" t="s">
        <v>191</v>
      </c>
      <c r="C23" s="31">
        <f>SUM(C24)</f>
        <v>8000</v>
      </c>
      <c r="D23" s="78"/>
      <c r="E23" s="25"/>
      <c r="F23" s="99"/>
      <c r="G23" s="55"/>
      <c r="H23" s="43"/>
    </row>
    <row r="24" spans="1:8" s="8" customFormat="1" ht="13.5" customHeight="1" x14ac:dyDescent="0.25">
      <c r="A24" s="72" t="s">
        <v>697</v>
      </c>
      <c r="B24" s="24" t="s">
        <v>810</v>
      </c>
      <c r="C24" s="24">
        <v>8000</v>
      </c>
      <c r="D24" s="78"/>
      <c r="E24" s="25"/>
      <c r="F24" s="99"/>
      <c r="G24" s="55"/>
      <c r="H24" s="43"/>
    </row>
    <row r="25" spans="1:8" s="66" customFormat="1" x14ac:dyDescent="0.3">
      <c r="A25" s="265" t="s">
        <v>124</v>
      </c>
      <c r="B25" s="559" t="s">
        <v>123</v>
      </c>
      <c r="C25" s="64">
        <f>SUM(C26)</f>
        <v>6000</v>
      </c>
      <c r="D25" s="68"/>
      <c r="E25" s="68"/>
    </row>
    <row r="26" spans="1:8" s="8" customFormat="1" ht="13.5" customHeight="1" x14ac:dyDescent="0.25">
      <c r="A26" s="59" t="s">
        <v>93</v>
      </c>
      <c r="B26" s="59" t="s">
        <v>548</v>
      </c>
      <c r="C26" s="24">
        <v>6000</v>
      </c>
      <c r="D26" s="78"/>
      <c r="E26" s="25"/>
      <c r="F26" s="204"/>
      <c r="G26" s="55"/>
      <c r="H26" s="55"/>
    </row>
    <row r="27" spans="1:8" s="66" customFormat="1" x14ac:dyDescent="0.3">
      <c r="A27" s="265" t="s">
        <v>151</v>
      </c>
      <c r="B27" s="25" t="s">
        <v>125</v>
      </c>
      <c r="C27" s="64">
        <f>SUM(C28:C30)</f>
        <v>30000</v>
      </c>
      <c r="D27" s="68"/>
      <c r="E27" s="68"/>
    </row>
    <row r="28" spans="1:8" s="66" customFormat="1" ht="13.5" customHeight="1" x14ac:dyDescent="0.3">
      <c r="A28" s="12" t="s">
        <v>152</v>
      </c>
      <c r="B28" s="24" t="s">
        <v>65</v>
      </c>
      <c r="C28" s="60">
        <v>4520</v>
      </c>
      <c r="D28" s="68"/>
      <c r="E28" s="68"/>
    </row>
    <row r="29" spans="1:8" s="66" customFormat="1" ht="13.5" customHeight="1" x14ac:dyDescent="0.3">
      <c r="A29" s="12" t="s">
        <v>153</v>
      </c>
      <c r="B29" s="24" t="s">
        <v>70</v>
      </c>
      <c r="C29" s="60">
        <v>7800</v>
      </c>
      <c r="D29" s="68"/>
      <c r="E29" s="68"/>
    </row>
    <row r="30" spans="1:8" s="8" customFormat="1" ht="13.5" customHeight="1" x14ac:dyDescent="0.25">
      <c r="A30" s="12" t="s">
        <v>155</v>
      </c>
      <c r="B30" s="23" t="s">
        <v>125</v>
      </c>
      <c r="C30" s="24">
        <v>17680</v>
      </c>
      <c r="D30" s="78"/>
      <c r="E30" s="25"/>
      <c r="F30" s="211"/>
      <c r="G30" s="55"/>
      <c r="H30" s="74"/>
    </row>
    <row r="31" spans="1:8" s="8" customFormat="1" ht="13.5" customHeight="1" thickBot="1" x14ac:dyDescent="0.3">
      <c r="A31" s="12"/>
      <c r="B31" s="24"/>
      <c r="C31" s="24"/>
      <c r="D31" s="78"/>
      <c r="E31" s="25"/>
      <c r="F31" s="211"/>
      <c r="G31" s="55"/>
      <c r="H31" s="74"/>
    </row>
    <row r="32" spans="1:8" s="66" customFormat="1" ht="13.5" thickBot="1" x14ac:dyDescent="0.35">
      <c r="A32" s="1098" t="s">
        <v>3</v>
      </c>
      <c r="B32" s="1099"/>
      <c r="C32" s="700">
        <f>C35+C37+C39+C33</f>
        <v>677790</v>
      </c>
      <c r="D32" s="68"/>
      <c r="E32" s="68"/>
    </row>
    <row r="33" spans="1:9" s="56" customFormat="1" x14ac:dyDescent="0.3">
      <c r="A33" s="11" t="s">
        <v>110</v>
      </c>
      <c r="B33" s="11" t="s">
        <v>111</v>
      </c>
      <c r="C33" s="31">
        <f>SUM(C34)</f>
        <v>36000</v>
      </c>
      <c r="D33" s="78"/>
      <c r="E33" s="25"/>
      <c r="F33" s="57"/>
    </row>
    <row r="34" spans="1:9" s="56" customFormat="1" x14ac:dyDescent="0.3">
      <c r="A34" s="12" t="s">
        <v>52</v>
      </c>
      <c r="B34" s="12" t="s">
        <v>15</v>
      </c>
      <c r="C34" s="24">
        <v>36000</v>
      </c>
      <c r="D34" s="79"/>
      <c r="E34" s="25"/>
      <c r="F34" s="57"/>
    </row>
    <row r="35" spans="1:9" s="8" customFormat="1" ht="13.5" customHeight="1" x14ac:dyDescent="0.25">
      <c r="A35" s="560" t="s">
        <v>120</v>
      </c>
      <c r="B35" s="561" t="s">
        <v>121</v>
      </c>
      <c r="C35" s="31">
        <f>SUM(C36)</f>
        <v>8500</v>
      </c>
      <c r="D35" s="78"/>
      <c r="E35" s="25"/>
      <c r="F35" s="99"/>
      <c r="G35" s="55"/>
      <c r="H35" s="43"/>
      <c r="I35" s="83"/>
    </row>
    <row r="36" spans="1:9" s="8" customFormat="1" ht="13.5" customHeight="1" x14ac:dyDescent="0.25">
      <c r="A36" s="59" t="s">
        <v>136</v>
      </c>
      <c r="B36" s="59" t="s">
        <v>71</v>
      </c>
      <c r="C36" s="24">
        <v>8500</v>
      </c>
      <c r="D36" s="78"/>
      <c r="E36" s="25"/>
      <c r="F36" s="204"/>
      <c r="G36" s="55"/>
      <c r="H36" s="55"/>
    </row>
    <row r="37" spans="1:9" s="8" customFormat="1" ht="13.5" customHeight="1" x14ac:dyDescent="0.25">
      <c r="A37" s="265" t="s">
        <v>112</v>
      </c>
      <c r="B37" s="25" t="s">
        <v>157</v>
      </c>
      <c r="C37" s="31">
        <f>SUM(C38)</f>
        <v>400350</v>
      </c>
      <c r="D37" s="78"/>
      <c r="E37" s="25"/>
      <c r="F37" s="204"/>
      <c r="G37" s="55"/>
      <c r="H37" s="55"/>
    </row>
    <row r="38" spans="1:9" s="56" customFormat="1" ht="13.5" customHeight="1" x14ac:dyDescent="0.3">
      <c r="A38" s="72" t="s">
        <v>49</v>
      </c>
      <c r="B38" s="23" t="s">
        <v>87</v>
      </c>
      <c r="C38" s="60">
        <f>385350+15000</f>
        <v>400350</v>
      </c>
      <c r="F38" s="57"/>
    </row>
    <row r="39" spans="1:9" s="56" customFormat="1" x14ac:dyDescent="0.3">
      <c r="A39" s="265" t="s">
        <v>115</v>
      </c>
      <c r="B39" s="25" t="s">
        <v>8</v>
      </c>
      <c r="C39" s="64">
        <f>SUM(C40:C42)</f>
        <v>232940</v>
      </c>
      <c r="F39" s="57"/>
    </row>
    <row r="40" spans="1:9" s="56" customFormat="1" ht="13.5" customHeight="1" x14ac:dyDescent="0.3">
      <c r="A40" s="72" t="s">
        <v>92</v>
      </c>
      <c r="B40" s="23" t="s">
        <v>8</v>
      </c>
      <c r="C40" s="60">
        <f>174310+15000</f>
        <v>189310</v>
      </c>
      <c r="F40" s="57"/>
      <c r="G40" s="66"/>
      <c r="H40" s="66"/>
      <c r="I40" s="66"/>
    </row>
    <row r="41" spans="1:9" s="56" customFormat="1" ht="13.5" customHeight="1" x14ac:dyDescent="0.3">
      <c r="A41" s="72" t="s">
        <v>181</v>
      </c>
      <c r="B41" s="23" t="s">
        <v>50</v>
      </c>
      <c r="C41" s="60">
        <v>7630</v>
      </c>
      <c r="D41" s="64"/>
      <c r="E41" s="57"/>
      <c r="F41" s="57"/>
    </row>
    <row r="42" spans="1:9" s="66" customFormat="1" ht="13.5" customHeight="1" x14ac:dyDescent="0.3">
      <c r="A42" s="72" t="s">
        <v>90</v>
      </c>
      <c r="B42" s="23" t="s">
        <v>7</v>
      </c>
      <c r="C42" s="60">
        <v>36000</v>
      </c>
      <c r="D42" s="25"/>
      <c r="E42" s="213"/>
      <c r="F42" s="57"/>
      <c r="G42" s="56"/>
      <c r="H42" s="56"/>
      <c r="I42" s="56"/>
    </row>
    <row r="43" spans="1:9" s="66" customFormat="1" ht="13.5" thickBot="1" x14ac:dyDescent="0.35">
      <c r="A43" s="72"/>
      <c r="B43" s="59"/>
      <c r="C43" s="67"/>
      <c r="D43" s="60"/>
      <c r="E43" s="57"/>
      <c r="F43" s="57"/>
    </row>
    <row r="44" spans="1:9" s="66" customFormat="1" ht="13.5" thickBot="1" x14ac:dyDescent="0.35">
      <c r="A44" s="1094" t="s">
        <v>4</v>
      </c>
      <c r="B44" s="1095"/>
      <c r="C44" s="702">
        <f>C45+C47</f>
        <v>20690</v>
      </c>
      <c r="D44" s="68"/>
      <c r="E44" s="68"/>
    </row>
    <row r="45" spans="1:9" s="239" customFormat="1" x14ac:dyDescent="0.3">
      <c r="A45" s="265" t="s">
        <v>116</v>
      </c>
      <c r="B45" s="211" t="s">
        <v>117</v>
      </c>
      <c r="C45" s="563">
        <f>SUM(C46)</f>
        <v>12820</v>
      </c>
      <c r="D45" s="95"/>
      <c r="E45" s="95"/>
    </row>
    <row r="46" spans="1:9" s="66" customFormat="1" ht="13.5" customHeight="1" x14ac:dyDescent="0.3">
      <c r="A46" s="72" t="s">
        <v>91</v>
      </c>
      <c r="B46" s="70" t="s">
        <v>139</v>
      </c>
      <c r="C46" s="60">
        <v>12820</v>
      </c>
      <c r="D46" s="68"/>
      <c r="E46" s="68"/>
    </row>
    <row r="47" spans="1:9" s="66" customFormat="1" x14ac:dyDescent="0.3">
      <c r="A47" s="265" t="s">
        <v>166</v>
      </c>
      <c r="B47" s="25" t="s">
        <v>135</v>
      </c>
      <c r="C47" s="64">
        <f>SUM(C48)</f>
        <v>7870</v>
      </c>
      <c r="D47" s="68"/>
      <c r="E47" s="68"/>
    </row>
    <row r="48" spans="1:9" s="66" customFormat="1" ht="13.5" customHeight="1" x14ac:dyDescent="0.3">
      <c r="A48" s="72" t="s">
        <v>167</v>
      </c>
      <c r="B48" s="23" t="s">
        <v>51</v>
      </c>
      <c r="C48" s="60">
        <v>7870</v>
      </c>
      <c r="D48" s="67"/>
      <c r="E48" s="68"/>
    </row>
    <row r="49" spans="3:5" s="66" customFormat="1" x14ac:dyDescent="0.3">
      <c r="C49" s="57"/>
      <c r="D49" s="68"/>
      <c r="E49" s="68"/>
    </row>
  </sheetData>
  <mergeCells count="4">
    <mergeCell ref="A15:B15"/>
    <mergeCell ref="A32:B32"/>
    <mergeCell ref="A44:B44"/>
    <mergeCell ref="A6:E8"/>
  </mergeCells>
  <pageMargins left="0.78740157480314965" right="0.19685039370078741" top="0.78740157480314965" bottom="0.78740157480314965" header="0.39370078740157483" footer="0.19685039370078741"/>
  <pageSetup paperSize="9" scale="90" orientation="portrait" r:id="rId1"/>
  <headerFooter>
    <oddHeader>&amp;L&amp;"Arial Narrow,Normal"&amp;8Presupuesto Municipal 2020&amp;R&amp;"Arial Narrow,Normal"&amp;8MUNICIPALIDAD DE VILLA MARÍA
Secretaría de Economía y Finanzas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view="pageLayout" topLeftCell="A13" zoomScaleNormal="120" zoomScaleSheetLayoutView="100" workbookViewId="0">
      <selection activeCell="E30" sqref="E30"/>
    </sheetView>
  </sheetViews>
  <sheetFormatPr baseColWidth="10" defaultColWidth="11.453125" defaultRowHeight="13" x14ac:dyDescent="0.3"/>
  <cols>
    <col min="1" max="1" width="9.7265625" style="387" customWidth="1"/>
    <col min="2" max="2" width="46.7265625" style="522" customWidth="1"/>
    <col min="3" max="3" width="12.7265625" style="479" customWidth="1"/>
    <col min="4" max="4" width="10.7265625" style="523" customWidth="1"/>
    <col min="5" max="5" width="13.7265625" style="514" customWidth="1"/>
    <col min="6" max="6" width="7.453125" style="517" customWidth="1"/>
    <col min="7" max="10" width="12.7265625" style="516" customWidth="1"/>
    <col min="11" max="16384" width="11.453125" style="4"/>
  </cols>
  <sheetData>
    <row r="1" spans="1:12" s="498" customFormat="1" ht="12.75" customHeight="1" x14ac:dyDescent="0.3">
      <c r="A1" s="582" t="s">
        <v>620</v>
      </c>
      <c r="B1" s="625"/>
      <c r="C1" s="493"/>
      <c r="D1" s="494"/>
      <c r="E1" s="495"/>
      <c r="F1" s="496"/>
      <c r="G1" s="497"/>
      <c r="H1" s="497"/>
      <c r="I1" s="497"/>
      <c r="J1" s="497"/>
    </row>
    <row r="2" spans="1:12" s="498" customFormat="1" ht="12.75" customHeight="1" x14ac:dyDescent="0.3">
      <c r="A2" s="499"/>
      <c r="B2" s="492"/>
      <c r="C2" s="493"/>
      <c r="D2" s="494"/>
      <c r="E2" s="495"/>
      <c r="F2" s="496"/>
      <c r="G2" s="497"/>
      <c r="H2" s="497"/>
      <c r="I2" s="497"/>
      <c r="J2" s="497"/>
    </row>
    <row r="3" spans="1:12" s="6" customFormat="1" ht="13.5" customHeight="1" thickBot="1" x14ac:dyDescent="0.3">
      <c r="A3" s="72"/>
      <c r="B3" s="182"/>
      <c r="C3" s="23"/>
      <c r="D3" s="232"/>
      <c r="E3" s="157"/>
      <c r="F3" s="223"/>
    </row>
    <row r="4" spans="1:12" s="13" customFormat="1" ht="13.5" customHeight="1" x14ac:dyDescent="0.25">
      <c r="A4" s="816" t="s">
        <v>543</v>
      </c>
      <c r="B4" s="861"/>
      <c r="C4" s="862"/>
      <c r="D4" s="863" t="s">
        <v>6</v>
      </c>
      <c r="E4" s="883">
        <v>6001</v>
      </c>
      <c r="F4" s="224"/>
    </row>
    <row r="5" spans="1:12" s="13" customFormat="1" ht="13.5" customHeight="1" thickBot="1" x14ac:dyDescent="0.3">
      <c r="A5" s="864"/>
      <c r="B5" s="865"/>
      <c r="C5" s="866"/>
      <c r="D5" s="867"/>
      <c r="E5" s="868"/>
      <c r="F5" s="224"/>
    </row>
    <row r="6" spans="1:12" s="13" customFormat="1" ht="13.5" customHeight="1" x14ac:dyDescent="0.25">
      <c r="A6" s="1123" t="s">
        <v>858</v>
      </c>
      <c r="B6" s="1124"/>
      <c r="C6" s="1124"/>
      <c r="D6" s="1124"/>
      <c r="E6" s="1125"/>
      <c r="F6" s="224"/>
    </row>
    <row r="7" spans="1:12" s="13" customFormat="1" ht="13.5" customHeight="1" thickBot="1" x14ac:dyDescent="0.3">
      <c r="A7" s="1129"/>
      <c r="B7" s="1130"/>
      <c r="C7" s="1130"/>
      <c r="D7" s="1130"/>
      <c r="E7" s="1131"/>
      <c r="F7" s="224"/>
    </row>
    <row r="8" spans="1:12" s="13" customFormat="1" ht="13.5" customHeight="1" x14ac:dyDescent="0.25">
      <c r="A8" s="119" t="s">
        <v>1036</v>
      </c>
      <c r="B8" s="173"/>
      <c r="C8" s="420"/>
      <c r="D8" s="509"/>
      <c r="E8" s="171"/>
      <c r="F8" s="224"/>
    </row>
    <row r="9" spans="1:12" s="13" customFormat="1" ht="13.5" customHeight="1" x14ac:dyDescent="0.25">
      <c r="A9" s="41" t="s">
        <v>619</v>
      </c>
      <c r="B9" s="143"/>
      <c r="C9" s="24"/>
      <c r="D9" s="227"/>
      <c r="E9" s="141"/>
      <c r="F9" s="224"/>
    </row>
    <row r="10" spans="1:12" s="13" customFormat="1" ht="13.5" customHeight="1" x14ac:dyDescent="0.25">
      <c r="A10" s="41" t="s">
        <v>624</v>
      </c>
      <c r="B10" s="143"/>
      <c r="C10" s="24"/>
      <c r="D10" s="227"/>
      <c r="E10" s="141"/>
      <c r="F10" s="224"/>
    </row>
    <row r="11" spans="1:12" s="13" customFormat="1" ht="13.5" customHeight="1" thickBot="1" x14ac:dyDescent="0.3">
      <c r="A11" s="76" t="s">
        <v>11</v>
      </c>
      <c r="B11" s="139"/>
      <c r="C11" s="377"/>
      <c r="D11" s="510"/>
      <c r="E11" s="137"/>
      <c r="F11" s="224"/>
    </row>
    <row r="12" spans="1:12" s="13" customFormat="1" ht="13.5" customHeight="1" thickBot="1" x14ac:dyDescent="0.3">
      <c r="A12" s="856" t="s">
        <v>0</v>
      </c>
      <c r="B12" s="869"/>
      <c r="C12" s="870" t="s">
        <v>200</v>
      </c>
      <c r="D12" s="871"/>
      <c r="E12" s="859">
        <f>C14+C20+C27</f>
        <v>236570</v>
      </c>
      <c r="F12" s="872"/>
    </row>
    <row r="13" spans="1:12" s="6" customFormat="1" ht="13.5" customHeight="1" thickBot="1" x14ac:dyDescent="0.35">
      <c r="A13" s="11"/>
      <c r="B13" s="175"/>
      <c r="C13" s="31"/>
      <c r="D13" s="500"/>
      <c r="E13" s="45"/>
      <c r="F13" s="223"/>
      <c r="G13" s="56"/>
      <c r="H13" s="56"/>
      <c r="I13" s="56"/>
      <c r="J13" s="56"/>
      <c r="K13" s="56"/>
      <c r="L13" s="13"/>
    </row>
    <row r="14" spans="1:12" s="8" customFormat="1" ht="13.5" customHeight="1" thickBot="1" x14ac:dyDescent="0.35">
      <c r="A14" s="1104" t="s">
        <v>2</v>
      </c>
      <c r="B14" s="1105"/>
      <c r="C14" s="667">
        <f>C15+C17</f>
        <v>39950</v>
      </c>
      <c r="D14" s="68"/>
      <c r="E14" s="507"/>
      <c r="F14" s="204"/>
      <c r="G14" s="211"/>
      <c r="H14" s="85"/>
      <c r="I14" s="43"/>
      <c r="J14" s="43"/>
      <c r="K14" s="43"/>
      <c r="L14" s="43"/>
    </row>
    <row r="15" spans="1:12" s="99" customFormat="1" ht="13.5" customHeight="1" x14ac:dyDescent="0.3">
      <c r="A15" s="11" t="s">
        <v>107</v>
      </c>
      <c r="B15" s="556" t="s">
        <v>108</v>
      </c>
      <c r="C15" s="32">
        <f>SUM(C16)</f>
        <v>13500</v>
      </c>
      <c r="D15" s="95"/>
      <c r="E15" s="962"/>
      <c r="H15" s="55"/>
      <c r="I15" s="43"/>
      <c r="J15" s="43"/>
      <c r="K15" s="43"/>
    </row>
    <row r="16" spans="1:12" s="66" customFormat="1" x14ac:dyDescent="0.3">
      <c r="A16" s="12" t="s">
        <v>47</v>
      </c>
      <c r="B16" s="23" t="s">
        <v>48</v>
      </c>
      <c r="C16" s="24">
        <v>13500</v>
      </c>
      <c r="D16" s="484"/>
      <c r="E16" s="484"/>
      <c r="F16" s="484"/>
      <c r="G16" s="211"/>
      <c r="H16" s="55"/>
      <c r="I16" s="74"/>
      <c r="J16" s="43"/>
      <c r="K16" s="43"/>
      <c r="L16" s="56"/>
    </row>
    <row r="17" spans="1:12" s="66" customFormat="1" x14ac:dyDescent="0.3">
      <c r="A17" s="265" t="s">
        <v>151</v>
      </c>
      <c r="B17" s="25" t="s">
        <v>133</v>
      </c>
      <c r="C17" s="31">
        <f>SUM(C18)</f>
        <v>26450</v>
      </c>
      <c r="D17" s="484"/>
      <c r="E17" s="484"/>
      <c r="F17" s="484"/>
      <c r="G17" s="505"/>
      <c r="H17" s="56"/>
      <c r="I17" s="56"/>
      <c r="J17" s="56"/>
      <c r="K17" s="56"/>
      <c r="L17" s="56"/>
    </row>
    <row r="18" spans="1:12" s="66" customFormat="1" x14ac:dyDescent="0.3">
      <c r="A18" s="72" t="s">
        <v>155</v>
      </c>
      <c r="B18" s="23" t="s">
        <v>125</v>
      </c>
      <c r="C18" s="60">
        <v>26450</v>
      </c>
      <c r="D18" s="484"/>
      <c r="E18" s="484"/>
      <c r="F18" s="484"/>
      <c r="G18" s="505"/>
      <c r="H18" s="56"/>
      <c r="I18" s="56"/>
      <c r="J18" s="56"/>
      <c r="K18" s="56"/>
      <c r="L18" s="56"/>
    </row>
    <row r="19" spans="1:12" s="66" customFormat="1" ht="13.5" thickBot="1" x14ac:dyDescent="0.35">
      <c r="A19" s="72"/>
      <c r="B19" s="23"/>
      <c r="C19" s="67"/>
      <c r="D19" s="484"/>
      <c r="E19" s="484"/>
      <c r="F19" s="484"/>
      <c r="G19" s="505"/>
      <c r="H19" s="56"/>
      <c r="I19" s="56"/>
      <c r="J19" s="56"/>
      <c r="K19" s="56"/>
      <c r="L19" s="56"/>
    </row>
    <row r="20" spans="1:12" s="8" customFormat="1" ht="13.5" customHeight="1" thickBot="1" x14ac:dyDescent="0.35">
      <c r="A20" s="1096" t="s">
        <v>3</v>
      </c>
      <c r="B20" s="1097"/>
      <c r="C20" s="668">
        <f>C21+C23</f>
        <v>153000</v>
      </c>
      <c r="D20" s="57"/>
      <c r="E20" s="465"/>
      <c r="F20" s="99"/>
      <c r="G20" s="43"/>
      <c r="H20" s="43"/>
      <c r="I20" s="43"/>
      <c r="J20" s="43"/>
      <c r="K20" s="43"/>
      <c r="L20" s="43"/>
    </row>
    <row r="21" spans="1:12" s="101" customFormat="1" ht="13.5" customHeight="1" x14ac:dyDescent="0.25">
      <c r="A21" s="11" t="s">
        <v>341</v>
      </c>
      <c r="B21" s="298" t="s">
        <v>342</v>
      </c>
      <c r="C21" s="32">
        <f>SUM(C22)</f>
        <v>15500</v>
      </c>
      <c r="D21" s="237"/>
      <c r="E21" s="237"/>
      <c r="F21" s="351"/>
      <c r="G21" s="351"/>
      <c r="H21" s="96"/>
    </row>
    <row r="22" spans="1:12" s="72" customFormat="1" ht="13.5" customHeight="1" x14ac:dyDescent="0.25">
      <c r="A22" s="12" t="s">
        <v>349</v>
      </c>
      <c r="B22" s="12" t="s">
        <v>350</v>
      </c>
      <c r="C22" s="22">
        <f>15500</f>
        <v>15500</v>
      </c>
      <c r="D22" s="96"/>
      <c r="E22" s="31"/>
      <c r="F22" s="101"/>
      <c r="G22" s="96"/>
      <c r="H22" s="12"/>
      <c r="I22" s="23"/>
    </row>
    <row r="23" spans="1:12" s="99" customFormat="1" ht="13.5" customHeight="1" x14ac:dyDescent="0.3">
      <c r="A23" s="560" t="s">
        <v>115</v>
      </c>
      <c r="B23" s="31" t="s">
        <v>8</v>
      </c>
      <c r="C23" s="32">
        <f>SUM(C24:C25)</f>
        <v>137500</v>
      </c>
      <c r="D23" s="95"/>
      <c r="E23" s="155"/>
    </row>
    <row r="24" spans="1:12" s="8" customFormat="1" ht="13.5" customHeight="1" x14ac:dyDescent="0.25">
      <c r="A24" s="72" t="s">
        <v>92</v>
      </c>
      <c r="B24" s="24" t="s">
        <v>8</v>
      </c>
      <c r="C24" s="24">
        <f>9500*12</f>
        <v>114000</v>
      </c>
      <c r="D24" s="43"/>
      <c r="E24" s="353"/>
      <c r="F24" s="357"/>
      <c r="G24" s="504"/>
      <c r="H24" s="43"/>
      <c r="J24" s="83"/>
    </row>
    <row r="25" spans="1:12" s="8" customFormat="1" ht="13.5" customHeight="1" x14ac:dyDescent="0.3">
      <c r="A25" s="72" t="s">
        <v>90</v>
      </c>
      <c r="B25" s="24" t="s">
        <v>7</v>
      </c>
      <c r="C25" s="60">
        <f>23500</f>
        <v>23500</v>
      </c>
      <c r="D25" s="504"/>
      <c r="E25" s="353"/>
      <c r="F25" s="484"/>
      <c r="G25" s="507"/>
    </row>
    <row r="26" spans="1:12" s="8" customFormat="1" ht="13.5" customHeight="1" thickBot="1" x14ac:dyDescent="0.35">
      <c r="A26" s="72"/>
      <c r="B26" s="24"/>
      <c r="C26" s="60"/>
      <c r="D26" s="504"/>
      <c r="E26" s="353"/>
      <c r="F26" s="484"/>
      <c r="G26" s="507"/>
    </row>
    <row r="27" spans="1:12" s="8" customFormat="1" ht="13.5" customHeight="1" thickBot="1" x14ac:dyDescent="0.35">
      <c r="A27" s="1100" t="s">
        <v>4</v>
      </c>
      <c r="B27" s="1101"/>
      <c r="C27" s="670">
        <f>C28+C30</f>
        <v>43620</v>
      </c>
      <c r="D27" s="68"/>
      <c r="E27" s="9"/>
      <c r="F27" s="204"/>
    </row>
    <row r="28" spans="1:12" s="99" customFormat="1" ht="13.5" customHeight="1" x14ac:dyDescent="0.3">
      <c r="A28" s="265" t="s">
        <v>116</v>
      </c>
      <c r="B28" s="211" t="s">
        <v>117</v>
      </c>
      <c r="C28" s="32">
        <f>SUM(C29)</f>
        <v>27980</v>
      </c>
      <c r="D28" s="95"/>
      <c r="E28" s="155"/>
    </row>
    <row r="29" spans="1:12" s="66" customFormat="1" x14ac:dyDescent="0.3">
      <c r="A29" s="70" t="s">
        <v>91</v>
      </c>
      <c r="B29" s="70" t="s">
        <v>139</v>
      </c>
      <c r="C29" s="60">
        <v>27980</v>
      </c>
      <c r="D29" s="491"/>
      <c r="E29" s="491"/>
      <c r="F29" s="491"/>
      <c r="G29" s="508"/>
    </row>
    <row r="30" spans="1:12" s="66" customFormat="1" x14ac:dyDescent="0.3">
      <c r="A30" s="265" t="s">
        <v>166</v>
      </c>
      <c r="B30" s="25" t="s">
        <v>134</v>
      </c>
      <c r="C30" s="64">
        <f>SUM(C31)</f>
        <v>15640</v>
      </c>
      <c r="D30" s="491"/>
      <c r="E30" s="491"/>
      <c r="F30" s="491"/>
      <c r="G30" s="508"/>
    </row>
    <row r="31" spans="1:12" s="66" customFormat="1" x14ac:dyDescent="0.3">
      <c r="A31" s="72" t="s">
        <v>167</v>
      </c>
      <c r="B31" s="23" t="s">
        <v>51</v>
      </c>
      <c r="C31" s="60">
        <f>4700*1.2+10000</f>
        <v>15640</v>
      </c>
      <c r="D31" s="491"/>
      <c r="E31" s="491"/>
      <c r="F31" s="491"/>
      <c r="G31" s="508"/>
    </row>
    <row r="32" spans="1:12" s="6" customFormat="1" ht="13.5" customHeight="1" x14ac:dyDescent="0.25">
      <c r="A32" s="72"/>
      <c r="B32" s="72"/>
      <c r="C32" s="24"/>
      <c r="D32" s="232"/>
      <c r="E32" s="157"/>
      <c r="F32" s="223"/>
    </row>
    <row r="33" spans="1:6" x14ac:dyDescent="0.3">
      <c r="B33" s="512"/>
      <c r="C33" s="309"/>
      <c r="D33" s="513"/>
      <c r="F33" s="515"/>
    </row>
    <row r="34" spans="1:6" ht="14.5" x14ac:dyDescent="0.3">
      <c r="B34" s="519"/>
      <c r="C34" s="21"/>
      <c r="D34" s="520"/>
      <c r="E34" s="518"/>
    </row>
    <row r="39" spans="1:6" s="6" customFormat="1" ht="13.5" customHeight="1" x14ac:dyDescent="0.25">
      <c r="A39" s="10"/>
      <c r="B39" s="176"/>
      <c r="C39" s="28"/>
      <c r="D39" s="233"/>
      <c r="E39" s="157"/>
      <c r="F39" s="223"/>
    </row>
    <row r="40" spans="1:6" s="6" customFormat="1" ht="13.5" customHeight="1" x14ac:dyDescent="0.25">
      <c r="A40" s="10"/>
      <c r="B40" s="176"/>
      <c r="C40" s="28"/>
      <c r="D40" s="524"/>
      <c r="E40" s="157"/>
      <c r="F40" s="223"/>
    </row>
    <row r="41" spans="1:6" s="6" customFormat="1" ht="13.5" customHeight="1" x14ac:dyDescent="0.25">
      <c r="A41" s="10"/>
      <c r="B41" s="176"/>
      <c r="C41" s="28"/>
      <c r="D41" s="524"/>
      <c r="E41" s="157"/>
      <c r="F41" s="223"/>
    </row>
    <row r="42" spans="1:6" s="6" customFormat="1" ht="13.5" customHeight="1" x14ac:dyDescent="0.25">
      <c r="A42" s="10"/>
      <c r="B42" s="176"/>
      <c r="C42" s="28"/>
      <c r="D42" s="524"/>
      <c r="E42" s="157"/>
      <c r="F42" s="223"/>
    </row>
    <row r="43" spans="1:6" s="6" customFormat="1" ht="13.5" customHeight="1" x14ac:dyDescent="0.25">
      <c r="A43" s="10"/>
      <c r="B43" s="176"/>
      <c r="C43" s="28"/>
      <c r="D43" s="524"/>
      <c r="E43" s="157"/>
      <c r="F43" s="223"/>
    </row>
    <row r="44" spans="1:6" s="6" customFormat="1" ht="13.5" customHeight="1" x14ac:dyDescent="0.25">
      <c r="A44" s="10"/>
      <c r="B44" s="176"/>
      <c r="C44" s="28"/>
      <c r="D44" s="524"/>
      <c r="E44" s="157"/>
      <c r="F44" s="223"/>
    </row>
    <row r="45" spans="1:6" s="6" customFormat="1" ht="13.5" customHeight="1" x14ac:dyDescent="0.25">
      <c r="A45" s="10"/>
      <c r="B45" s="176"/>
      <c r="C45" s="28"/>
      <c r="D45" s="524"/>
      <c r="E45" s="157"/>
      <c r="F45" s="223"/>
    </row>
    <row r="46" spans="1:6" s="6" customFormat="1" ht="13.5" customHeight="1" x14ac:dyDescent="0.25">
      <c r="A46" s="10"/>
      <c r="B46" s="176"/>
      <c r="C46" s="28"/>
      <c r="D46" s="524"/>
      <c r="E46" s="157"/>
      <c r="F46" s="223"/>
    </row>
    <row r="47" spans="1:6" s="6" customFormat="1" ht="13.5" customHeight="1" x14ac:dyDescent="0.25">
      <c r="A47" s="10"/>
      <c r="B47" s="176"/>
      <c r="C47" s="28"/>
      <c r="D47" s="524"/>
      <c r="E47" s="157"/>
      <c r="F47" s="223"/>
    </row>
    <row r="48" spans="1:6" s="6" customFormat="1" ht="13.5" customHeight="1" x14ac:dyDescent="0.25">
      <c r="A48" s="10"/>
      <c r="B48" s="176"/>
      <c r="C48" s="28"/>
      <c r="D48" s="524"/>
      <c r="E48" s="157"/>
      <c r="F48" s="223"/>
    </row>
    <row r="49" spans="1:6" s="6" customFormat="1" ht="13.5" customHeight="1" x14ac:dyDescent="0.25">
      <c r="A49" s="10"/>
      <c r="B49" s="176"/>
      <c r="C49" s="28"/>
      <c r="D49" s="524"/>
      <c r="E49" s="157"/>
      <c r="F49" s="223"/>
    </row>
    <row r="50" spans="1:6" ht="13.5" customHeight="1" x14ac:dyDescent="0.3"/>
    <row r="51" spans="1:6" ht="13.5" customHeight="1" x14ac:dyDescent="0.3"/>
    <row r="52" spans="1:6" ht="13.5" customHeight="1" x14ac:dyDescent="0.3"/>
    <row r="53" spans="1:6" ht="13.5" customHeight="1" x14ac:dyDescent="0.3"/>
    <row r="54" spans="1:6" ht="13.5" customHeight="1" x14ac:dyDescent="0.3"/>
    <row r="55" spans="1:6" ht="13.5" customHeight="1" x14ac:dyDescent="0.3"/>
    <row r="56" spans="1:6" ht="13.5" customHeight="1" x14ac:dyDescent="0.3"/>
    <row r="57" spans="1:6" ht="13.5" customHeight="1" x14ac:dyDescent="0.3"/>
    <row r="58" spans="1:6" ht="13.5" customHeight="1" x14ac:dyDescent="0.3"/>
    <row r="59" spans="1:6" ht="13.5" customHeight="1" x14ac:dyDescent="0.3"/>
    <row r="60" spans="1:6" ht="13.5" customHeight="1" x14ac:dyDescent="0.3"/>
    <row r="61" spans="1:6" ht="13.5" customHeight="1" x14ac:dyDescent="0.3"/>
    <row r="62" spans="1:6" ht="13.5" customHeight="1" x14ac:dyDescent="0.3"/>
    <row r="63" spans="1:6" ht="13.5" customHeight="1" x14ac:dyDescent="0.3"/>
    <row r="64" spans="1:6"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sheetData>
  <mergeCells count="4">
    <mergeCell ref="A27:B27"/>
    <mergeCell ref="A14:B14"/>
    <mergeCell ref="A20:B20"/>
    <mergeCell ref="A6:E7"/>
  </mergeCells>
  <pageMargins left="0.78740157480314965" right="0.19685039370078741" top="0.78740157480314965" bottom="0.78740157480314965" header="0.31496062992125984" footer="0.31496062992125984"/>
  <pageSetup paperSize="9" scale="90" orientation="portrait" r:id="rId1"/>
  <headerFooter>
    <oddHeader>&amp;L&amp;"Arial Narrow,Normal"&amp;8Presupuesto Municipal 2020
&amp;R&amp;"Arial Narrow,Normal"&amp;8MUNICIPALIDAD DE VILLA MARÍA
Secretaría de Economía y Finanzas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126"/>
  <sheetViews>
    <sheetView view="pageLayout" zoomScaleNormal="95" zoomScaleSheetLayoutView="50" workbookViewId="0">
      <selection activeCell="F8" sqref="F8"/>
    </sheetView>
  </sheetViews>
  <sheetFormatPr baseColWidth="10" defaultColWidth="11.453125" defaultRowHeight="13" x14ac:dyDescent="0.3"/>
  <cols>
    <col min="1" max="1" width="9.7265625" style="4" customWidth="1"/>
    <col min="2" max="2" width="46.1796875" style="34" customWidth="1"/>
    <col min="3" max="3" width="12.7265625" style="34" customWidth="1"/>
    <col min="4" max="4" width="11" style="35" customWidth="1"/>
    <col min="5" max="5" width="13.453125" style="36" customWidth="1"/>
    <col min="6" max="6" width="18.7265625" style="89" customWidth="1"/>
    <col min="7" max="16384" width="11.453125" style="4"/>
  </cols>
  <sheetData>
    <row r="1" spans="1:6" s="2" customFormat="1" ht="13.5" customHeight="1" x14ac:dyDescent="0.3">
      <c r="A1" s="470" t="s">
        <v>664</v>
      </c>
      <c r="B1" s="16"/>
      <c r="C1" s="14"/>
      <c r="D1" s="15"/>
      <c r="E1" s="16"/>
      <c r="F1" s="91"/>
    </row>
    <row r="2" spans="1:6" s="2" customFormat="1" ht="13.5" customHeight="1" x14ac:dyDescent="0.3">
      <c r="A2" s="1"/>
      <c r="B2" s="14"/>
      <c r="C2" s="14"/>
      <c r="D2" s="15"/>
      <c r="E2" s="17"/>
      <c r="F2" s="91"/>
    </row>
    <row r="3" spans="1:6" ht="13.5" customHeight="1" thickBot="1" x14ac:dyDescent="0.35">
      <c r="A3" s="3"/>
      <c r="B3" s="18"/>
      <c r="C3" s="18"/>
      <c r="D3" s="19"/>
      <c r="E3" s="20"/>
    </row>
    <row r="4" spans="1:6" ht="13.5" customHeight="1" x14ac:dyDescent="0.3">
      <c r="A4" s="648" t="s">
        <v>672</v>
      </c>
      <c r="B4" s="690" t="s">
        <v>723</v>
      </c>
      <c r="C4" s="691"/>
      <c r="D4" s="692" t="s">
        <v>6</v>
      </c>
      <c r="E4" s="911">
        <v>1001</v>
      </c>
      <c r="F4" s="88"/>
    </row>
    <row r="5" spans="1:6" ht="13.5" customHeight="1" thickBot="1" x14ac:dyDescent="0.35">
      <c r="A5" s="652"/>
      <c r="B5" s="693"/>
      <c r="C5" s="694"/>
      <c r="D5" s="695"/>
      <c r="E5" s="696"/>
      <c r="F5" s="88"/>
    </row>
    <row r="6" spans="1:6" ht="13.5" customHeight="1" x14ac:dyDescent="0.3">
      <c r="A6" s="1123" t="s">
        <v>1009</v>
      </c>
      <c r="B6" s="1124"/>
      <c r="C6" s="1124"/>
      <c r="D6" s="1124"/>
      <c r="E6" s="1125"/>
      <c r="F6" s="88"/>
    </row>
    <row r="7" spans="1:6" ht="13.5" customHeight="1" x14ac:dyDescent="0.3">
      <c r="A7" s="1126"/>
      <c r="B7" s="1127"/>
      <c r="C7" s="1127"/>
      <c r="D7" s="1127"/>
      <c r="E7" s="1128"/>
      <c r="F7" s="88"/>
    </row>
    <row r="8" spans="1:6" ht="13.5" customHeight="1" x14ac:dyDescent="0.3">
      <c r="A8" s="1126"/>
      <c r="B8" s="1127"/>
      <c r="C8" s="1127"/>
      <c r="D8" s="1127"/>
      <c r="E8" s="1128"/>
      <c r="F8" s="88"/>
    </row>
    <row r="9" spans="1:6" ht="13.5" customHeight="1" thickBot="1" x14ac:dyDescent="0.35">
      <c r="A9" s="1129"/>
      <c r="B9" s="1130"/>
      <c r="C9" s="1130"/>
      <c r="D9" s="1130"/>
      <c r="E9" s="1131"/>
      <c r="F9" s="88"/>
    </row>
    <row r="10" spans="1:6" s="6" customFormat="1" ht="13.5" customHeight="1" x14ac:dyDescent="0.25">
      <c r="A10" s="41" t="s">
        <v>1029</v>
      </c>
      <c r="B10" s="31"/>
      <c r="C10" s="31"/>
      <c r="D10" s="32"/>
      <c r="E10" s="42"/>
      <c r="F10" s="88"/>
    </row>
    <row r="11" spans="1:6" s="6" customFormat="1" ht="13.5" customHeight="1" x14ac:dyDescent="0.25">
      <c r="A11" s="41" t="s">
        <v>639</v>
      </c>
      <c r="B11" s="31"/>
      <c r="C11" s="31"/>
      <c r="D11" s="32"/>
      <c r="E11" s="42"/>
      <c r="F11" s="88"/>
    </row>
    <row r="12" spans="1:6" s="6" customFormat="1" x14ac:dyDescent="0.3">
      <c r="A12" s="41" t="s">
        <v>625</v>
      </c>
      <c r="B12" s="31"/>
      <c r="C12" s="31"/>
      <c r="D12" s="32"/>
      <c r="E12" s="42"/>
      <c r="F12" s="89"/>
    </row>
    <row r="13" spans="1:6" s="6" customFormat="1" ht="13.5" customHeight="1" thickBot="1" x14ac:dyDescent="0.3">
      <c r="A13" s="41" t="s">
        <v>11</v>
      </c>
      <c r="B13" s="31"/>
      <c r="C13" s="31"/>
      <c r="D13" s="32"/>
      <c r="E13" s="42"/>
      <c r="F13" s="88"/>
    </row>
    <row r="14" spans="1:6" s="7" customFormat="1" ht="13.5" customHeight="1" thickBot="1" x14ac:dyDescent="0.3">
      <c r="A14" s="762" t="s">
        <v>0</v>
      </c>
      <c r="B14" s="764"/>
      <c r="C14" s="764"/>
      <c r="D14" s="778"/>
      <c r="E14" s="778">
        <f>+C16+C39+C61+C77+D99+D149</f>
        <v>80698284</v>
      </c>
      <c r="F14" s="88"/>
    </row>
    <row r="15" spans="1:6" ht="13.5" customHeight="1" thickBot="1" x14ac:dyDescent="0.35">
      <c r="A15" s="5"/>
      <c r="B15" s="21"/>
      <c r="C15" s="21"/>
      <c r="D15" s="19"/>
      <c r="E15" s="44"/>
    </row>
    <row r="16" spans="1:6" s="8" customFormat="1" ht="12.75" customHeight="1" thickBot="1" x14ac:dyDescent="0.35">
      <c r="A16" s="1132" t="s">
        <v>1</v>
      </c>
      <c r="B16" s="1133"/>
      <c r="C16" s="666">
        <f>C31+C24+C17</f>
        <v>63847051</v>
      </c>
      <c r="D16" s="22"/>
      <c r="E16" s="108"/>
      <c r="F16" s="92"/>
    </row>
    <row r="17" spans="1:6" s="43" customFormat="1" ht="12.75" customHeight="1" x14ac:dyDescent="0.3">
      <c r="A17" s="11" t="s">
        <v>97</v>
      </c>
      <c r="B17" s="211" t="s">
        <v>98</v>
      </c>
      <c r="C17" s="31">
        <f>SUM(C18:C23)</f>
        <v>18900427</v>
      </c>
      <c r="D17" s="22"/>
      <c r="E17" s="24"/>
      <c r="F17" s="95"/>
    </row>
    <row r="18" spans="1:6" s="8" customFormat="1" ht="12.75" customHeight="1" x14ac:dyDescent="0.3">
      <c r="A18" s="12" t="s">
        <v>23</v>
      </c>
      <c r="B18" s="24" t="s">
        <v>20</v>
      </c>
      <c r="C18" s="24">
        <f>2494167+1032508+13697637-2000000</f>
        <v>15224312</v>
      </c>
      <c r="D18" s="22"/>
      <c r="E18" s="25"/>
      <c r="F18" s="92"/>
    </row>
    <row r="19" spans="1:6" s="8" customFormat="1" ht="12.75" customHeight="1" x14ac:dyDescent="0.3">
      <c r="A19" s="12" t="s">
        <v>24</v>
      </c>
      <c r="B19" s="24" t="s">
        <v>22</v>
      </c>
      <c r="C19" s="24">
        <f>1679+623542+2221716-1000000</f>
        <v>1846937</v>
      </c>
      <c r="D19" s="22"/>
      <c r="E19" s="25"/>
      <c r="F19" s="92"/>
    </row>
    <row r="20" spans="1:6" s="9" customFormat="1" ht="12.75" customHeight="1" x14ac:dyDescent="0.25">
      <c r="A20" s="12" t="s">
        <v>25</v>
      </c>
      <c r="B20" s="24" t="s">
        <v>76</v>
      </c>
      <c r="C20" s="24">
        <f>446555+75000</f>
        <v>521555</v>
      </c>
      <c r="D20" s="22"/>
      <c r="E20" s="25"/>
    </row>
    <row r="21" spans="1:6" s="9" customFormat="1" ht="12.75" customHeight="1" x14ac:dyDescent="0.25">
      <c r="A21" s="12" t="s">
        <v>26</v>
      </c>
      <c r="B21" s="24" t="s">
        <v>77</v>
      </c>
      <c r="C21" s="24">
        <v>1</v>
      </c>
      <c r="D21" s="22"/>
      <c r="E21" s="25"/>
    </row>
    <row r="22" spans="1:6" s="9" customFormat="1" ht="12.75" customHeight="1" x14ac:dyDescent="0.25">
      <c r="A22" s="12" t="s">
        <v>27</v>
      </c>
      <c r="B22" s="24" t="s">
        <v>21</v>
      </c>
      <c r="C22" s="24">
        <f>608160+17010</f>
        <v>625170</v>
      </c>
      <c r="D22" s="22"/>
      <c r="E22" s="25"/>
    </row>
    <row r="23" spans="1:6" s="9" customFormat="1" ht="12.75" customHeight="1" x14ac:dyDescent="0.25">
      <c r="A23" s="12" t="s">
        <v>28</v>
      </c>
      <c r="B23" s="24" t="s">
        <v>19</v>
      </c>
      <c r="C23" s="24">
        <f>392719+289733</f>
        <v>682452</v>
      </c>
      <c r="D23" s="22"/>
      <c r="E23" s="25"/>
    </row>
    <row r="24" spans="1:6" s="9" customFormat="1" ht="12.75" customHeight="1" x14ac:dyDescent="0.25">
      <c r="A24" s="11" t="s">
        <v>99</v>
      </c>
      <c r="B24" s="31" t="s">
        <v>100</v>
      </c>
      <c r="C24" s="31">
        <f>SUM(C25:C30)</f>
        <v>30832436</v>
      </c>
      <c r="D24" s="22"/>
      <c r="E24" s="25"/>
    </row>
    <row r="25" spans="1:6" s="9" customFormat="1" ht="12.75" customHeight="1" x14ac:dyDescent="0.25">
      <c r="A25" s="12" t="s">
        <v>30</v>
      </c>
      <c r="B25" s="24" t="s">
        <v>78</v>
      </c>
      <c r="C25" s="24">
        <f>4759989+1323456+29942703+559731+157425-10000000</f>
        <v>26743304</v>
      </c>
      <c r="D25" s="22"/>
      <c r="E25" s="25"/>
    </row>
    <row r="26" spans="1:6" s="8" customFormat="1" ht="12.75" customHeight="1" x14ac:dyDescent="0.25">
      <c r="A26" s="12" t="s">
        <v>31</v>
      </c>
      <c r="B26" s="24" t="s">
        <v>79</v>
      </c>
      <c r="C26" s="24">
        <f>629698+159236+1189997+4231101-3000000</f>
        <v>3210032</v>
      </c>
      <c r="D26" s="22"/>
      <c r="E26" s="25"/>
    </row>
    <row r="27" spans="1:6" s="8" customFormat="1" ht="12.75" customHeight="1" x14ac:dyDescent="0.25">
      <c r="A27" s="12" t="s">
        <v>32</v>
      </c>
      <c r="B27" s="24" t="s">
        <v>80</v>
      </c>
      <c r="C27" s="24">
        <v>790385</v>
      </c>
      <c r="D27" s="22"/>
      <c r="E27" s="25"/>
    </row>
    <row r="28" spans="1:6" s="9" customFormat="1" ht="12.75" customHeight="1" x14ac:dyDescent="0.25">
      <c r="A28" s="12" t="s">
        <v>33</v>
      </c>
      <c r="B28" s="24" t="s">
        <v>81</v>
      </c>
      <c r="C28" s="24">
        <v>1</v>
      </c>
      <c r="D28" s="22"/>
      <c r="E28" s="25"/>
    </row>
    <row r="29" spans="1:6" s="9" customFormat="1" ht="12.75" customHeight="1" x14ac:dyDescent="0.25">
      <c r="A29" s="12" t="s">
        <v>34</v>
      </c>
      <c r="B29" s="24" t="s">
        <v>29</v>
      </c>
      <c r="C29" s="24">
        <f>8505+80208</f>
        <v>88713</v>
      </c>
      <c r="D29" s="22"/>
      <c r="E29" s="25"/>
    </row>
    <row r="30" spans="1:6" s="9" customFormat="1" ht="12.75" customHeight="1" x14ac:dyDescent="0.25">
      <c r="A30" s="12" t="s">
        <v>83</v>
      </c>
      <c r="B30" s="24" t="s">
        <v>82</v>
      </c>
      <c r="C30" s="24">
        <v>1</v>
      </c>
      <c r="D30" s="22"/>
      <c r="E30" s="25"/>
    </row>
    <row r="31" spans="1:6" s="9" customFormat="1" ht="12.75" customHeight="1" x14ac:dyDescent="0.3">
      <c r="A31" s="11" t="s">
        <v>101</v>
      </c>
      <c r="B31" s="31" t="s">
        <v>102</v>
      </c>
      <c r="C31" s="31">
        <f>SUM(C32:C37)</f>
        <v>14114188</v>
      </c>
      <c r="D31" s="22"/>
      <c r="E31" s="25"/>
      <c r="F31" s="93"/>
    </row>
    <row r="32" spans="1:6" s="8" customFormat="1" ht="12.75" customHeight="1" x14ac:dyDescent="0.3">
      <c r="A32" s="12" t="s">
        <v>39</v>
      </c>
      <c r="B32" s="24" t="s">
        <v>35</v>
      </c>
      <c r="C32" s="24">
        <f>1542848+399600+9579290+161266+45356</f>
        <v>11728360</v>
      </c>
      <c r="D32" s="22"/>
      <c r="E32" s="25"/>
      <c r="F32" s="92"/>
    </row>
    <row r="33" spans="1:9" s="8" customFormat="1" ht="12.75" customHeight="1" x14ac:dyDescent="0.3">
      <c r="A33" s="12" t="s">
        <v>40</v>
      </c>
      <c r="B33" s="24" t="s">
        <v>37</v>
      </c>
      <c r="C33" s="24">
        <f>181423+46564+385712+1371421</f>
        <v>1985120</v>
      </c>
      <c r="D33" s="22"/>
      <c r="E33" s="25"/>
      <c r="F33" s="92"/>
    </row>
    <row r="34" spans="1:9" s="9" customFormat="1" ht="12.75" customHeight="1" x14ac:dyDescent="0.3">
      <c r="A34" s="12" t="s">
        <v>41</v>
      </c>
      <c r="B34" s="24" t="s">
        <v>84</v>
      </c>
      <c r="C34" s="24">
        <v>274403</v>
      </c>
      <c r="D34" s="22"/>
      <c r="E34" s="25"/>
      <c r="F34" s="92"/>
    </row>
    <row r="35" spans="1:9" s="9" customFormat="1" ht="12.75" customHeight="1" x14ac:dyDescent="0.3">
      <c r="A35" s="12" t="s">
        <v>42</v>
      </c>
      <c r="B35" s="24" t="s">
        <v>85</v>
      </c>
      <c r="C35" s="24">
        <v>1</v>
      </c>
      <c r="D35" s="22"/>
      <c r="E35" s="25"/>
      <c r="F35" s="92"/>
    </row>
    <row r="36" spans="1:9" s="9" customFormat="1" ht="12.75" customHeight="1" x14ac:dyDescent="0.3">
      <c r="A36" s="12" t="s">
        <v>43</v>
      </c>
      <c r="B36" s="24" t="s">
        <v>36</v>
      </c>
      <c r="C36" s="24">
        <f>5103+121200</f>
        <v>126303</v>
      </c>
      <c r="D36" s="22"/>
      <c r="E36" s="25"/>
      <c r="F36" s="92"/>
    </row>
    <row r="37" spans="1:9" s="9" customFormat="1" ht="12.75" customHeight="1" x14ac:dyDescent="0.3">
      <c r="A37" s="12" t="s">
        <v>44</v>
      </c>
      <c r="B37" s="24" t="s">
        <v>38</v>
      </c>
      <c r="C37" s="24">
        <v>1</v>
      </c>
      <c r="D37" s="22"/>
      <c r="E37" s="25"/>
      <c r="F37" s="92"/>
    </row>
    <row r="38" spans="1:9" s="9" customFormat="1" ht="12.75" customHeight="1" thickBot="1" x14ac:dyDescent="0.35">
      <c r="A38" s="12"/>
      <c r="B38" s="24"/>
      <c r="C38" s="24"/>
      <c r="D38" s="22"/>
      <c r="E38" s="25"/>
      <c r="F38" s="92"/>
    </row>
    <row r="39" spans="1:9" s="8" customFormat="1" ht="13.5" customHeight="1" thickBot="1" x14ac:dyDescent="0.35">
      <c r="A39" s="1104" t="s">
        <v>2</v>
      </c>
      <c r="B39" s="1105"/>
      <c r="C39" s="667">
        <f>C40+C42+C45+C56+C47+C53</f>
        <v>1168060</v>
      </c>
      <c r="D39" s="78"/>
      <c r="E39" s="25"/>
      <c r="F39" s="95"/>
      <c r="G39" s="55"/>
      <c r="H39" s="43"/>
      <c r="I39" s="83"/>
    </row>
    <row r="40" spans="1:9" s="43" customFormat="1" ht="13.5" customHeight="1" x14ac:dyDescent="0.3">
      <c r="A40" s="11" t="s">
        <v>103</v>
      </c>
      <c r="B40" s="211" t="s">
        <v>104</v>
      </c>
      <c r="C40" s="31">
        <f>SUM(C41)</f>
        <v>306800</v>
      </c>
      <c r="D40" s="22"/>
      <c r="E40" s="24"/>
      <c r="F40" s="95"/>
      <c r="G40" s="55"/>
      <c r="I40" s="55"/>
    </row>
    <row r="41" spans="1:9" s="43" customFormat="1" ht="13.5" customHeight="1" x14ac:dyDescent="0.25">
      <c r="A41" s="12" t="s">
        <v>46</v>
      </c>
      <c r="B41" s="8" t="s">
        <v>45</v>
      </c>
      <c r="C41" s="24">
        <v>306800</v>
      </c>
      <c r="E41" s="31"/>
      <c r="F41" s="96"/>
      <c r="G41" s="55"/>
    </row>
    <row r="42" spans="1:9" s="43" customFormat="1" ht="13.5" customHeight="1" x14ac:dyDescent="0.25">
      <c r="A42" s="11" t="s">
        <v>105</v>
      </c>
      <c r="B42" s="556" t="s">
        <v>106</v>
      </c>
      <c r="C42" s="31">
        <f>SUM(C43:C44)</f>
        <v>410580</v>
      </c>
      <c r="E42" s="31"/>
      <c r="F42" s="96"/>
      <c r="G42" s="55"/>
    </row>
    <row r="43" spans="1:9" s="43" customFormat="1" ht="13.5" customHeight="1" x14ac:dyDescent="0.25">
      <c r="A43" s="12" t="s">
        <v>67</v>
      </c>
      <c r="B43" s="8" t="s">
        <v>68</v>
      </c>
      <c r="C43" s="24">
        <v>165780</v>
      </c>
      <c r="E43" s="31"/>
      <c r="F43" s="96"/>
      <c r="G43" s="55"/>
    </row>
    <row r="44" spans="1:9" s="43" customFormat="1" ht="13.5" customHeight="1" x14ac:dyDescent="0.25">
      <c r="A44" s="12" t="s">
        <v>86</v>
      </c>
      <c r="B44" s="8" t="s">
        <v>66</v>
      </c>
      <c r="C44" s="24">
        <v>244800</v>
      </c>
      <c r="E44" s="31"/>
      <c r="F44" s="96"/>
      <c r="G44" s="55"/>
    </row>
    <row r="45" spans="1:9" s="43" customFormat="1" ht="13.5" customHeight="1" x14ac:dyDescent="0.25">
      <c r="A45" s="11" t="s">
        <v>107</v>
      </c>
      <c r="B45" s="556" t="s">
        <v>108</v>
      </c>
      <c r="C45" s="31">
        <f>SUM(C46)</f>
        <v>94770</v>
      </c>
      <c r="E45" s="31"/>
      <c r="F45" s="22"/>
      <c r="G45" s="55"/>
    </row>
    <row r="46" spans="1:9" s="8" customFormat="1" ht="13.5" customHeight="1" x14ac:dyDescent="0.25">
      <c r="A46" s="12" t="s">
        <v>47</v>
      </c>
      <c r="B46" s="23" t="s">
        <v>48</v>
      </c>
      <c r="C46" s="24">
        <v>94770</v>
      </c>
      <c r="E46" s="25"/>
      <c r="F46" s="79"/>
      <c r="G46" s="55"/>
      <c r="H46" s="43"/>
    </row>
    <row r="47" spans="1:9" s="72" customFormat="1" ht="13.5" customHeight="1" x14ac:dyDescent="0.25">
      <c r="A47" s="265" t="s">
        <v>119</v>
      </c>
      <c r="B47" s="25" t="s">
        <v>109</v>
      </c>
      <c r="C47" s="31">
        <f>SUM(C48:C52)</f>
        <v>151150</v>
      </c>
      <c r="D47" s="78"/>
      <c r="E47" s="25"/>
      <c r="F47" s="101"/>
      <c r="G47" s="96"/>
      <c r="H47" s="12"/>
    </row>
    <row r="48" spans="1:9" s="72" customFormat="1" ht="13.5" customHeight="1" x14ac:dyDescent="0.25">
      <c r="A48" s="72" t="s">
        <v>150</v>
      </c>
      <c r="B48" s="23" t="s">
        <v>340</v>
      </c>
      <c r="C48" s="24">
        <v>14850</v>
      </c>
      <c r="D48" s="21"/>
      <c r="E48" s="21"/>
      <c r="F48" s="5"/>
      <c r="G48" s="350"/>
      <c r="H48" s="122"/>
    </row>
    <row r="49" spans="1:8" s="72" customFormat="1" ht="13.5" customHeight="1" x14ac:dyDescent="0.25">
      <c r="A49" s="72" t="s">
        <v>697</v>
      </c>
      <c r="B49" s="43" t="s">
        <v>696</v>
      </c>
      <c r="C49" s="24">
        <v>34200</v>
      </c>
      <c r="D49" s="21"/>
      <c r="E49" s="21"/>
      <c r="F49" s="5"/>
      <c r="G49" s="350"/>
      <c r="H49" s="122"/>
    </row>
    <row r="50" spans="1:8" s="66" customFormat="1" x14ac:dyDescent="0.3">
      <c r="A50" s="72" t="s">
        <v>816</v>
      </c>
      <c r="B50" s="24" t="s">
        <v>810</v>
      </c>
      <c r="C50" s="24">
        <v>27600</v>
      </c>
      <c r="D50" s="78"/>
      <c r="E50" s="25"/>
    </row>
    <row r="51" spans="1:8" s="66" customFormat="1" x14ac:dyDescent="0.3">
      <c r="A51" s="72" t="s">
        <v>820</v>
      </c>
      <c r="B51" s="24" t="s">
        <v>821</v>
      </c>
      <c r="C51" s="24">
        <v>55000</v>
      </c>
      <c r="D51" s="78"/>
      <c r="E51" s="25"/>
    </row>
    <row r="52" spans="1:8" s="66" customFormat="1" x14ac:dyDescent="0.3">
      <c r="A52" s="72" t="s">
        <v>811</v>
      </c>
      <c r="B52" s="24" t="s">
        <v>812</v>
      </c>
      <c r="C52" s="24">
        <v>19500</v>
      </c>
      <c r="D52" s="78"/>
      <c r="E52" s="25"/>
    </row>
    <row r="53" spans="1:8" s="72" customFormat="1" ht="13.5" customHeight="1" x14ac:dyDescent="0.25">
      <c r="A53" s="265" t="s">
        <v>124</v>
      </c>
      <c r="B53" s="25" t="s">
        <v>123</v>
      </c>
      <c r="C53" s="31">
        <f>SUM(C54:C55)</f>
        <v>61000</v>
      </c>
      <c r="D53" s="21"/>
      <c r="E53" s="21"/>
      <c r="F53" s="5"/>
      <c r="G53" s="350"/>
      <c r="H53" s="122"/>
    </row>
    <row r="54" spans="1:8" s="66" customFormat="1" x14ac:dyDescent="0.3">
      <c r="A54" s="12" t="s">
        <v>230</v>
      </c>
      <c r="B54" s="43" t="s">
        <v>229</v>
      </c>
      <c r="C54" s="24">
        <v>34000</v>
      </c>
      <c r="D54" s="57"/>
      <c r="E54" s="57"/>
    </row>
    <row r="55" spans="1:8" s="66" customFormat="1" x14ac:dyDescent="0.3">
      <c r="A55" s="72" t="s">
        <v>93</v>
      </c>
      <c r="B55" s="23" t="s">
        <v>72</v>
      </c>
      <c r="C55" s="60">
        <v>27000</v>
      </c>
      <c r="D55" s="68"/>
      <c r="E55" s="68"/>
      <c r="F55" s="68"/>
    </row>
    <row r="56" spans="1:8" s="66" customFormat="1" x14ac:dyDescent="0.3">
      <c r="A56" s="265" t="s">
        <v>151</v>
      </c>
      <c r="B56" s="25" t="s">
        <v>125</v>
      </c>
      <c r="C56" s="64">
        <f>SUM(C57:C59)</f>
        <v>143760</v>
      </c>
      <c r="D56" s="68"/>
      <c r="E56" s="68"/>
      <c r="F56" s="68"/>
    </row>
    <row r="57" spans="1:8" s="66" customFormat="1" x14ac:dyDescent="0.3">
      <c r="A57" s="72" t="s">
        <v>152</v>
      </c>
      <c r="B57" s="23" t="s">
        <v>65</v>
      </c>
      <c r="C57" s="60">
        <v>32400</v>
      </c>
      <c r="D57" s="68"/>
      <c r="E57" s="68"/>
      <c r="F57" s="68"/>
    </row>
    <row r="58" spans="1:8" s="66" customFormat="1" x14ac:dyDescent="0.3">
      <c r="A58" s="72" t="s">
        <v>153</v>
      </c>
      <c r="B58" s="23" t="s">
        <v>70</v>
      </c>
      <c r="C58" s="60">
        <v>65360</v>
      </c>
      <c r="D58" s="68"/>
      <c r="E58" s="68"/>
      <c r="F58" s="68"/>
    </row>
    <row r="59" spans="1:8" s="66" customFormat="1" x14ac:dyDescent="0.3">
      <c r="A59" s="72" t="s">
        <v>154</v>
      </c>
      <c r="B59" s="23" t="s">
        <v>133</v>
      </c>
      <c r="C59" s="60">
        <v>46000</v>
      </c>
      <c r="F59" s="68"/>
      <c r="G59" s="68"/>
      <c r="H59" s="68"/>
    </row>
    <row r="60" spans="1:8" s="8" customFormat="1" ht="13.5" customHeight="1" thickBot="1" x14ac:dyDescent="0.35">
      <c r="A60" s="72"/>
      <c r="B60" s="23"/>
      <c r="C60" s="23"/>
      <c r="F60" s="78"/>
      <c r="G60" s="25"/>
      <c r="H60" s="94"/>
    </row>
    <row r="61" spans="1:8" s="8" customFormat="1" ht="13.5" customHeight="1" thickBot="1" x14ac:dyDescent="0.35">
      <c r="A61" s="1096" t="s">
        <v>3</v>
      </c>
      <c r="B61" s="1097"/>
      <c r="C61" s="668">
        <f>C62+C64+C67+C70+C72</f>
        <v>3122680</v>
      </c>
      <c r="F61" s="78"/>
      <c r="G61" s="25"/>
      <c r="H61" s="54"/>
    </row>
    <row r="62" spans="1:8" s="8" customFormat="1" ht="13.5" customHeight="1" x14ac:dyDescent="0.3">
      <c r="A62" s="265" t="s">
        <v>110</v>
      </c>
      <c r="B62" s="298" t="s">
        <v>111</v>
      </c>
      <c r="C62" s="31">
        <f>SUM(C63)</f>
        <v>54000</v>
      </c>
      <c r="F62" s="78"/>
      <c r="G62" s="25"/>
      <c r="H62" s="54"/>
    </row>
    <row r="63" spans="1:8" s="8" customFormat="1" ht="13.5" customHeight="1" x14ac:dyDescent="0.3">
      <c r="A63" s="12" t="s">
        <v>52</v>
      </c>
      <c r="B63" s="24" t="s">
        <v>15</v>
      </c>
      <c r="C63" s="24">
        <v>54000</v>
      </c>
      <c r="F63" s="79"/>
      <c r="G63" s="25"/>
      <c r="H63" s="92"/>
    </row>
    <row r="64" spans="1:8" s="8" customFormat="1" ht="13.5" customHeight="1" x14ac:dyDescent="0.3">
      <c r="A64" s="560" t="s">
        <v>120</v>
      </c>
      <c r="B64" s="561" t="s">
        <v>121</v>
      </c>
      <c r="C64" s="31">
        <f>SUM(C65:C66)</f>
        <v>32280</v>
      </c>
      <c r="F64" s="78"/>
      <c r="G64" s="25"/>
      <c r="H64" s="92"/>
    </row>
    <row r="65" spans="1:10" s="8" customFormat="1" ht="13.5" customHeight="1" x14ac:dyDescent="0.3">
      <c r="A65" s="59" t="s">
        <v>140</v>
      </c>
      <c r="B65" s="43" t="s">
        <v>141</v>
      </c>
      <c r="C65" s="24">
        <v>20280</v>
      </c>
      <c r="F65" s="79"/>
      <c r="G65" s="25"/>
      <c r="H65" s="92"/>
    </row>
    <row r="66" spans="1:10" s="8" customFormat="1" ht="13.5" customHeight="1" x14ac:dyDescent="0.3">
      <c r="A66" s="59" t="s">
        <v>136</v>
      </c>
      <c r="B66" s="59" t="s">
        <v>71</v>
      </c>
      <c r="C66" s="24">
        <v>12000</v>
      </c>
      <c r="G66" s="25"/>
      <c r="H66" s="92"/>
    </row>
    <row r="67" spans="1:10" s="8" customFormat="1" ht="13.5" customHeight="1" x14ac:dyDescent="0.3">
      <c r="A67" s="560" t="s">
        <v>112</v>
      </c>
      <c r="B67" s="559" t="s">
        <v>157</v>
      </c>
      <c r="C67" s="31">
        <f>SUM(C68:C69)</f>
        <v>552200</v>
      </c>
      <c r="F67" s="78"/>
      <c r="G67" s="25"/>
      <c r="H67" s="92"/>
    </row>
    <row r="68" spans="1:10" s="8" customFormat="1" ht="13.5" customHeight="1" x14ac:dyDescent="0.3">
      <c r="A68" s="72" t="s">
        <v>138</v>
      </c>
      <c r="B68" s="59" t="s">
        <v>878</v>
      </c>
      <c r="C68" s="24">
        <v>8700</v>
      </c>
      <c r="F68" s="79"/>
      <c r="G68" s="25"/>
      <c r="H68" s="92"/>
    </row>
    <row r="69" spans="1:10" s="8" customFormat="1" ht="13.5" customHeight="1" x14ac:dyDescent="0.3">
      <c r="A69" s="72" t="s">
        <v>49</v>
      </c>
      <c r="B69" s="23" t="s">
        <v>87</v>
      </c>
      <c r="C69" s="24">
        <v>543500</v>
      </c>
      <c r="F69" s="96"/>
      <c r="G69" s="31"/>
      <c r="H69" s="95"/>
    </row>
    <row r="70" spans="1:10" s="8" customFormat="1" ht="13.5" customHeight="1" x14ac:dyDescent="0.3">
      <c r="A70" s="560" t="s">
        <v>113</v>
      </c>
      <c r="B70" s="560" t="s">
        <v>114</v>
      </c>
      <c r="C70" s="31">
        <f>SUM(C71:C71)</f>
        <v>8600</v>
      </c>
      <c r="F70" s="78"/>
      <c r="G70" s="25"/>
      <c r="H70" s="92"/>
    </row>
    <row r="71" spans="1:10" s="8" customFormat="1" ht="13.5" customHeight="1" x14ac:dyDescent="0.3">
      <c r="A71" s="72" t="s">
        <v>88</v>
      </c>
      <c r="B71" s="23" t="s">
        <v>64</v>
      </c>
      <c r="C71" s="24">
        <v>8600</v>
      </c>
      <c r="F71" s="78"/>
      <c r="G71" s="25"/>
      <c r="H71" s="92"/>
    </row>
    <row r="72" spans="1:10" s="8" customFormat="1" ht="13.5" customHeight="1" x14ac:dyDescent="0.3">
      <c r="A72" s="265" t="s">
        <v>115</v>
      </c>
      <c r="B72" s="25" t="s">
        <v>8</v>
      </c>
      <c r="C72" s="31">
        <f>SUM(C73:C75)</f>
        <v>2475600</v>
      </c>
      <c r="F72" s="78"/>
      <c r="G72" s="25"/>
      <c r="H72" s="92"/>
    </row>
    <row r="73" spans="1:10" s="8" customFormat="1" ht="13.5" customHeight="1" x14ac:dyDescent="0.25">
      <c r="A73" s="72" t="s">
        <v>92</v>
      </c>
      <c r="B73" s="23" t="s">
        <v>8</v>
      </c>
      <c r="C73" s="24">
        <v>1725000</v>
      </c>
      <c r="F73" s="79"/>
      <c r="G73" s="25"/>
      <c r="J73" s="83"/>
    </row>
    <row r="74" spans="1:10" s="8" customFormat="1" ht="13.5" customHeight="1" x14ac:dyDescent="0.3">
      <c r="A74" s="72" t="s">
        <v>94</v>
      </c>
      <c r="B74" s="23" t="s">
        <v>50</v>
      </c>
      <c r="C74" s="24">
        <v>287000</v>
      </c>
      <c r="F74" s="79"/>
      <c r="G74" s="95"/>
      <c r="I74" s="83"/>
    </row>
    <row r="75" spans="1:10" s="8" customFormat="1" ht="13.5" customHeight="1" x14ac:dyDescent="0.3">
      <c r="A75" s="72" t="s">
        <v>90</v>
      </c>
      <c r="B75" s="23" t="s">
        <v>7</v>
      </c>
      <c r="C75" s="24">
        <v>463600</v>
      </c>
      <c r="D75" s="84"/>
      <c r="E75" s="459"/>
      <c r="F75" s="95"/>
      <c r="G75" s="55"/>
      <c r="H75" s="43"/>
    </row>
    <row r="76" spans="1:10" s="8" customFormat="1" ht="13.5" customHeight="1" thickBot="1" x14ac:dyDescent="0.35">
      <c r="A76" s="72"/>
      <c r="B76" s="23"/>
      <c r="C76" s="24"/>
      <c r="D76" s="84"/>
      <c r="E76" s="25"/>
      <c r="F76" s="95"/>
      <c r="G76" s="55"/>
      <c r="H76" s="43"/>
    </row>
    <row r="77" spans="1:10" s="8" customFormat="1" ht="13.5" customHeight="1" thickBot="1" x14ac:dyDescent="0.35">
      <c r="A77" s="1100" t="s">
        <v>4</v>
      </c>
      <c r="B77" s="1101"/>
      <c r="C77" s="670">
        <f>C78+C83+C87+C81</f>
        <v>139953</v>
      </c>
      <c r="D77" s="78"/>
      <c r="E77" s="25"/>
      <c r="F77" s="95"/>
      <c r="G77" s="55"/>
      <c r="H77" s="43"/>
    </row>
    <row r="78" spans="1:10" s="5" customFormat="1" x14ac:dyDescent="0.25">
      <c r="A78" s="11" t="s">
        <v>355</v>
      </c>
      <c r="B78" s="31" t="s">
        <v>356</v>
      </c>
      <c r="C78" s="31">
        <f>SUM(C79:C80)</f>
        <v>2</v>
      </c>
      <c r="D78" s="23"/>
      <c r="E78" s="21"/>
      <c r="G78" s="350"/>
    </row>
    <row r="79" spans="1:10" s="5" customFormat="1" x14ac:dyDescent="0.25">
      <c r="A79" s="12" t="s">
        <v>357</v>
      </c>
      <c r="B79" s="12" t="s">
        <v>358</v>
      </c>
      <c r="C79" s="24">
        <v>1</v>
      </c>
      <c r="D79" s="24"/>
      <c r="E79" s="21"/>
      <c r="G79" s="350"/>
    </row>
    <row r="80" spans="1:10" s="5" customFormat="1" x14ac:dyDescent="0.25">
      <c r="A80" s="12" t="s">
        <v>359</v>
      </c>
      <c r="B80" s="12" t="s">
        <v>360</v>
      </c>
      <c r="C80" s="24">
        <v>1</v>
      </c>
      <c r="D80" s="24"/>
      <c r="E80" s="21"/>
      <c r="G80" s="350"/>
    </row>
    <row r="81" spans="1:8" s="8" customFormat="1" ht="13.5" customHeight="1" x14ac:dyDescent="0.3">
      <c r="A81" s="265" t="s">
        <v>171</v>
      </c>
      <c r="B81" s="25" t="s">
        <v>170</v>
      </c>
      <c r="C81" s="31">
        <f>SUM(C82)</f>
        <v>1</v>
      </c>
      <c r="D81" s="78"/>
      <c r="E81" s="62"/>
      <c r="F81" s="99"/>
      <c r="G81" s="55"/>
      <c r="H81" s="43"/>
    </row>
    <row r="82" spans="1:8" s="8" customFormat="1" ht="13.5" customHeight="1" x14ac:dyDescent="0.3">
      <c r="A82" s="72" t="s">
        <v>169</v>
      </c>
      <c r="B82" s="24" t="s">
        <v>168</v>
      </c>
      <c r="C82" s="24">
        <v>1</v>
      </c>
      <c r="D82" s="78"/>
      <c r="E82" s="62"/>
      <c r="F82" s="99"/>
      <c r="G82" s="55"/>
      <c r="H82" s="43"/>
    </row>
    <row r="83" spans="1:8" s="43" customFormat="1" ht="13.5" customHeight="1" x14ac:dyDescent="0.3">
      <c r="A83" s="265" t="s">
        <v>116</v>
      </c>
      <c r="B83" s="211" t="s">
        <v>117</v>
      </c>
      <c r="C83" s="31">
        <f>SUM(C84:C86)</f>
        <v>124950</v>
      </c>
      <c r="D83" s="22"/>
      <c r="E83" s="24"/>
      <c r="F83" s="95"/>
      <c r="G83" s="55"/>
    </row>
    <row r="84" spans="1:8" s="8" customFormat="1" ht="13.5" customHeight="1" x14ac:dyDescent="0.3">
      <c r="A84" s="72" t="s">
        <v>91</v>
      </c>
      <c r="B84" s="23" t="s">
        <v>9</v>
      </c>
      <c r="C84" s="24">
        <v>69450</v>
      </c>
      <c r="D84" s="78"/>
      <c r="E84" s="25"/>
      <c r="F84" s="95"/>
      <c r="G84" s="55"/>
      <c r="H84" s="43"/>
    </row>
    <row r="85" spans="1:8" s="8" customFormat="1" ht="13.5" customHeight="1" x14ac:dyDescent="0.3">
      <c r="A85" s="72" t="s">
        <v>57</v>
      </c>
      <c r="B85" s="23" t="s">
        <v>58</v>
      </c>
      <c r="C85" s="24">
        <v>25500</v>
      </c>
      <c r="D85" s="78"/>
      <c r="E85" s="25"/>
      <c r="F85" s="54"/>
      <c r="G85" s="73"/>
      <c r="H85" s="43"/>
    </row>
    <row r="86" spans="1:8" s="8" customFormat="1" ht="13.5" customHeight="1" x14ac:dyDescent="0.25">
      <c r="A86" s="72" t="s">
        <v>814</v>
      </c>
      <c r="B86" s="23" t="s">
        <v>815</v>
      </c>
      <c r="C86" s="24">
        <v>30000</v>
      </c>
      <c r="D86" s="78"/>
      <c r="E86" s="25"/>
      <c r="F86" s="99"/>
      <c r="G86" s="55"/>
      <c r="H86" s="43"/>
    </row>
    <row r="87" spans="1:8" s="8" customFormat="1" ht="13.5" customHeight="1" x14ac:dyDescent="0.3">
      <c r="A87" s="265" t="s">
        <v>166</v>
      </c>
      <c r="B87" s="25" t="s">
        <v>135</v>
      </c>
      <c r="C87" s="31">
        <f>SUM(C88)</f>
        <v>15000</v>
      </c>
      <c r="D87" s="78"/>
      <c r="E87" s="25"/>
      <c r="F87" s="95"/>
      <c r="G87" s="55"/>
      <c r="H87" s="43"/>
    </row>
    <row r="88" spans="1:8" s="8" customFormat="1" ht="13.5" customHeight="1" x14ac:dyDescent="0.3">
      <c r="A88" s="72" t="s">
        <v>167</v>
      </c>
      <c r="B88" s="23" t="s">
        <v>51</v>
      </c>
      <c r="C88" s="24">
        <v>15000</v>
      </c>
      <c r="D88" s="78"/>
      <c r="E88" s="25"/>
      <c r="F88" s="95"/>
      <c r="G88" s="55"/>
      <c r="H88" s="43"/>
    </row>
    <row r="89" spans="1:8" s="8" customFormat="1" ht="13.5" customHeight="1" x14ac:dyDescent="0.3">
      <c r="A89" s="72"/>
      <c r="B89" s="23"/>
      <c r="C89" s="24"/>
      <c r="D89" s="78"/>
      <c r="E89" s="25"/>
      <c r="F89" s="95"/>
      <c r="G89" s="55"/>
      <c r="H89" s="43"/>
    </row>
    <row r="90" spans="1:8" s="6" customFormat="1" ht="13.5" customHeight="1" thickBot="1" x14ac:dyDescent="0.35">
      <c r="A90" s="10"/>
      <c r="B90" s="28"/>
      <c r="C90" s="28"/>
      <c r="D90" s="26"/>
      <c r="E90" s="27"/>
      <c r="F90" s="95"/>
      <c r="G90" s="43"/>
      <c r="H90" s="43"/>
    </row>
    <row r="91" spans="1:8" s="52" customFormat="1" ht="12.75" customHeight="1" x14ac:dyDescent="0.3">
      <c r="A91" s="1117" t="s">
        <v>1011</v>
      </c>
      <c r="B91" s="1119"/>
      <c r="C91" s="704" t="s">
        <v>6</v>
      </c>
      <c r="D91" s="910" t="s">
        <v>725</v>
      </c>
      <c r="F91" s="62"/>
    </row>
    <row r="92" spans="1:8" s="52" customFormat="1" ht="13.5" thickBot="1" x14ac:dyDescent="0.35">
      <c r="A92" s="1120"/>
      <c r="B92" s="1122"/>
      <c r="C92" s="708"/>
      <c r="D92" s="709"/>
      <c r="F92" s="62"/>
    </row>
    <row r="93" spans="1:8" s="52" customFormat="1" x14ac:dyDescent="0.3">
      <c r="A93" s="1123" t="s">
        <v>1012</v>
      </c>
      <c r="B93" s="1124"/>
      <c r="C93" s="1124"/>
      <c r="D93" s="1125"/>
      <c r="E93" s="66"/>
      <c r="F93" s="62"/>
    </row>
    <row r="94" spans="1:8" s="52" customFormat="1" ht="13.5" thickBot="1" x14ac:dyDescent="0.35">
      <c r="A94" s="1129"/>
      <c r="B94" s="1130"/>
      <c r="C94" s="1130"/>
      <c r="D94" s="1131"/>
      <c r="E94" s="66"/>
      <c r="F94" s="62"/>
    </row>
    <row r="95" spans="1:8" s="52" customFormat="1" x14ac:dyDescent="0.3">
      <c r="A95" s="41" t="s">
        <v>1029</v>
      </c>
      <c r="B95" s="59"/>
      <c r="C95" s="60"/>
      <c r="D95" s="61"/>
      <c r="E95" s="60"/>
      <c r="F95" s="62"/>
    </row>
    <row r="96" spans="1:8" s="69" customFormat="1" x14ac:dyDescent="0.3">
      <c r="A96" s="58" t="s">
        <v>728</v>
      </c>
      <c r="B96" s="59"/>
      <c r="C96" s="60"/>
      <c r="D96" s="61"/>
      <c r="E96" s="60"/>
      <c r="F96" s="65"/>
    </row>
    <row r="97" spans="1:7" s="69" customFormat="1" x14ac:dyDescent="0.3">
      <c r="A97" s="58" t="s">
        <v>1064</v>
      </c>
      <c r="B97" s="59"/>
      <c r="C97" s="60"/>
      <c r="D97" s="61"/>
      <c r="E97" s="60"/>
      <c r="F97" s="65"/>
    </row>
    <row r="98" spans="1:7" s="52" customFormat="1" ht="13.5" thickBot="1" x14ac:dyDescent="0.35">
      <c r="A98" s="167" t="s">
        <v>13</v>
      </c>
      <c r="B98" s="166"/>
      <c r="C98" s="165"/>
      <c r="D98" s="164"/>
      <c r="E98" s="60"/>
      <c r="F98" s="62"/>
    </row>
    <row r="99" spans="1:7" s="52" customFormat="1" ht="13.5" thickBot="1" x14ac:dyDescent="0.35">
      <c r="A99" s="743" t="s">
        <v>587</v>
      </c>
      <c r="B99" s="744"/>
      <c r="C99" s="750"/>
      <c r="D99" s="747">
        <f>+C101+C113+C129</f>
        <v>6504540</v>
      </c>
      <c r="E99" s="66"/>
      <c r="F99" s="62"/>
      <c r="G99" s="62"/>
    </row>
    <row r="100" spans="1:7" s="52" customFormat="1" ht="13.5" thickBot="1" x14ac:dyDescent="0.35">
      <c r="A100" s="63"/>
      <c r="B100" s="63"/>
      <c r="C100" s="64"/>
      <c r="D100" s="64"/>
      <c r="E100" s="647"/>
      <c r="F100" s="62"/>
    </row>
    <row r="101" spans="1:7" s="66" customFormat="1" ht="13.5" thickBot="1" x14ac:dyDescent="0.35">
      <c r="A101" s="1102" t="s">
        <v>2</v>
      </c>
      <c r="B101" s="1103"/>
      <c r="C101" s="699">
        <f>C102+C104+C106+C108</f>
        <v>1616820</v>
      </c>
      <c r="D101" s="68"/>
      <c r="E101" s="68"/>
      <c r="F101" s="68"/>
    </row>
    <row r="102" spans="1:7" s="56" customFormat="1" x14ac:dyDescent="0.3">
      <c r="A102" s="265" t="s">
        <v>199</v>
      </c>
      <c r="B102" s="298" t="s">
        <v>228</v>
      </c>
      <c r="C102" s="64">
        <f>SUM(C103)</f>
        <v>440350</v>
      </c>
      <c r="D102" s="57"/>
      <c r="E102" s="57"/>
      <c r="F102" s="57"/>
    </row>
    <row r="103" spans="1:7" s="43" customFormat="1" ht="13.5" customHeight="1" x14ac:dyDescent="0.3">
      <c r="A103" s="12" t="s">
        <v>227</v>
      </c>
      <c r="B103" s="8" t="s">
        <v>226</v>
      </c>
      <c r="C103" s="24">
        <v>440350</v>
      </c>
      <c r="D103" s="96"/>
      <c r="E103" s="31"/>
      <c r="F103" s="54"/>
      <c r="G103" s="55"/>
    </row>
    <row r="104" spans="1:7" s="43" customFormat="1" ht="13.5" customHeight="1" x14ac:dyDescent="0.3">
      <c r="A104" s="11" t="s">
        <v>105</v>
      </c>
      <c r="B104" s="556" t="s">
        <v>106</v>
      </c>
      <c r="C104" s="31">
        <f>SUM(C105)</f>
        <v>168000</v>
      </c>
      <c r="D104" s="22"/>
      <c r="E104" s="31"/>
      <c r="F104" s="54"/>
      <c r="G104" s="55"/>
    </row>
    <row r="105" spans="1:7" s="43" customFormat="1" ht="13.5" customHeight="1" x14ac:dyDescent="0.3">
      <c r="A105" s="12" t="s">
        <v>86</v>
      </c>
      <c r="B105" s="8" t="s">
        <v>66</v>
      </c>
      <c r="C105" s="24">
        <v>168000</v>
      </c>
      <c r="D105" s="22"/>
      <c r="E105" s="31"/>
      <c r="F105" s="54"/>
      <c r="G105" s="55"/>
    </row>
    <row r="106" spans="1:7" s="43" customFormat="1" ht="13.5" customHeight="1" x14ac:dyDescent="0.3">
      <c r="A106" s="11" t="s">
        <v>107</v>
      </c>
      <c r="B106" s="556" t="s">
        <v>108</v>
      </c>
      <c r="C106" s="31">
        <f>SUM(C107)</f>
        <v>65870</v>
      </c>
      <c r="D106" s="22"/>
      <c r="E106" s="31"/>
      <c r="F106" s="54"/>
      <c r="G106" s="55"/>
    </row>
    <row r="107" spans="1:7" s="66" customFormat="1" x14ac:dyDescent="0.3">
      <c r="A107" s="12" t="s">
        <v>47</v>
      </c>
      <c r="B107" s="23" t="s">
        <v>48</v>
      </c>
      <c r="C107" s="60">
        <v>65870</v>
      </c>
      <c r="D107" s="68"/>
      <c r="E107" s="68"/>
      <c r="F107" s="68"/>
    </row>
    <row r="108" spans="1:7" s="66" customFormat="1" x14ac:dyDescent="0.3">
      <c r="A108" s="265" t="s">
        <v>151</v>
      </c>
      <c r="B108" s="25" t="s">
        <v>125</v>
      </c>
      <c r="C108" s="64">
        <f>SUM(C109:C111)</f>
        <v>942600</v>
      </c>
      <c r="D108" s="68"/>
      <c r="E108" s="68"/>
      <c r="F108" s="68"/>
    </row>
    <row r="109" spans="1:7" s="66" customFormat="1" x14ac:dyDescent="0.3">
      <c r="A109" s="70" t="s">
        <v>153</v>
      </c>
      <c r="B109" s="70" t="s">
        <v>225</v>
      </c>
      <c r="C109" s="60">
        <v>312000</v>
      </c>
      <c r="D109" s="68"/>
      <c r="E109" s="68"/>
      <c r="F109" s="68"/>
    </row>
    <row r="110" spans="1:7" s="66" customFormat="1" x14ac:dyDescent="0.3">
      <c r="A110" s="72" t="s">
        <v>154</v>
      </c>
      <c r="B110" s="23" t="s">
        <v>133</v>
      </c>
      <c r="C110" s="60">
        <v>53000</v>
      </c>
      <c r="D110" s="68"/>
      <c r="E110" s="68"/>
      <c r="F110" s="68"/>
    </row>
    <row r="111" spans="1:7" s="66" customFormat="1" x14ac:dyDescent="0.3">
      <c r="A111" s="72" t="s">
        <v>699</v>
      </c>
      <c r="B111" s="43" t="s">
        <v>698</v>
      </c>
      <c r="C111" s="60">
        <v>577600</v>
      </c>
      <c r="D111" s="68"/>
      <c r="E111" s="68"/>
      <c r="F111" s="68"/>
    </row>
    <row r="112" spans="1:7" s="66" customFormat="1" ht="13.5" thickBot="1" x14ac:dyDescent="0.35">
      <c r="A112" s="72"/>
      <c r="B112" s="23"/>
      <c r="C112" s="60"/>
      <c r="D112" s="68"/>
      <c r="E112" s="68"/>
      <c r="F112" s="68"/>
    </row>
    <row r="113" spans="1:10" s="66" customFormat="1" ht="13.5" thickBot="1" x14ac:dyDescent="0.35">
      <c r="A113" s="1098" t="s">
        <v>3</v>
      </c>
      <c r="B113" s="1099"/>
      <c r="C113" s="700">
        <f>C114+C117+C119+C122</f>
        <v>4844150</v>
      </c>
      <c r="D113" s="68"/>
      <c r="E113" s="68"/>
      <c r="F113" s="68"/>
    </row>
    <row r="114" spans="1:10" s="56" customFormat="1" x14ac:dyDescent="0.3">
      <c r="A114" s="265" t="s">
        <v>110</v>
      </c>
      <c r="B114" s="298" t="s">
        <v>111</v>
      </c>
      <c r="C114" s="64">
        <f>SUM(C115:C116)</f>
        <v>2067800</v>
      </c>
      <c r="D114" s="57"/>
      <c r="E114" s="57"/>
      <c r="F114" s="57"/>
    </row>
    <row r="115" spans="1:10" s="66" customFormat="1" x14ac:dyDescent="0.3">
      <c r="A115" s="59" t="s">
        <v>52</v>
      </c>
      <c r="B115" s="59" t="s">
        <v>15</v>
      </c>
      <c r="C115" s="60">
        <v>374800</v>
      </c>
      <c r="D115" s="60"/>
      <c r="E115" s="68"/>
      <c r="F115" s="68"/>
    </row>
    <row r="116" spans="1:10" s="66" customFormat="1" x14ac:dyDescent="0.3">
      <c r="A116" s="72" t="s">
        <v>453</v>
      </c>
      <c r="B116" s="24" t="s">
        <v>454</v>
      </c>
      <c r="C116" s="24">
        <v>1693000</v>
      </c>
      <c r="F116" s="60"/>
      <c r="G116" s="57"/>
      <c r="H116" s="56"/>
      <c r="I116" s="56"/>
      <c r="J116" s="56"/>
    </row>
    <row r="117" spans="1:10" s="66" customFormat="1" x14ac:dyDescent="0.3">
      <c r="A117" s="560" t="s">
        <v>120</v>
      </c>
      <c r="B117" s="561" t="s">
        <v>121</v>
      </c>
      <c r="C117" s="31">
        <f>SUM(C118:C118)</f>
        <v>36000</v>
      </c>
      <c r="F117" s="57"/>
      <c r="G117" s="56"/>
      <c r="H117" s="56"/>
      <c r="I117" s="56"/>
      <c r="J117" s="56"/>
    </row>
    <row r="118" spans="1:10" s="66" customFormat="1" x14ac:dyDescent="0.3">
      <c r="A118" s="59" t="s">
        <v>136</v>
      </c>
      <c r="B118" s="59" t="s">
        <v>71</v>
      </c>
      <c r="C118" s="24">
        <v>36000</v>
      </c>
      <c r="F118" s="57"/>
      <c r="G118" s="56"/>
      <c r="H118" s="56"/>
      <c r="I118" s="56"/>
      <c r="J118" s="56"/>
    </row>
    <row r="119" spans="1:10" s="66" customFormat="1" x14ac:dyDescent="0.3">
      <c r="A119" s="560" t="s">
        <v>112</v>
      </c>
      <c r="B119" s="559" t="s">
        <v>122</v>
      </c>
      <c r="C119" s="64">
        <f>SUM(C120:C121)</f>
        <v>379600</v>
      </c>
      <c r="F119" s="60"/>
      <c r="G119" s="57"/>
      <c r="H119" s="56"/>
      <c r="I119" s="56"/>
      <c r="J119" s="56"/>
    </row>
    <row r="120" spans="1:10" s="66" customFormat="1" x14ac:dyDescent="0.3">
      <c r="A120" s="72" t="s">
        <v>138</v>
      </c>
      <c r="B120" s="59" t="s">
        <v>878</v>
      </c>
      <c r="C120" s="60">
        <v>9600</v>
      </c>
      <c r="F120" s="60"/>
      <c r="G120" s="57"/>
      <c r="H120" s="56"/>
      <c r="I120" s="56"/>
      <c r="J120" s="56"/>
    </row>
    <row r="121" spans="1:10" s="66" customFormat="1" x14ac:dyDescent="0.3">
      <c r="A121" s="72" t="s">
        <v>49</v>
      </c>
      <c r="B121" s="23" t="s">
        <v>87</v>
      </c>
      <c r="C121" s="60">
        <v>370000</v>
      </c>
      <c r="F121" s="60"/>
      <c r="G121" s="57"/>
      <c r="H121" s="56"/>
      <c r="I121" s="56"/>
      <c r="J121" s="56"/>
    </row>
    <row r="122" spans="1:10" s="66" customFormat="1" x14ac:dyDescent="0.3">
      <c r="A122" s="265" t="s">
        <v>115</v>
      </c>
      <c r="B122" s="560" t="s">
        <v>8</v>
      </c>
      <c r="C122" s="64">
        <f>SUM(C123:C127)</f>
        <v>2360750</v>
      </c>
      <c r="F122" s="105"/>
      <c r="G122" s="57"/>
      <c r="H122" s="56"/>
      <c r="I122" s="56"/>
      <c r="J122" s="56"/>
    </row>
    <row r="123" spans="1:10" s="66" customFormat="1" x14ac:dyDescent="0.3">
      <c r="A123" s="70" t="s">
        <v>89</v>
      </c>
      <c r="B123" s="70" t="s">
        <v>8</v>
      </c>
      <c r="C123" s="60">
        <v>308750</v>
      </c>
      <c r="F123" s="57"/>
      <c r="G123" s="57"/>
      <c r="H123" s="56"/>
      <c r="I123" s="56"/>
      <c r="J123" s="56"/>
    </row>
    <row r="124" spans="1:10" s="66" customFormat="1" x14ac:dyDescent="0.3">
      <c r="A124" s="70" t="s">
        <v>181</v>
      </c>
      <c r="B124" s="70" t="s">
        <v>50</v>
      </c>
      <c r="C124" s="60">
        <v>8000</v>
      </c>
      <c r="F124" s="57"/>
      <c r="G124" s="57"/>
      <c r="H124" s="56"/>
      <c r="I124" s="56"/>
      <c r="J124" s="56"/>
    </row>
    <row r="125" spans="1:10" s="66" customFormat="1" x14ac:dyDescent="0.3">
      <c r="A125" s="70" t="s">
        <v>224</v>
      </c>
      <c r="B125" s="43" t="s">
        <v>223</v>
      </c>
      <c r="C125" s="60">
        <v>312000</v>
      </c>
      <c r="F125" s="57"/>
      <c r="G125" s="57"/>
      <c r="H125" s="56"/>
      <c r="I125" s="56"/>
      <c r="J125" s="56"/>
    </row>
    <row r="126" spans="1:10" s="66" customFormat="1" x14ac:dyDescent="0.3">
      <c r="A126" s="70" t="s">
        <v>222</v>
      </c>
      <c r="B126" s="70" t="s">
        <v>221</v>
      </c>
      <c r="C126" s="60">
        <v>1598000</v>
      </c>
      <c r="F126" s="57"/>
      <c r="G126" s="57"/>
      <c r="H126" s="56"/>
      <c r="I126" s="56"/>
      <c r="J126" s="56"/>
    </row>
    <row r="127" spans="1:10" s="66" customFormat="1" x14ac:dyDescent="0.3">
      <c r="A127" s="70" t="s">
        <v>90</v>
      </c>
      <c r="B127" s="70" t="s">
        <v>7</v>
      </c>
      <c r="C127" s="60">
        <v>134000</v>
      </c>
      <c r="F127" s="60"/>
      <c r="G127" s="57"/>
      <c r="H127" s="56"/>
      <c r="I127" s="56"/>
      <c r="J127" s="56"/>
    </row>
    <row r="128" spans="1:10" s="66" customFormat="1" ht="13.5" thickBot="1" x14ac:dyDescent="0.35">
      <c r="A128" s="70"/>
      <c r="B128" s="70"/>
      <c r="C128" s="60"/>
      <c r="D128" s="67"/>
      <c r="E128" s="57"/>
      <c r="F128" s="57"/>
      <c r="G128" s="56"/>
      <c r="H128" s="56"/>
      <c r="I128" s="56"/>
      <c r="J128" s="56"/>
    </row>
    <row r="129" spans="1:8" s="66" customFormat="1" ht="13.5" thickBot="1" x14ac:dyDescent="0.35">
      <c r="A129" s="1094" t="s">
        <v>4</v>
      </c>
      <c r="B129" s="1095"/>
      <c r="C129" s="702">
        <f>C130+C133</f>
        <v>43570</v>
      </c>
      <c r="D129" s="68"/>
      <c r="E129" s="68"/>
      <c r="F129" s="68"/>
    </row>
    <row r="130" spans="1:8" s="56" customFormat="1" x14ac:dyDescent="0.3">
      <c r="A130" s="265" t="s">
        <v>116</v>
      </c>
      <c r="B130" s="211" t="s">
        <v>117</v>
      </c>
      <c r="C130" s="64">
        <f>SUM(C131:C132)</f>
        <v>33970</v>
      </c>
      <c r="D130" s="57"/>
      <c r="E130" s="57"/>
      <c r="F130" s="57"/>
    </row>
    <row r="131" spans="1:8" s="66" customFormat="1" x14ac:dyDescent="0.3">
      <c r="A131" s="72" t="s">
        <v>91</v>
      </c>
      <c r="B131" s="23" t="s">
        <v>9</v>
      </c>
      <c r="C131" s="60">
        <v>18240</v>
      </c>
      <c r="D131" s="68"/>
      <c r="E131" s="68"/>
      <c r="F131" s="68"/>
    </row>
    <row r="132" spans="1:8" s="8" customFormat="1" ht="13.5" customHeight="1" x14ac:dyDescent="0.3">
      <c r="A132" s="72" t="s">
        <v>57</v>
      </c>
      <c r="B132" s="23" t="s">
        <v>58</v>
      </c>
      <c r="C132" s="24">
        <v>15730</v>
      </c>
      <c r="D132" s="78"/>
      <c r="E132" s="25"/>
      <c r="F132" s="54"/>
      <c r="G132" s="73"/>
      <c r="H132" s="43"/>
    </row>
    <row r="133" spans="1:8" s="8" customFormat="1" ht="13.5" customHeight="1" x14ac:dyDescent="0.3">
      <c r="A133" s="265" t="s">
        <v>166</v>
      </c>
      <c r="B133" s="25" t="s">
        <v>134</v>
      </c>
      <c r="C133" s="31">
        <f>SUM(C134)</f>
        <v>9600</v>
      </c>
      <c r="D133" s="78"/>
      <c r="E133" s="25"/>
      <c r="F133" s="54"/>
      <c r="G133" s="73"/>
      <c r="H133" s="43"/>
    </row>
    <row r="134" spans="1:8" s="8" customFormat="1" ht="13.5" customHeight="1" x14ac:dyDescent="0.3">
      <c r="A134" s="72" t="s">
        <v>167</v>
      </c>
      <c r="B134" s="23" t="s">
        <v>51</v>
      </c>
      <c r="C134" s="24">
        <v>9600</v>
      </c>
      <c r="D134" s="78"/>
      <c r="E134" s="25"/>
      <c r="F134" s="95"/>
      <c r="G134" s="55"/>
      <c r="H134" s="43"/>
    </row>
    <row r="135" spans="1:8" s="8" customFormat="1" ht="13.5" customHeight="1" x14ac:dyDescent="0.3">
      <c r="A135" s="72"/>
      <c r="B135" s="23"/>
      <c r="C135" s="24"/>
      <c r="D135" s="78"/>
      <c r="E135" s="25"/>
      <c r="F135" s="95"/>
      <c r="G135" s="55"/>
      <c r="H135" s="43"/>
    </row>
    <row r="136" spans="1:8" s="66" customFormat="1" ht="13.5" thickBot="1" x14ac:dyDescent="0.35">
      <c r="A136" s="70"/>
      <c r="B136" s="70"/>
      <c r="C136" s="67"/>
      <c r="D136" s="68"/>
      <c r="E136" s="68"/>
      <c r="F136" s="68"/>
    </row>
    <row r="137" spans="1:8" s="52" customFormat="1" x14ac:dyDescent="0.3">
      <c r="A137" s="648" t="s">
        <v>836</v>
      </c>
      <c r="B137" s="703"/>
      <c r="C137" s="704" t="s">
        <v>6</v>
      </c>
      <c r="D137" s="910" t="s">
        <v>726</v>
      </c>
      <c r="F137" s="62"/>
    </row>
    <row r="138" spans="1:8" s="52" customFormat="1" ht="13.5" thickBot="1" x14ac:dyDescent="0.35">
      <c r="A138" s="707"/>
      <c r="B138" s="711"/>
      <c r="C138" s="708"/>
      <c r="D138" s="709"/>
      <c r="F138" s="62"/>
    </row>
    <row r="139" spans="1:8" s="52" customFormat="1" x14ac:dyDescent="0.3">
      <c r="A139" s="1123" t="s">
        <v>1013</v>
      </c>
      <c r="B139" s="1124"/>
      <c r="C139" s="1124"/>
      <c r="D139" s="1125"/>
      <c r="E139" s="66"/>
      <c r="F139" s="62"/>
    </row>
    <row r="140" spans="1:8" s="52" customFormat="1" x14ac:dyDescent="0.3">
      <c r="A140" s="1126"/>
      <c r="B140" s="1127"/>
      <c r="C140" s="1127"/>
      <c r="D140" s="1128"/>
      <c r="E140" s="66"/>
      <c r="F140" s="62"/>
    </row>
    <row r="141" spans="1:8" s="52" customFormat="1" x14ac:dyDescent="0.3">
      <c r="A141" s="1126"/>
      <c r="B141" s="1127"/>
      <c r="C141" s="1127"/>
      <c r="D141" s="1128"/>
      <c r="E141" s="66"/>
      <c r="F141" s="62"/>
    </row>
    <row r="142" spans="1:8" s="52" customFormat="1" x14ac:dyDescent="0.3">
      <c r="A142" s="1126"/>
      <c r="B142" s="1127"/>
      <c r="C142" s="1127"/>
      <c r="D142" s="1128"/>
      <c r="E142" s="66"/>
      <c r="F142" s="62"/>
    </row>
    <row r="143" spans="1:8" s="52" customFormat="1" x14ac:dyDescent="0.3">
      <c r="A143" s="1126"/>
      <c r="B143" s="1127"/>
      <c r="C143" s="1127"/>
      <c r="D143" s="1128"/>
      <c r="E143" s="66"/>
      <c r="F143" s="62"/>
    </row>
    <row r="144" spans="1:8" s="52" customFormat="1" ht="13.5" thickBot="1" x14ac:dyDescent="0.35">
      <c r="A144" s="1129"/>
      <c r="B144" s="1130"/>
      <c r="C144" s="1130"/>
      <c r="D144" s="1131"/>
      <c r="E144" s="66"/>
      <c r="F144" s="62"/>
    </row>
    <row r="145" spans="1:9" s="52" customFormat="1" x14ac:dyDescent="0.3">
      <c r="A145" s="119" t="s">
        <v>1029</v>
      </c>
      <c r="B145" s="170"/>
      <c r="C145" s="169"/>
      <c r="D145" s="168"/>
      <c r="E145" s="60"/>
      <c r="F145" s="62"/>
    </row>
    <row r="146" spans="1:9" s="69" customFormat="1" x14ac:dyDescent="0.3">
      <c r="A146" s="41" t="s">
        <v>639</v>
      </c>
      <c r="B146" s="59"/>
      <c r="C146" s="60"/>
      <c r="D146" s="61"/>
      <c r="E146" s="60"/>
      <c r="F146" s="65"/>
    </row>
    <row r="147" spans="1:9" s="69" customFormat="1" x14ac:dyDescent="0.3">
      <c r="A147" s="41" t="s">
        <v>1064</v>
      </c>
      <c r="B147" s="59"/>
      <c r="C147" s="60"/>
      <c r="D147" s="61"/>
      <c r="E147" s="60"/>
      <c r="F147" s="65"/>
    </row>
    <row r="148" spans="1:9" s="52" customFormat="1" ht="13.5" thickBot="1" x14ac:dyDescent="0.35">
      <c r="A148" s="76" t="s">
        <v>11</v>
      </c>
      <c r="B148" s="166"/>
      <c r="C148" s="165"/>
      <c r="D148" s="164"/>
      <c r="E148" s="60"/>
      <c r="F148" s="62"/>
    </row>
    <row r="149" spans="1:9" s="52" customFormat="1" ht="13.5" thickBot="1" x14ac:dyDescent="0.35">
      <c r="A149" s="743" t="s">
        <v>587</v>
      </c>
      <c r="B149" s="744"/>
      <c r="C149" s="750"/>
      <c r="D149" s="747">
        <f>+C151+C164</f>
        <v>5916000</v>
      </c>
      <c r="E149" s="66"/>
      <c r="F149" s="62"/>
      <c r="G149" s="62"/>
    </row>
    <row r="150" spans="1:9" s="52" customFormat="1" ht="13.5" thickBot="1" x14ac:dyDescent="0.35">
      <c r="A150" s="63"/>
      <c r="B150" s="63"/>
      <c r="C150" s="64"/>
      <c r="D150" s="64"/>
      <c r="E150" s="647"/>
      <c r="F150" s="62"/>
    </row>
    <row r="151" spans="1:9" s="66" customFormat="1" ht="13.5" thickBot="1" x14ac:dyDescent="0.35">
      <c r="A151" s="1102" t="s">
        <v>2</v>
      </c>
      <c r="B151" s="1103"/>
      <c r="C151" s="699">
        <f>C152+C154+C156+C158</f>
        <v>1871000</v>
      </c>
      <c r="D151" s="68"/>
      <c r="E151" s="68"/>
      <c r="F151" s="68"/>
    </row>
    <row r="152" spans="1:9" s="43" customFormat="1" ht="13.5" customHeight="1" x14ac:dyDescent="0.3">
      <c r="A152" s="11" t="s">
        <v>103</v>
      </c>
      <c r="B152" s="211" t="s">
        <v>104</v>
      </c>
      <c r="C152" s="31">
        <f>SUM(C153)</f>
        <v>140000</v>
      </c>
      <c r="D152" s="22"/>
      <c r="E152" s="24"/>
      <c r="F152" s="95"/>
      <c r="G152" s="55"/>
      <c r="I152" s="55"/>
    </row>
    <row r="153" spans="1:9" s="43" customFormat="1" ht="13.5" customHeight="1" x14ac:dyDescent="0.25">
      <c r="A153" s="12" t="s">
        <v>46</v>
      </c>
      <c r="B153" s="8" t="s">
        <v>45</v>
      </c>
      <c r="C153" s="24">
        <v>140000</v>
      </c>
      <c r="E153" s="31"/>
      <c r="F153" s="96"/>
      <c r="G153" s="55"/>
    </row>
    <row r="154" spans="1:9" s="43" customFormat="1" ht="13.5" customHeight="1" x14ac:dyDescent="0.3">
      <c r="A154" s="11" t="s">
        <v>105</v>
      </c>
      <c r="B154" s="556" t="s">
        <v>106</v>
      </c>
      <c r="C154" s="31">
        <f>SUM(C155)</f>
        <v>250000</v>
      </c>
      <c r="D154" s="22"/>
      <c r="E154" s="31"/>
      <c r="F154" s="54"/>
      <c r="G154" s="55"/>
    </row>
    <row r="155" spans="1:9" s="43" customFormat="1" ht="13.5" customHeight="1" x14ac:dyDescent="0.3">
      <c r="A155" s="12" t="s">
        <v>86</v>
      </c>
      <c r="B155" s="8" t="s">
        <v>66</v>
      </c>
      <c r="C155" s="24">
        <v>250000</v>
      </c>
      <c r="D155" s="22"/>
      <c r="E155" s="31"/>
      <c r="F155" s="54"/>
      <c r="G155" s="55"/>
    </row>
    <row r="156" spans="1:9" s="43" customFormat="1" ht="13.5" customHeight="1" x14ac:dyDescent="0.3">
      <c r="A156" s="11" t="s">
        <v>107</v>
      </c>
      <c r="B156" s="556" t="s">
        <v>108</v>
      </c>
      <c r="C156" s="31">
        <f>SUM(C157)</f>
        <v>80000</v>
      </c>
      <c r="D156" s="22"/>
      <c r="E156" s="31"/>
      <c r="F156" s="54"/>
      <c r="G156" s="55"/>
    </row>
    <row r="157" spans="1:9" s="66" customFormat="1" x14ac:dyDescent="0.3">
      <c r="A157" s="12" t="s">
        <v>47</v>
      </c>
      <c r="B157" s="23" t="s">
        <v>48</v>
      </c>
      <c r="C157" s="60">
        <v>80000</v>
      </c>
      <c r="D157" s="68"/>
      <c r="E157" s="68"/>
      <c r="F157" s="68"/>
    </row>
    <row r="158" spans="1:9" s="66" customFormat="1" x14ac:dyDescent="0.3">
      <c r="A158" s="265" t="s">
        <v>151</v>
      </c>
      <c r="B158" s="25" t="s">
        <v>125</v>
      </c>
      <c r="C158" s="64">
        <f>SUM(C159:C162)</f>
        <v>1401000</v>
      </c>
      <c r="D158" s="68"/>
      <c r="E158" s="68"/>
      <c r="F158" s="68"/>
    </row>
    <row r="159" spans="1:9" s="66" customFormat="1" x14ac:dyDescent="0.3">
      <c r="A159" s="70" t="s">
        <v>153</v>
      </c>
      <c r="B159" s="70" t="s">
        <v>835</v>
      </c>
      <c r="C159" s="60">
        <v>275000</v>
      </c>
      <c r="D159" s="68"/>
      <c r="E159" s="68"/>
      <c r="F159" s="68"/>
    </row>
    <row r="160" spans="1:9" s="66" customFormat="1" x14ac:dyDescent="0.3">
      <c r="A160" s="70" t="s">
        <v>153</v>
      </c>
      <c r="B160" s="70" t="s">
        <v>225</v>
      </c>
      <c r="C160" s="60">
        <v>456000</v>
      </c>
      <c r="D160" s="68"/>
      <c r="E160" s="68"/>
      <c r="F160" s="68"/>
    </row>
    <row r="161" spans="1:10" s="66" customFormat="1" x14ac:dyDescent="0.3">
      <c r="A161" s="72" t="s">
        <v>154</v>
      </c>
      <c r="B161" s="23" t="s">
        <v>133</v>
      </c>
      <c r="C161" s="60">
        <v>90000</v>
      </c>
      <c r="D161" s="68"/>
      <c r="E161" s="68"/>
      <c r="F161" s="68"/>
    </row>
    <row r="162" spans="1:10" s="66" customFormat="1" x14ac:dyDescent="0.3">
      <c r="A162" s="72" t="s">
        <v>699</v>
      </c>
      <c r="B162" s="43" t="s">
        <v>698</v>
      </c>
      <c r="C162" s="60">
        <v>580000</v>
      </c>
      <c r="D162" s="68"/>
      <c r="E162" s="68"/>
      <c r="F162" s="68"/>
    </row>
    <row r="163" spans="1:10" s="66" customFormat="1" ht="13.5" thickBot="1" x14ac:dyDescent="0.35">
      <c r="A163" s="72"/>
      <c r="B163" s="23"/>
      <c r="C163" s="60"/>
      <c r="D163" s="68"/>
      <c r="E163" s="68"/>
      <c r="F163" s="68"/>
    </row>
    <row r="164" spans="1:10" s="66" customFormat="1" ht="13.5" thickBot="1" x14ac:dyDescent="0.35">
      <c r="A164" s="1098" t="s">
        <v>3</v>
      </c>
      <c r="B164" s="1099"/>
      <c r="C164" s="700">
        <f>C165+C167+C169+C171</f>
        <v>4045000</v>
      </c>
      <c r="D164" s="68"/>
      <c r="E164" s="68"/>
      <c r="F164" s="68"/>
    </row>
    <row r="165" spans="1:10" s="56" customFormat="1" x14ac:dyDescent="0.3">
      <c r="A165" s="265" t="s">
        <v>110</v>
      </c>
      <c r="B165" s="298" t="s">
        <v>111</v>
      </c>
      <c r="C165" s="64">
        <f>SUM(C166:C166)</f>
        <v>175000</v>
      </c>
      <c r="D165" s="57"/>
      <c r="E165" s="57"/>
      <c r="F165" s="57"/>
    </row>
    <row r="166" spans="1:10" s="66" customFormat="1" x14ac:dyDescent="0.3">
      <c r="A166" s="59" t="s">
        <v>52</v>
      </c>
      <c r="B166" s="59" t="s">
        <v>15</v>
      </c>
      <c r="C166" s="60">
        <v>175000</v>
      </c>
      <c r="D166" s="60"/>
      <c r="E166" s="68"/>
      <c r="F166" s="68"/>
    </row>
    <row r="167" spans="1:10" s="66" customFormat="1" x14ac:dyDescent="0.3">
      <c r="A167" s="560" t="s">
        <v>120</v>
      </c>
      <c r="B167" s="561" t="s">
        <v>121</v>
      </c>
      <c r="C167" s="31">
        <f>SUM(C168:C168)</f>
        <v>200000</v>
      </c>
      <c r="F167" s="57"/>
      <c r="G167" s="56"/>
      <c r="H167" s="56"/>
      <c r="I167" s="56"/>
      <c r="J167" s="56"/>
    </row>
    <row r="168" spans="1:10" s="66" customFormat="1" x14ac:dyDescent="0.3">
      <c r="A168" s="59" t="s">
        <v>136</v>
      </c>
      <c r="B168" s="59" t="s">
        <v>71</v>
      </c>
      <c r="C168" s="24">
        <v>200000</v>
      </c>
      <c r="F168" s="57"/>
      <c r="G168" s="56"/>
      <c r="H168" s="56"/>
      <c r="I168" s="56"/>
      <c r="J168" s="56"/>
    </row>
    <row r="169" spans="1:10" s="66" customFormat="1" x14ac:dyDescent="0.3">
      <c r="A169" s="560" t="s">
        <v>112</v>
      </c>
      <c r="B169" s="559" t="s">
        <v>122</v>
      </c>
      <c r="C169" s="64">
        <f>SUM(C170:C170)</f>
        <v>750000</v>
      </c>
      <c r="F169" s="60"/>
      <c r="G169" s="57"/>
      <c r="H169" s="56"/>
      <c r="I169" s="56"/>
      <c r="J169" s="56"/>
    </row>
    <row r="170" spans="1:10" s="66" customFormat="1" x14ac:dyDescent="0.3">
      <c r="A170" s="72" t="s">
        <v>49</v>
      </c>
      <c r="B170" s="23" t="s">
        <v>87</v>
      </c>
      <c r="C170" s="60">
        <v>750000</v>
      </c>
      <c r="F170" s="60"/>
      <c r="G170" s="57"/>
      <c r="H170" s="56"/>
      <c r="I170" s="56"/>
      <c r="J170" s="56"/>
    </row>
    <row r="171" spans="1:10" s="66" customFormat="1" x14ac:dyDescent="0.3">
      <c r="A171" s="265" t="s">
        <v>115</v>
      </c>
      <c r="B171" s="560" t="s">
        <v>8</v>
      </c>
      <c r="C171" s="64">
        <f>SUM(C172:C175)</f>
        <v>2920000</v>
      </c>
      <c r="F171" s="105"/>
      <c r="G171" s="57"/>
      <c r="H171" s="56"/>
      <c r="I171" s="56"/>
      <c r="J171" s="56"/>
    </row>
    <row r="172" spans="1:10" s="66" customFormat="1" x14ac:dyDescent="0.3">
      <c r="A172" s="70" t="s">
        <v>89</v>
      </c>
      <c r="B172" s="70" t="s">
        <v>8</v>
      </c>
      <c r="C172" s="60">
        <v>1090000</v>
      </c>
      <c r="F172" s="57"/>
      <c r="G172" s="57"/>
      <c r="H172" s="56"/>
      <c r="I172" s="56"/>
      <c r="J172" s="56"/>
    </row>
    <row r="173" spans="1:10" s="66" customFormat="1" x14ac:dyDescent="0.3">
      <c r="A173" s="70" t="s">
        <v>224</v>
      </c>
      <c r="B173" s="43" t="s">
        <v>223</v>
      </c>
      <c r="C173" s="60">
        <v>500000</v>
      </c>
      <c r="F173" s="57"/>
      <c r="G173" s="57"/>
      <c r="H173" s="56"/>
      <c r="I173" s="56"/>
      <c r="J173" s="56"/>
    </row>
    <row r="174" spans="1:10" s="66" customFormat="1" x14ac:dyDescent="0.3">
      <c r="A174" s="70" t="s">
        <v>222</v>
      </c>
      <c r="B174" s="70" t="s">
        <v>221</v>
      </c>
      <c r="C174" s="60">
        <v>850000</v>
      </c>
      <c r="F174" s="57"/>
      <c r="G174" s="57"/>
      <c r="H174" s="56"/>
      <c r="I174" s="56"/>
      <c r="J174" s="56"/>
    </row>
    <row r="175" spans="1:10" s="66" customFormat="1" x14ac:dyDescent="0.3">
      <c r="A175" s="70" t="s">
        <v>90</v>
      </c>
      <c r="B175" s="70" t="s">
        <v>7</v>
      </c>
      <c r="C175" s="60">
        <v>480000</v>
      </c>
      <c r="F175" s="60"/>
      <c r="G175" s="57"/>
      <c r="H175" s="56"/>
      <c r="I175" s="56"/>
      <c r="J175" s="56"/>
    </row>
    <row r="176" spans="1:10" s="8" customFormat="1" ht="13.5" customHeight="1" x14ac:dyDescent="0.3">
      <c r="A176" s="72"/>
      <c r="B176" s="23"/>
      <c r="C176" s="24"/>
      <c r="D176" s="78"/>
      <c r="E176" s="25"/>
      <c r="F176" s="95"/>
      <c r="G176" s="55"/>
      <c r="H176" s="43"/>
    </row>
    <row r="177" spans="1:11" s="158" customFormat="1" ht="12" thickBot="1" x14ac:dyDescent="0.3">
      <c r="A177" s="161"/>
      <c r="B177" s="161"/>
      <c r="C177" s="163"/>
      <c r="D177" s="162"/>
      <c r="E177" s="161"/>
      <c r="F177" s="157"/>
      <c r="G177" s="156"/>
      <c r="H177" s="156"/>
      <c r="I177" s="156"/>
      <c r="J177" s="156"/>
      <c r="K177" s="156"/>
    </row>
    <row r="178" spans="1:11" s="52" customFormat="1" x14ac:dyDescent="0.3">
      <c r="A178" s="648" t="s">
        <v>724</v>
      </c>
      <c r="B178" s="703"/>
      <c r="C178" s="712"/>
      <c r="D178" s="704" t="s">
        <v>6</v>
      </c>
      <c r="E178" s="910" t="s">
        <v>149</v>
      </c>
      <c r="F178" s="62"/>
    </row>
    <row r="179" spans="1:11" s="52" customFormat="1" ht="13.5" thickBot="1" x14ac:dyDescent="0.35">
      <c r="A179" s="707"/>
      <c r="B179" s="711"/>
      <c r="C179" s="714"/>
      <c r="D179" s="708"/>
      <c r="E179" s="709"/>
      <c r="F179" s="62"/>
    </row>
    <row r="180" spans="1:11" s="69" customFormat="1" x14ac:dyDescent="0.3">
      <c r="A180" s="1123" t="s">
        <v>1014</v>
      </c>
      <c r="B180" s="1124"/>
      <c r="C180" s="1124"/>
      <c r="D180" s="1124"/>
      <c r="E180" s="1125"/>
      <c r="F180" s="65"/>
    </row>
    <row r="181" spans="1:11" s="69" customFormat="1" x14ac:dyDescent="0.3">
      <c r="A181" s="1126"/>
      <c r="B181" s="1127"/>
      <c r="C181" s="1127"/>
      <c r="D181" s="1127"/>
      <c r="E181" s="1128"/>
      <c r="F181" s="65"/>
    </row>
    <row r="182" spans="1:11" s="69" customFormat="1" x14ac:dyDescent="0.3">
      <c r="A182" s="1126"/>
      <c r="B182" s="1127"/>
      <c r="C182" s="1127"/>
      <c r="D182" s="1127"/>
      <c r="E182" s="1128"/>
      <c r="F182" s="65"/>
    </row>
    <row r="183" spans="1:11" s="69" customFormat="1" x14ac:dyDescent="0.3">
      <c r="A183" s="1126"/>
      <c r="B183" s="1127"/>
      <c r="C183" s="1127"/>
      <c r="D183" s="1127"/>
      <c r="E183" s="1128"/>
      <c r="F183" s="65"/>
    </row>
    <row r="184" spans="1:11" s="69" customFormat="1" x14ac:dyDescent="0.3">
      <c r="A184" s="1126"/>
      <c r="B184" s="1127"/>
      <c r="C184" s="1127"/>
      <c r="D184" s="1127"/>
      <c r="E184" s="1128"/>
      <c r="F184" s="65"/>
    </row>
    <row r="185" spans="1:11" s="69" customFormat="1" x14ac:dyDescent="0.3">
      <c r="A185" s="1126"/>
      <c r="B185" s="1127"/>
      <c r="C185" s="1127"/>
      <c r="D185" s="1127"/>
      <c r="E185" s="1128"/>
      <c r="F185" s="65"/>
    </row>
    <row r="186" spans="1:11" s="69" customFormat="1" x14ac:dyDescent="0.3">
      <c r="A186" s="1126"/>
      <c r="B186" s="1127"/>
      <c r="C186" s="1127"/>
      <c r="D186" s="1127"/>
      <c r="E186" s="1128"/>
      <c r="F186" s="65"/>
    </row>
    <row r="187" spans="1:11" s="69" customFormat="1" x14ac:dyDescent="0.3">
      <c r="A187" s="1126"/>
      <c r="B187" s="1127"/>
      <c r="C187" s="1127"/>
      <c r="D187" s="1127"/>
      <c r="E187" s="1128"/>
      <c r="F187" s="65"/>
    </row>
    <row r="188" spans="1:11" s="69" customFormat="1" x14ac:dyDescent="0.3">
      <c r="A188" s="1126"/>
      <c r="B188" s="1127"/>
      <c r="C188" s="1127"/>
      <c r="D188" s="1127"/>
      <c r="E188" s="1128"/>
      <c r="F188" s="65"/>
    </row>
    <row r="189" spans="1:11" s="69" customFormat="1" x14ac:dyDescent="0.3">
      <c r="A189" s="1126"/>
      <c r="B189" s="1127"/>
      <c r="C189" s="1127"/>
      <c r="D189" s="1127"/>
      <c r="E189" s="1128"/>
      <c r="F189" s="65"/>
    </row>
    <row r="190" spans="1:11" s="69" customFormat="1" ht="13.5" thickBot="1" x14ac:dyDescent="0.35">
      <c r="A190" s="1129"/>
      <c r="B190" s="1130"/>
      <c r="C190" s="1130"/>
      <c r="D190" s="1130"/>
      <c r="E190" s="1131"/>
      <c r="F190" s="65"/>
    </row>
    <row r="191" spans="1:11" s="6" customFormat="1" ht="13.5" customHeight="1" x14ac:dyDescent="0.25">
      <c r="A191" s="41" t="s">
        <v>1029</v>
      </c>
      <c r="B191" s="31"/>
      <c r="C191" s="31"/>
      <c r="D191" s="32"/>
      <c r="E191" s="42"/>
      <c r="F191" s="88"/>
    </row>
    <row r="192" spans="1:11" s="6" customFormat="1" ht="13.5" customHeight="1" x14ac:dyDescent="0.25">
      <c r="A192" s="41" t="s">
        <v>764</v>
      </c>
      <c r="B192" s="31"/>
      <c r="C192" s="31"/>
      <c r="D192" s="32"/>
      <c r="E192" s="42"/>
      <c r="F192" s="88"/>
    </row>
    <row r="193" spans="1:8" s="6" customFormat="1" ht="13.5" customHeight="1" x14ac:dyDescent="0.25">
      <c r="A193" s="41" t="s">
        <v>1040</v>
      </c>
      <c r="B193" s="31"/>
      <c r="C193" s="31"/>
      <c r="D193" s="32"/>
      <c r="E193" s="42"/>
      <c r="F193" s="88"/>
    </row>
    <row r="194" spans="1:8" s="6" customFormat="1" ht="13.5" customHeight="1" thickBot="1" x14ac:dyDescent="0.3">
      <c r="A194" s="41" t="s">
        <v>11</v>
      </c>
      <c r="B194" s="31"/>
      <c r="C194" s="31"/>
      <c r="D194" s="32"/>
      <c r="E194" s="42"/>
      <c r="F194" s="88"/>
    </row>
    <row r="195" spans="1:8" s="52" customFormat="1" ht="13.5" thickBot="1" x14ac:dyDescent="0.35">
      <c r="A195" s="743" t="s">
        <v>14</v>
      </c>
      <c r="B195" s="744"/>
      <c r="C195" s="750"/>
      <c r="D195" s="751"/>
      <c r="E195" s="747">
        <f>+C197+C211+C224</f>
        <v>11063000</v>
      </c>
      <c r="F195" s="62"/>
      <c r="G195" s="62"/>
    </row>
    <row r="196" spans="1:8" s="52" customFormat="1" ht="13.5" thickBot="1" x14ac:dyDescent="0.35">
      <c r="A196" s="63"/>
      <c r="B196" s="63"/>
      <c r="C196" s="64"/>
      <c r="D196" s="64"/>
      <c r="E196" s="568"/>
      <c r="F196" s="62"/>
    </row>
    <row r="197" spans="1:8" s="66" customFormat="1" ht="13.5" thickBot="1" x14ac:dyDescent="0.35">
      <c r="A197" s="1102" t="s">
        <v>2</v>
      </c>
      <c r="B197" s="1103"/>
      <c r="C197" s="699">
        <f>C198+C200+C202+C206+C204</f>
        <v>1910000</v>
      </c>
      <c r="D197" s="68"/>
      <c r="E197" s="68"/>
      <c r="F197" s="68"/>
    </row>
    <row r="198" spans="1:8" s="56" customFormat="1" x14ac:dyDescent="0.3">
      <c r="A198" s="265" t="s">
        <v>199</v>
      </c>
      <c r="B198" s="298" t="s">
        <v>228</v>
      </c>
      <c r="C198" s="64">
        <f>SUM(C199)</f>
        <v>100000</v>
      </c>
      <c r="D198" s="57"/>
      <c r="E198" s="57"/>
      <c r="F198" s="57"/>
    </row>
    <row r="199" spans="1:8" s="43" customFormat="1" ht="13.5" customHeight="1" x14ac:dyDescent="0.3">
      <c r="A199" s="12" t="s">
        <v>227</v>
      </c>
      <c r="B199" s="8" t="s">
        <v>226</v>
      </c>
      <c r="C199" s="24">
        <v>100000</v>
      </c>
      <c r="D199" s="96"/>
      <c r="E199" s="31"/>
      <c r="F199" s="54"/>
      <c r="G199" s="55"/>
    </row>
    <row r="200" spans="1:8" s="43" customFormat="1" ht="13.5" customHeight="1" x14ac:dyDescent="0.3">
      <c r="A200" s="11" t="s">
        <v>105</v>
      </c>
      <c r="B200" s="556" t="s">
        <v>106</v>
      </c>
      <c r="C200" s="31">
        <f>SUM(C201)</f>
        <v>420000</v>
      </c>
      <c r="D200" s="22"/>
      <c r="E200" s="31"/>
      <c r="F200" s="54"/>
      <c r="G200" s="55"/>
    </row>
    <row r="201" spans="1:8" s="43" customFormat="1" ht="13.5" customHeight="1" x14ac:dyDescent="0.3">
      <c r="A201" s="12" t="s">
        <v>86</v>
      </c>
      <c r="B201" s="8" t="s">
        <v>66</v>
      </c>
      <c r="C201" s="24">
        <v>420000</v>
      </c>
      <c r="D201" s="22"/>
      <c r="E201" s="31"/>
      <c r="F201" s="54"/>
      <c r="G201" s="55"/>
    </row>
    <row r="202" spans="1:8" s="43" customFormat="1" ht="13.5" customHeight="1" x14ac:dyDescent="0.3">
      <c r="A202" s="11" t="s">
        <v>107</v>
      </c>
      <c r="B202" s="556" t="s">
        <v>108</v>
      </c>
      <c r="C202" s="31">
        <f>SUM(C203)</f>
        <v>150000</v>
      </c>
      <c r="D202" s="22"/>
      <c r="E202" s="31"/>
      <c r="F202" s="54"/>
      <c r="G202" s="55"/>
    </row>
    <row r="203" spans="1:8" s="66" customFormat="1" x14ac:dyDescent="0.3">
      <c r="A203" s="12" t="s">
        <v>47</v>
      </c>
      <c r="B203" s="23" t="s">
        <v>48</v>
      </c>
      <c r="C203" s="60">
        <v>150000</v>
      </c>
      <c r="D203" s="68"/>
      <c r="E203" s="68"/>
      <c r="F203" s="68"/>
    </row>
    <row r="204" spans="1:8" s="72" customFormat="1" ht="13.5" customHeight="1" x14ac:dyDescent="0.25">
      <c r="A204" s="265" t="s">
        <v>124</v>
      </c>
      <c r="B204" s="25" t="s">
        <v>123</v>
      </c>
      <c r="C204" s="31">
        <f>SUM(C205:C205)</f>
        <v>270000</v>
      </c>
      <c r="D204" s="21"/>
      <c r="E204" s="21"/>
      <c r="F204" s="5"/>
      <c r="G204" s="350"/>
      <c r="H204" s="122"/>
    </row>
    <row r="205" spans="1:8" s="66" customFormat="1" x14ac:dyDescent="0.3">
      <c r="A205" s="72" t="s">
        <v>93</v>
      </c>
      <c r="B205" s="23" t="s">
        <v>72</v>
      </c>
      <c r="C205" s="60">
        <v>270000</v>
      </c>
      <c r="D205" s="68"/>
      <c r="E205" s="68"/>
      <c r="F205" s="68"/>
    </row>
    <row r="206" spans="1:8" s="66" customFormat="1" x14ac:dyDescent="0.3">
      <c r="A206" s="265" t="s">
        <v>151</v>
      </c>
      <c r="B206" s="25" t="s">
        <v>125</v>
      </c>
      <c r="C206" s="64">
        <f>SUM(C207:C209)</f>
        <v>970000</v>
      </c>
      <c r="D206" s="68"/>
      <c r="E206" s="68"/>
      <c r="F206" s="68"/>
    </row>
    <row r="207" spans="1:8" s="66" customFormat="1" x14ac:dyDescent="0.3">
      <c r="A207" s="70" t="s">
        <v>153</v>
      </c>
      <c r="B207" s="70" t="s">
        <v>225</v>
      </c>
      <c r="C207" s="60">
        <v>130000</v>
      </c>
      <c r="D207" s="68"/>
      <c r="E207" s="68"/>
      <c r="F207" s="68"/>
    </row>
    <row r="208" spans="1:8" s="66" customFormat="1" x14ac:dyDescent="0.3">
      <c r="A208" s="72" t="s">
        <v>154</v>
      </c>
      <c r="B208" s="23" t="s">
        <v>133</v>
      </c>
      <c r="C208" s="60">
        <v>240000</v>
      </c>
      <c r="D208" s="68"/>
      <c r="E208" s="68"/>
      <c r="F208" s="68"/>
    </row>
    <row r="209" spans="1:10" s="66" customFormat="1" x14ac:dyDescent="0.3">
      <c r="A209" s="72" t="s">
        <v>699</v>
      </c>
      <c r="B209" s="43" t="s">
        <v>698</v>
      </c>
      <c r="C209" s="60">
        <v>600000</v>
      </c>
      <c r="D209" s="68"/>
      <c r="E209" s="68"/>
      <c r="F209" s="68"/>
    </row>
    <row r="210" spans="1:10" s="66" customFormat="1" ht="13.5" thickBot="1" x14ac:dyDescent="0.35">
      <c r="A210" s="72"/>
      <c r="B210" s="23"/>
      <c r="C210" s="60"/>
      <c r="D210" s="68"/>
      <c r="E210" s="68"/>
      <c r="F210" s="68"/>
    </row>
    <row r="211" spans="1:10" s="66" customFormat="1" ht="13.5" thickBot="1" x14ac:dyDescent="0.35">
      <c r="A211" s="1098" t="s">
        <v>3</v>
      </c>
      <c r="B211" s="1099"/>
      <c r="C211" s="700">
        <f>C212+C214+C216+C218</f>
        <v>8733000</v>
      </c>
      <c r="D211" s="68"/>
      <c r="E211" s="68"/>
      <c r="F211" s="68"/>
    </row>
    <row r="212" spans="1:10" s="56" customFormat="1" x14ac:dyDescent="0.3">
      <c r="A212" s="265" t="s">
        <v>110</v>
      </c>
      <c r="B212" s="298" t="s">
        <v>111</v>
      </c>
      <c r="C212" s="64">
        <f>SUM(C213:C213)</f>
        <v>1800000</v>
      </c>
      <c r="D212" s="57"/>
      <c r="E212" s="57"/>
      <c r="F212" s="57"/>
    </row>
    <row r="213" spans="1:10" s="66" customFormat="1" x14ac:dyDescent="0.3">
      <c r="A213" s="59" t="s">
        <v>52</v>
      </c>
      <c r="B213" s="59" t="s">
        <v>15</v>
      </c>
      <c r="C213" s="60">
        <v>1800000</v>
      </c>
      <c r="D213" s="60"/>
      <c r="E213" s="68"/>
      <c r="F213" s="68"/>
    </row>
    <row r="214" spans="1:10" s="66" customFormat="1" x14ac:dyDescent="0.3">
      <c r="A214" s="560" t="s">
        <v>120</v>
      </c>
      <c r="B214" s="561" t="s">
        <v>121</v>
      </c>
      <c r="C214" s="31">
        <f>SUM(C215:C215)</f>
        <v>389000</v>
      </c>
      <c r="F214" s="57"/>
      <c r="G214" s="56"/>
      <c r="H214" s="56"/>
      <c r="I214" s="56"/>
      <c r="J214" s="56"/>
    </row>
    <row r="215" spans="1:10" s="66" customFormat="1" x14ac:dyDescent="0.3">
      <c r="A215" s="59" t="s">
        <v>136</v>
      </c>
      <c r="B215" s="59" t="s">
        <v>71</v>
      </c>
      <c r="C215" s="24">
        <v>389000</v>
      </c>
      <c r="F215" s="57"/>
      <c r="G215" s="56"/>
      <c r="H215" s="56"/>
      <c r="I215" s="56"/>
      <c r="J215" s="56"/>
    </row>
    <row r="216" spans="1:10" s="66" customFormat="1" x14ac:dyDescent="0.3">
      <c r="A216" s="560" t="s">
        <v>112</v>
      </c>
      <c r="B216" s="559" t="s">
        <v>122</v>
      </c>
      <c r="C216" s="64">
        <f>SUM(C217:C217)</f>
        <v>800000</v>
      </c>
      <c r="F216" s="60"/>
      <c r="G216" s="57"/>
      <c r="H216" s="56"/>
      <c r="I216" s="56"/>
      <c r="J216" s="56"/>
    </row>
    <row r="217" spans="1:10" s="66" customFormat="1" x14ac:dyDescent="0.3">
      <c r="A217" s="72" t="s">
        <v>49</v>
      </c>
      <c r="B217" s="23" t="s">
        <v>87</v>
      </c>
      <c r="C217" s="60">
        <v>800000</v>
      </c>
      <c r="F217" s="60"/>
      <c r="G217" s="57"/>
      <c r="H217" s="56"/>
      <c r="I217" s="56"/>
      <c r="J217" s="56"/>
    </row>
    <row r="218" spans="1:10" s="66" customFormat="1" x14ac:dyDescent="0.3">
      <c r="A218" s="265" t="s">
        <v>115</v>
      </c>
      <c r="B218" s="560" t="s">
        <v>8</v>
      </c>
      <c r="C218" s="64">
        <f>SUM(C219:C222)</f>
        <v>5744000</v>
      </c>
      <c r="F218" s="105"/>
      <c r="G218" s="57"/>
      <c r="H218" s="56"/>
      <c r="I218" s="56"/>
      <c r="J218" s="56"/>
    </row>
    <row r="219" spans="1:10" s="66" customFormat="1" x14ac:dyDescent="0.3">
      <c r="A219" s="70" t="s">
        <v>89</v>
      </c>
      <c r="B219" s="70" t="s">
        <v>8</v>
      </c>
      <c r="C219" s="60">
        <v>3080000</v>
      </c>
      <c r="F219" s="57"/>
      <c r="G219" s="57"/>
      <c r="H219" s="56"/>
      <c r="I219" s="56"/>
      <c r="J219" s="56"/>
    </row>
    <row r="220" spans="1:10" s="66" customFormat="1" x14ac:dyDescent="0.3">
      <c r="A220" s="70" t="s">
        <v>224</v>
      </c>
      <c r="B220" s="43" t="s">
        <v>223</v>
      </c>
      <c r="C220" s="60">
        <v>600000</v>
      </c>
      <c r="F220" s="57"/>
      <c r="G220" s="57"/>
      <c r="H220" s="56"/>
      <c r="I220" s="56"/>
      <c r="J220" s="56"/>
    </row>
    <row r="221" spans="1:10" s="66" customFormat="1" x14ac:dyDescent="0.3">
      <c r="A221" s="70" t="s">
        <v>222</v>
      </c>
      <c r="B221" s="70" t="s">
        <v>221</v>
      </c>
      <c r="C221" s="60">
        <v>1800000</v>
      </c>
      <c r="F221" s="57"/>
      <c r="G221" s="57"/>
      <c r="H221" s="56"/>
      <c r="I221" s="56"/>
      <c r="J221" s="56"/>
    </row>
    <row r="222" spans="1:10" s="66" customFormat="1" x14ac:dyDescent="0.3">
      <c r="A222" s="70" t="s">
        <v>90</v>
      </c>
      <c r="B222" s="70" t="s">
        <v>7</v>
      </c>
      <c r="C222" s="60">
        <v>264000</v>
      </c>
      <c r="F222" s="60"/>
      <c r="G222" s="57"/>
      <c r="H222" s="56"/>
      <c r="I222" s="56"/>
      <c r="J222" s="56"/>
    </row>
    <row r="223" spans="1:10" s="66" customFormat="1" ht="13.5" thickBot="1" x14ac:dyDescent="0.35">
      <c r="A223" s="70"/>
      <c r="B223" s="70"/>
      <c r="C223" s="60"/>
      <c r="F223" s="60"/>
      <c r="G223" s="57"/>
      <c r="H223" s="56"/>
      <c r="I223" s="56"/>
      <c r="J223" s="56"/>
    </row>
    <row r="224" spans="1:10" s="66" customFormat="1" ht="13.5" thickBot="1" x14ac:dyDescent="0.35">
      <c r="A224" s="1094" t="s">
        <v>4</v>
      </c>
      <c r="B224" s="1095"/>
      <c r="C224" s="702">
        <f>C225+C227</f>
        <v>420000</v>
      </c>
      <c r="D224" s="68"/>
      <c r="E224" s="68"/>
      <c r="F224" s="68"/>
    </row>
    <row r="225" spans="1:11" s="56" customFormat="1" x14ac:dyDescent="0.3">
      <c r="A225" s="265" t="s">
        <v>116</v>
      </c>
      <c r="B225" s="211" t="s">
        <v>117</v>
      </c>
      <c r="C225" s="64">
        <f>SUM(C226:C226)</f>
        <v>270000</v>
      </c>
      <c r="D225" s="57"/>
      <c r="E225" s="57"/>
      <c r="F225" s="57"/>
    </row>
    <row r="226" spans="1:11" s="8" customFormat="1" ht="13.5" customHeight="1" x14ac:dyDescent="0.3">
      <c r="A226" s="72" t="s">
        <v>57</v>
      </c>
      <c r="B226" s="23" t="s">
        <v>58</v>
      </c>
      <c r="C226" s="24">
        <v>270000</v>
      </c>
      <c r="D226" s="78"/>
      <c r="E226" s="25"/>
      <c r="F226" s="54"/>
      <c r="G226" s="73"/>
      <c r="H226" s="43"/>
    </row>
    <row r="227" spans="1:11" s="8" customFormat="1" ht="13.5" customHeight="1" x14ac:dyDescent="0.3">
      <c r="A227" s="265" t="s">
        <v>166</v>
      </c>
      <c r="B227" s="25" t="s">
        <v>134</v>
      </c>
      <c r="C227" s="31">
        <f>SUM(C228)</f>
        <v>150000</v>
      </c>
      <c r="D227" s="78"/>
      <c r="E227" s="25"/>
      <c r="F227" s="54"/>
      <c r="G227" s="73"/>
      <c r="H227" s="43"/>
    </row>
    <row r="228" spans="1:11" s="8" customFormat="1" ht="13.5" customHeight="1" x14ac:dyDescent="0.3">
      <c r="A228" s="72" t="s">
        <v>167</v>
      </c>
      <c r="B228" s="23" t="s">
        <v>51</v>
      </c>
      <c r="C228" s="24">
        <v>150000</v>
      </c>
      <c r="D228" s="78"/>
      <c r="E228" s="25"/>
      <c r="F228" s="95"/>
      <c r="G228" s="55"/>
      <c r="H228" s="43"/>
    </row>
    <row r="229" spans="1:11" s="66" customFormat="1" x14ac:dyDescent="0.3">
      <c r="A229" s="70"/>
      <c r="B229" s="70"/>
      <c r="C229" s="60"/>
      <c r="D229" s="67"/>
      <c r="E229" s="57"/>
      <c r="F229" s="57"/>
      <c r="G229" s="56"/>
      <c r="H229" s="56"/>
      <c r="I229" s="56"/>
      <c r="J229" s="56"/>
    </row>
    <row r="230" spans="1:11" s="158" customFormat="1" ht="12" thickBot="1" x14ac:dyDescent="0.3">
      <c r="A230" s="161"/>
      <c r="B230" s="161"/>
      <c r="C230" s="163"/>
      <c r="D230" s="162"/>
      <c r="E230" s="161"/>
      <c r="F230" s="157"/>
      <c r="G230" s="156"/>
      <c r="H230" s="156"/>
      <c r="I230" s="156"/>
      <c r="J230" s="156"/>
      <c r="K230" s="156"/>
    </row>
    <row r="231" spans="1:11" s="52" customFormat="1" x14ac:dyDescent="0.3">
      <c r="A231" s="715" t="s">
        <v>730</v>
      </c>
      <c r="B231" s="703"/>
      <c r="C231" s="712"/>
      <c r="D231" s="704" t="s">
        <v>6</v>
      </c>
      <c r="E231" s="910" t="s">
        <v>626</v>
      </c>
      <c r="F231" s="62"/>
    </row>
    <row r="232" spans="1:11" s="52" customFormat="1" ht="13.5" thickBot="1" x14ac:dyDescent="0.35">
      <c r="A232" s="716"/>
      <c r="B232" s="710"/>
      <c r="C232" s="713"/>
      <c r="D232" s="705"/>
      <c r="E232" s="706"/>
      <c r="F232" s="62"/>
    </row>
    <row r="233" spans="1:11" s="52" customFormat="1" x14ac:dyDescent="0.3">
      <c r="A233" s="1123" t="s">
        <v>1015</v>
      </c>
      <c r="B233" s="1124"/>
      <c r="C233" s="1124"/>
      <c r="D233" s="1124"/>
      <c r="E233" s="1125"/>
      <c r="F233" s="62"/>
    </row>
    <row r="234" spans="1:11" s="52" customFormat="1" x14ac:dyDescent="0.3">
      <c r="A234" s="1126"/>
      <c r="B234" s="1127"/>
      <c r="C234" s="1127"/>
      <c r="D234" s="1127"/>
      <c r="E234" s="1128"/>
      <c r="F234" s="62"/>
    </row>
    <row r="235" spans="1:11" s="217" customFormat="1" ht="13.5" customHeight="1" thickBot="1" x14ac:dyDescent="0.25">
      <c r="A235" s="1129"/>
      <c r="B235" s="1130"/>
      <c r="C235" s="1130"/>
      <c r="D235" s="1130"/>
      <c r="E235" s="1131"/>
      <c r="F235" s="158"/>
      <c r="G235" s="156"/>
      <c r="H235" s="156"/>
      <c r="I235" s="156"/>
      <c r="J235" s="156"/>
      <c r="K235" s="156"/>
    </row>
    <row r="236" spans="1:11" s="52" customFormat="1" x14ac:dyDescent="0.3">
      <c r="A236" s="58" t="s">
        <v>1029</v>
      </c>
      <c r="B236" s="59"/>
      <c r="C236" s="60"/>
      <c r="D236" s="60"/>
      <c r="E236" s="61"/>
      <c r="F236" s="62"/>
    </row>
    <row r="237" spans="1:11" s="69" customFormat="1" x14ac:dyDescent="0.3">
      <c r="A237" s="41" t="s">
        <v>727</v>
      </c>
      <c r="B237" s="59"/>
      <c r="C237" s="60"/>
      <c r="D237" s="60"/>
      <c r="E237" s="61"/>
      <c r="F237" s="65"/>
    </row>
    <row r="238" spans="1:11" s="69" customFormat="1" x14ac:dyDescent="0.3">
      <c r="A238" s="41" t="s">
        <v>1040</v>
      </c>
      <c r="B238" s="31"/>
      <c r="C238" s="60"/>
      <c r="D238" s="60"/>
      <c r="E238" s="61"/>
      <c r="F238" s="65"/>
    </row>
    <row r="239" spans="1:11" s="52" customFormat="1" ht="13.5" thickBot="1" x14ac:dyDescent="0.35">
      <c r="A239" s="167" t="s">
        <v>13</v>
      </c>
      <c r="B239" s="166"/>
      <c r="C239" s="165"/>
      <c r="D239" s="165"/>
      <c r="E239" s="164"/>
      <c r="F239" s="62"/>
    </row>
    <row r="240" spans="1:11" s="52" customFormat="1" ht="13.5" thickBot="1" x14ac:dyDescent="0.35">
      <c r="A240" s="743" t="s">
        <v>14</v>
      </c>
      <c r="B240" s="744"/>
      <c r="C240" s="750"/>
      <c r="D240" s="751"/>
      <c r="E240" s="747">
        <f>+C242+C255+C274+D290</f>
        <v>16406675</v>
      </c>
      <c r="F240" s="62"/>
      <c r="G240" s="62"/>
    </row>
    <row r="241" spans="1:8" s="52" customFormat="1" ht="13.5" thickBot="1" x14ac:dyDescent="0.35">
      <c r="A241" s="63"/>
      <c r="B241" s="63"/>
      <c r="C241" s="64"/>
      <c r="D241" s="64"/>
      <c r="E241" s="64"/>
      <c r="F241" s="62"/>
    </row>
    <row r="242" spans="1:8" s="66" customFormat="1" ht="13.5" thickBot="1" x14ac:dyDescent="0.35">
      <c r="A242" s="1102" t="s">
        <v>2</v>
      </c>
      <c r="B242" s="1103"/>
      <c r="C242" s="699">
        <f>C243+C247+C252+C249</f>
        <v>1286470</v>
      </c>
      <c r="D242" s="68"/>
      <c r="E242" s="109"/>
      <c r="F242" s="68"/>
    </row>
    <row r="243" spans="1:8" s="56" customFormat="1" x14ac:dyDescent="0.3">
      <c r="A243" s="11" t="s">
        <v>105</v>
      </c>
      <c r="B243" s="556" t="s">
        <v>106</v>
      </c>
      <c r="C243" s="64">
        <f>SUM(C244:C246)</f>
        <v>1044630</v>
      </c>
      <c r="E243" s="57"/>
      <c r="F243" s="57"/>
    </row>
    <row r="244" spans="1:8" s="43" customFormat="1" ht="13.5" customHeight="1" x14ac:dyDescent="0.3">
      <c r="A244" s="12" t="s">
        <v>67</v>
      </c>
      <c r="B244" s="8" t="s">
        <v>68</v>
      </c>
      <c r="C244" s="24">
        <v>127230</v>
      </c>
      <c r="D244" s="57"/>
      <c r="E244" s="31"/>
      <c r="F244" s="54"/>
      <c r="G244" s="55"/>
    </row>
    <row r="245" spans="1:8" s="43" customFormat="1" ht="13.5" customHeight="1" x14ac:dyDescent="0.25">
      <c r="A245" s="12" t="s">
        <v>86</v>
      </c>
      <c r="B245" s="8" t="s">
        <v>66</v>
      </c>
      <c r="C245" s="24">
        <v>777000</v>
      </c>
      <c r="F245" s="96"/>
      <c r="G245" s="31"/>
    </row>
    <row r="246" spans="1:8" s="43" customFormat="1" ht="13.5" customHeight="1" x14ac:dyDescent="0.25">
      <c r="A246" s="12" t="s">
        <v>609</v>
      </c>
      <c r="B246" s="43" t="s">
        <v>608</v>
      </c>
      <c r="C246" s="24">
        <v>140400</v>
      </c>
      <c r="F246" s="96"/>
      <c r="G246" s="31"/>
    </row>
    <row r="247" spans="1:8" s="43" customFormat="1" ht="13.5" customHeight="1" x14ac:dyDescent="0.25">
      <c r="A247" s="11" t="s">
        <v>107</v>
      </c>
      <c r="B247" s="556" t="s">
        <v>108</v>
      </c>
      <c r="C247" s="31">
        <f>SUM(C248)</f>
        <v>103200</v>
      </c>
      <c r="F247" s="22"/>
      <c r="G247" s="31"/>
    </row>
    <row r="248" spans="1:8" s="8" customFormat="1" ht="13.5" customHeight="1" x14ac:dyDescent="0.3">
      <c r="A248" s="12" t="s">
        <v>47</v>
      </c>
      <c r="B248" s="23" t="s">
        <v>48</v>
      </c>
      <c r="C248" s="24">
        <v>103200</v>
      </c>
      <c r="F248" s="57"/>
      <c r="G248" s="25"/>
      <c r="H248" s="43"/>
    </row>
    <row r="249" spans="1:8" s="8" customFormat="1" ht="13.5" customHeight="1" x14ac:dyDescent="0.3">
      <c r="A249" s="265" t="s">
        <v>124</v>
      </c>
      <c r="B249" s="559" t="s">
        <v>123</v>
      </c>
      <c r="C249" s="31">
        <f>SUM(C250:C251)</f>
        <v>103240</v>
      </c>
      <c r="F249" s="57"/>
      <c r="G249" s="25"/>
      <c r="H249" s="43"/>
    </row>
    <row r="250" spans="1:8" s="8" customFormat="1" ht="13.5" customHeight="1" x14ac:dyDescent="0.3">
      <c r="A250" s="72" t="s">
        <v>93</v>
      </c>
      <c r="B250" s="23" t="s">
        <v>72</v>
      </c>
      <c r="C250" s="24">
        <v>19240</v>
      </c>
      <c r="F250" s="57"/>
      <c r="G250" s="25"/>
      <c r="H250" s="43"/>
    </row>
    <row r="251" spans="1:8" s="8" customFormat="1" ht="13.5" customHeight="1" x14ac:dyDescent="0.3">
      <c r="A251" s="72" t="s">
        <v>610</v>
      </c>
      <c r="B251" s="43" t="s">
        <v>611</v>
      </c>
      <c r="C251" s="24">
        <v>84000</v>
      </c>
      <c r="F251" s="57"/>
      <c r="G251" s="25"/>
      <c r="H251" s="43"/>
    </row>
    <row r="252" spans="1:8" s="8" customFormat="1" ht="13.5" customHeight="1" x14ac:dyDescent="0.25">
      <c r="A252" s="265" t="s">
        <v>151</v>
      </c>
      <c r="B252" s="25" t="s">
        <v>133</v>
      </c>
      <c r="C252" s="31">
        <f>SUM(C253)</f>
        <v>35400</v>
      </c>
      <c r="F252" s="78"/>
      <c r="G252" s="25"/>
      <c r="H252" s="43"/>
    </row>
    <row r="253" spans="1:8" s="8" customFormat="1" ht="13.5" customHeight="1" x14ac:dyDescent="0.25">
      <c r="A253" s="72" t="s">
        <v>155</v>
      </c>
      <c r="B253" s="23" t="s">
        <v>133</v>
      </c>
      <c r="C253" s="24">
        <v>35400</v>
      </c>
      <c r="F253" s="78"/>
      <c r="G253" s="25"/>
      <c r="H253" s="74"/>
    </row>
    <row r="254" spans="1:8" s="8" customFormat="1" ht="13.5" customHeight="1" thickBot="1" x14ac:dyDescent="0.3">
      <c r="A254" s="72"/>
      <c r="B254" s="23"/>
      <c r="C254" s="23"/>
      <c r="F254" s="78"/>
      <c r="G254" s="25"/>
      <c r="H254" s="74"/>
    </row>
    <row r="255" spans="1:8" s="66" customFormat="1" ht="13.5" thickBot="1" x14ac:dyDescent="0.35">
      <c r="A255" s="1098" t="s">
        <v>3</v>
      </c>
      <c r="B255" s="1099"/>
      <c r="C255" s="700">
        <f>C256+C258+C260+C263+C265+C270</f>
        <v>10456390</v>
      </c>
      <c r="F255" s="68"/>
    </row>
    <row r="256" spans="1:8" s="56" customFormat="1" ht="14.25" customHeight="1" x14ac:dyDescent="0.3">
      <c r="A256" s="265" t="s">
        <v>110</v>
      </c>
      <c r="B256" s="298" t="s">
        <v>111</v>
      </c>
      <c r="C256" s="64">
        <f>SUM(C257)</f>
        <v>230400</v>
      </c>
      <c r="F256" s="57"/>
    </row>
    <row r="257" spans="1:10" s="66" customFormat="1" x14ac:dyDescent="0.3">
      <c r="A257" s="59" t="s">
        <v>52</v>
      </c>
      <c r="B257" s="59" t="s">
        <v>15</v>
      </c>
      <c r="C257" s="60">
        <v>230400</v>
      </c>
      <c r="D257" s="56"/>
      <c r="F257" s="60"/>
      <c r="G257" s="68"/>
    </row>
    <row r="258" spans="1:10" s="8" customFormat="1" ht="13.5" customHeight="1" x14ac:dyDescent="0.25">
      <c r="A258" s="560" t="s">
        <v>120</v>
      </c>
      <c r="B258" s="561" t="s">
        <v>121</v>
      </c>
      <c r="C258" s="31">
        <f>SUM(C259:C259)</f>
        <v>12600</v>
      </c>
      <c r="D258" s="43"/>
      <c r="F258" s="78"/>
      <c r="G258" s="25"/>
      <c r="H258" s="55"/>
    </row>
    <row r="259" spans="1:10" s="8" customFormat="1" ht="13.5" customHeight="1" x14ac:dyDescent="0.25">
      <c r="A259" s="59" t="s">
        <v>136</v>
      </c>
      <c r="B259" s="59" t="s">
        <v>71</v>
      </c>
      <c r="C259" s="24">
        <v>12600</v>
      </c>
      <c r="D259" s="43"/>
      <c r="G259" s="25"/>
      <c r="H259" s="55"/>
    </row>
    <row r="260" spans="1:10" s="66" customFormat="1" x14ac:dyDescent="0.3">
      <c r="A260" s="560" t="s">
        <v>112</v>
      </c>
      <c r="B260" s="559" t="s">
        <v>122</v>
      </c>
      <c r="C260" s="64">
        <f>SUM(C261:C262)</f>
        <v>835250</v>
      </c>
      <c r="D260" s="56"/>
      <c r="F260" s="57"/>
      <c r="G260" s="68"/>
    </row>
    <row r="261" spans="1:10" s="66" customFormat="1" x14ac:dyDescent="0.3">
      <c r="A261" s="72" t="s">
        <v>138</v>
      </c>
      <c r="B261" s="59" t="s">
        <v>878</v>
      </c>
      <c r="C261" s="60">
        <v>25000</v>
      </c>
      <c r="F261" s="60"/>
      <c r="G261" s="57"/>
      <c r="H261" s="56"/>
      <c r="I261" s="56"/>
      <c r="J261" s="56"/>
    </row>
    <row r="262" spans="1:10" s="66" customFormat="1" x14ac:dyDescent="0.3">
      <c r="A262" s="72" t="s">
        <v>49</v>
      </c>
      <c r="B262" s="23" t="s">
        <v>87</v>
      </c>
      <c r="C262" s="60">
        <v>810250</v>
      </c>
      <c r="D262" s="56"/>
      <c r="F262" s="57"/>
      <c r="G262" s="68"/>
    </row>
    <row r="263" spans="1:10" s="66" customFormat="1" x14ac:dyDescent="0.3">
      <c r="A263" s="560" t="s">
        <v>113</v>
      </c>
      <c r="B263" s="560" t="s">
        <v>114</v>
      </c>
      <c r="C263" s="64">
        <f>SUM(C264)</f>
        <v>325000</v>
      </c>
      <c r="D263" s="56"/>
      <c r="F263" s="60"/>
      <c r="G263" s="57"/>
    </row>
    <row r="264" spans="1:10" s="66" customFormat="1" x14ac:dyDescent="0.3">
      <c r="A264" s="59" t="s">
        <v>53</v>
      </c>
      <c r="B264" s="59" t="s">
        <v>54</v>
      </c>
      <c r="C264" s="60">
        <v>325000</v>
      </c>
      <c r="D264" s="56"/>
      <c r="F264" s="57"/>
      <c r="G264" s="57"/>
    </row>
    <row r="265" spans="1:10" s="66" customFormat="1" x14ac:dyDescent="0.3">
      <c r="A265" s="560" t="s">
        <v>132</v>
      </c>
      <c r="B265" s="560" t="s">
        <v>56</v>
      </c>
      <c r="C265" s="64">
        <f>SUM(C266:C269)</f>
        <v>8235220</v>
      </c>
      <c r="D265" s="56"/>
      <c r="F265" s="105"/>
      <c r="G265" s="57"/>
    </row>
    <row r="266" spans="1:10" s="66" customFormat="1" x14ac:dyDescent="0.3">
      <c r="A266" s="70" t="s">
        <v>55</v>
      </c>
      <c r="B266" s="70" t="s">
        <v>56</v>
      </c>
      <c r="C266" s="60">
        <v>7350400</v>
      </c>
      <c r="D266" s="56"/>
      <c r="E266" s="56"/>
      <c r="F266" s="64"/>
      <c r="G266" s="60"/>
      <c r="H266" s="56"/>
    </row>
    <row r="267" spans="1:10" s="66" customFormat="1" x14ac:dyDescent="0.3">
      <c r="A267" s="70" t="s">
        <v>143</v>
      </c>
      <c r="B267" s="43" t="s">
        <v>142</v>
      </c>
      <c r="C267" s="60">
        <v>55000</v>
      </c>
      <c r="D267" s="110"/>
      <c r="E267" s="67"/>
      <c r="F267" s="57"/>
    </row>
    <row r="268" spans="1:10" s="66" customFormat="1" x14ac:dyDescent="0.3">
      <c r="A268" s="70" t="s">
        <v>95</v>
      </c>
      <c r="B268" s="70" t="s">
        <v>96</v>
      </c>
      <c r="C268" s="60">
        <v>526500</v>
      </c>
      <c r="D268" s="60"/>
      <c r="E268" s="67"/>
      <c r="F268" s="57"/>
    </row>
    <row r="269" spans="1:10" s="66" customFormat="1" x14ac:dyDescent="0.3">
      <c r="A269" s="70" t="s">
        <v>592</v>
      </c>
      <c r="B269" s="43" t="s">
        <v>604</v>
      </c>
      <c r="C269" s="60">
        <f>308320-5000</f>
        <v>303320</v>
      </c>
      <c r="D269" s="60"/>
      <c r="E269" s="67"/>
      <c r="F269" s="57"/>
    </row>
    <row r="270" spans="1:10" s="66" customFormat="1" x14ac:dyDescent="0.3">
      <c r="A270" s="265" t="s">
        <v>115</v>
      </c>
      <c r="B270" s="25" t="s">
        <v>8</v>
      </c>
      <c r="C270" s="64">
        <f>SUM(C271:C272)</f>
        <v>817920</v>
      </c>
      <c r="D270" s="57"/>
      <c r="E270" s="67"/>
      <c r="F270" s="57"/>
    </row>
    <row r="271" spans="1:10" s="66" customFormat="1" x14ac:dyDescent="0.3">
      <c r="A271" s="70" t="s">
        <v>89</v>
      </c>
      <c r="B271" s="70" t="s">
        <v>8</v>
      </c>
      <c r="C271" s="60">
        <v>751920</v>
      </c>
      <c r="D271" s="57"/>
      <c r="E271" s="68"/>
      <c r="F271" s="68"/>
    </row>
    <row r="272" spans="1:10" s="66" customFormat="1" x14ac:dyDescent="0.3">
      <c r="A272" s="70" t="s">
        <v>90</v>
      </c>
      <c r="B272" s="70" t="s">
        <v>7</v>
      </c>
      <c r="C272" s="60">
        <v>66000</v>
      </c>
      <c r="D272" s="57"/>
      <c r="E272" s="68"/>
      <c r="F272" s="68"/>
    </row>
    <row r="273" spans="1:8" s="66" customFormat="1" ht="13.5" thickBot="1" x14ac:dyDescent="0.35">
      <c r="A273" s="70"/>
      <c r="B273" s="70"/>
      <c r="C273" s="60"/>
      <c r="D273" s="68"/>
      <c r="E273" s="68"/>
      <c r="F273" s="68"/>
    </row>
    <row r="274" spans="1:8" s="66" customFormat="1" ht="13.5" thickBot="1" x14ac:dyDescent="0.35">
      <c r="A274" s="1094" t="s">
        <v>4</v>
      </c>
      <c r="B274" s="1095"/>
      <c r="C274" s="702">
        <f>C275+C278</f>
        <v>114800</v>
      </c>
      <c r="D274" s="68"/>
      <c r="E274" s="68"/>
      <c r="F274" s="68"/>
    </row>
    <row r="275" spans="1:8" s="56" customFormat="1" x14ac:dyDescent="0.3">
      <c r="A275" s="265" t="s">
        <v>116</v>
      </c>
      <c r="B275" s="211" t="s">
        <v>117</v>
      </c>
      <c r="C275" s="64">
        <f>SUM(C276:C277)</f>
        <v>96800</v>
      </c>
      <c r="D275" s="57"/>
      <c r="E275" s="57"/>
      <c r="F275" s="57"/>
    </row>
    <row r="276" spans="1:8" s="8" customFormat="1" ht="13.5" customHeight="1" x14ac:dyDescent="0.3">
      <c r="A276" s="72" t="s">
        <v>91</v>
      </c>
      <c r="B276" s="23" t="s">
        <v>139</v>
      </c>
      <c r="C276" s="24">
        <v>34000</v>
      </c>
      <c r="D276" s="78"/>
      <c r="E276" s="25"/>
      <c r="F276" s="95"/>
      <c r="G276" s="55"/>
      <c r="H276" s="43"/>
    </row>
    <row r="277" spans="1:8" s="8" customFormat="1" ht="13.5" customHeight="1" x14ac:dyDescent="0.3">
      <c r="A277" s="72" t="s">
        <v>57</v>
      </c>
      <c r="B277" s="23" t="s">
        <v>58</v>
      </c>
      <c r="C277" s="24">
        <v>62800</v>
      </c>
      <c r="D277" s="78"/>
      <c r="E277" s="25"/>
      <c r="F277" s="54"/>
      <c r="G277" s="73"/>
      <c r="H277" s="43"/>
    </row>
    <row r="278" spans="1:8" s="8" customFormat="1" ht="13.5" customHeight="1" x14ac:dyDescent="0.3">
      <c r="A278" s="265" t="s">
        <v>166</v>
      </c>
      <c r="B278" s="25" t="s">
        <v>134</v>
      </c>
      <c r="C278" s="31">
        <f>SUM(C279)</f>
        <v>18000</v>
      </c>
      <c r="D278" s="78"/>
      <c r="E278" s="25"/>
      <c r="F278" s="95"/>
      <c r="G278" s="55"/>
      <c r="H278" s="43"/>
    </row>
    <row r="279" spans="1:8" s="8" customFormat="1" ht="13.5" customHeight="1" x14ac:dyDescent="0.3">
      <c r="A279" s="72" t="s">
        <v>167</v>
      </c>
      <c r="B279" s="23" t="s">
        <v>51</v>
      </c>
      <c r="C279" s="24">
        <v>18000</v>
      </c>
      <c r="D279" s="78"/>
      <c r="E279" s="25"/>
      <c r="F279" s="95"/>
      <c r="G279" s="55"/>
      <c r="H279" s="43"/>
    </row>
    <row r="280" spans="1:8" s="8" customFormat="1" ht="13.5" customHeight="1" x14ac:dyDescent="0.3">
      <c r="A280" s="72"/>
      <c r="B280" s="23"/>
      <c r="C280" s="24"/>
      <c r="D280" s="78"/>
      <c r="E280" s="25"/>
      <c r="F280" s="95"/>
      <c r="G280" s="55"/>
      <c r="H280" s="43"/>
    </row>
    <row r="281" spans="1:8" s="52" customFormat="1" ht="13.5" thickBot="1" x14ac:dyDescent="0.35">
      <c r="C281" s="62"/>
      <c r="D281" s="62"/>
      <c r="E281" s="62"/>
      <c r="F281" s="62"/>
    </row>
    <row r="282" spans="1:8" s="52" customFormat="1" x14ac:dyDescent="0.3">
      <c r="A282" s="715" t="s">
        <v>765</v>
      </c>
      <c r="B282" s="703"/>
      <c r="C282" s="704" t="s">
        <v>6</v>
      </c>
      <c r="D282" s="913" t="s">
        <v>729</v>
      </c>
      <c r="F282" s="62"/>
    </row>
    <row r="283" spans="1:8" s="52" customFormat="1" ht="13.5" thickBot="1" x14ac:dyDescent="0.35">
      <c r="A283" s="717"/>
      <c r="B283" s="711"/>
      <c r="C283" s="708"/>
      <c r="D283" s="709"/>
      <c r="F283" s="62"/>
    </row>
    <row r="284" spans="1:8" s="66" customFormat="1" x14ac:dyDescent="0.3">
      <c r="A284" s="1123" t="s">
        <v>1016</v>
      </c>
      <c r="B284" s="1124"/>
      <c r="C284" s="1124"/>
      <c r="D284" s="1125"/>
      <c r="F284" s="68"/>
    </row>
    <row r="285" spans="1:8" s="66" customFormat="1" ht="13.5" thickBot="1" x14ac:dyDescent="0.35">
      <c r="A285" s="1129"/>
      <c r="B285" s="1130"/>
      <c r="C285" s="1130"/>
      <c r="D285" s="1131"/>
      <c r="F285" s="68"/>
    </row>
    <row r="286" spans="1:8" s="66" customFormat="1" x14ac:dyDescent="0.3">
      <c r="A286" s="456" t="s">
        <v>1029</v>
      </c>
      <c r="B286" s="170"/>
      <c r="C286" s="169"/>
      <c r="D286" s="168"/>
      <c r="F286" s="68"/>
    </row>
    <row r="287" spans="1:8" s="56" customFormat="1" x14ac:dyDescent="0.3">
      <c r="A287" s="41" t="s">
        <v>727</v>
      </c>
      <c r="B287" s="59"/>
      <c r="C287" s="60"/>
      <c r="D287" s="61"/>
      <c r="F287" s="57"/>
    </row>
    <row r="288" spans="1:8" s="69" customFormat="1" x14ac:dyDescent="0.3">
      <c r="A288" s="41" t="s">
        <v>1064</v>
      </c>
      <c r="B288" s="31"/>
      <c r="C288" s="60"/>
      <c r="D288" s="61"/>
      <c r="F288" s="65"/>
    </row>
    <row r="289" spans="1:8" s="52" customFormat="1" ht="13.5" thickBot="1" x14ac:dyDescent="0.35">
      <c r="A289" s="167" t="s">
        <v>13</v>
      </c>
      <c r="B289" s="166"/>
      <c r="C289" s="165"/>
      <c r="D289" s="164"/>
      <c r="F289" s="62"/>
    </row>
    <row r="290" spans="1:8" s="52" customFormat="1" ht="13.5" thickBot="1" x14ac:dyDescent="0.35">
      <c r="A290" s="743" t="s">
        <v>587</v>
      </c>
      <c r="B290" s="744"/>
      <c r="C290" s="751"/>
      <c r="D290" s="747">
        <f>+C292+C304+C320</f>
        <v>4549015</v>
      </c>
      <c r="F290" s="62"/>
      <c r="G290" s="62"/>
    </row>
    <row r="291" spans="1:8" s="52" customFormat="1" ht="13.5" thickBot="1" x14ac:dyDescent="0.35">
      <c r="A291" s="63"/>
      <c r="B291" s="63"/>
      <c r="C291" s="64"/>
      <c r="D291" s="64"/>
      <c r="E291" s="64"/>
      <c r="F291" s="62"/>
    </row>
    <row r="292" spans="1:8" s="66" customFormat="1" ht="13.5" thickBot="1" x14ac:dyDescent="0.35">
      <c r="A292" s="1102" t="s">
        <v>2</v>
      </c>
      <c r="B292" s="1103"/>
      <c r="C292" s="699">
        <f>C293+C296+C301+C298</f>
        <v>572850</v>
      </c>
      <c r="D292" s="68"/>
      <c r="E292" s="109"/>
      <c r="F292" s="68"/>
    </row>
    <row r="293" spans="1:8" s="56" customFormat="1" x14ac:dyDescent="0.3">
      <c r="A293" s="11" t="s">
        <v>105</v>
      </c>
      <c r="B293" s="556" t="s">
        <v>106</v>
      </c>
      <c r="C293" s="64">
        <f>SUM(C294:C295)</f>
        <v>419000</v>
      </c>
      <c r="E293" s="57"/>
      <c r="F293" s="57"/>
    </row>
    <row r="294" spans="1:8" s="43" customFormat="1" ht="13.5" customHeight="1" x14ac:dyDescent="0.25">
      <c r="A294" s="12" t="s">
        <v>86</v>
      </c>
      <c r="B294" s="8" t="s">
        <v>66</v>
      </c>
      <c r="C294" s="24">
        <v>351000</v>
      </c>
      <c r="F294" s="96"/>
      <c r="G294" s="31"/>
    </row>
    <row r="295" spans="1:8" s="43" customFormat="1" ht="13.5" customHeight="1" x14ac:dyDescent="0.25">
      <c r="A295" s="12" t="s">
        <v>609</v>
      </c>
      <c r="B295" s="43" t="s">
        <v>608</v>
      </c>
      <c r="C295" s="24">
        <v>68000</v>
      </c>
      <c r="F295" s="96"/>
      <c r="G295" s="31"/>
    </row>
    <row r="296" spans="1:8" s="43" customFormat="1" ht="13.5" customHeight="1" x14ac:dyDescent="0.25">
      <c r="A296" s="11" t="s">
        <v>107</v>
      </c>
      <c r="B296" s="556" t="s">
        <v>108</v>
      </c>
      <c r="C296" s="31">
        <f>SUM(C297)</f>
        <v>45000</v>
      </c>
      <c r="F296" s="22"/>
      <c r="G296" s="31"/>
    </row>
    <row r="297" spans="1:8" s="8" customFormat="1" ht="13.5" customHeight="1" x14ac:dyDescent="0.3">
      <c r="A297" s="12" t="s">
        <v>47</v>
      </c>
      <c r="B297" s="23" t="s">
        <v>48</v>
      </c>
      <c r="C297" s="24">
        <v>45000</v>
      </c>
      <c r="F297" s="57"/>
      <c r="G297" s="25"/>
      <c r="H297" s="43"/>
    </row>
    <row r="298" spans="1:8" s="8" customFormat="1" ht="13.5" customHeight="1" x14ac:dyDescent="0.3">
      <c r="A298" s="265" t="s">
        <v>124</v>
      </c>
      <c r="B298" s="559" t="s">
        <v>123</v>
      </c>
      <c r="C298" s="31">
        <f>SUM(C299:C300)</f>
        <v>64600</v>
      </c>
      <c r="F298" s="57"/>
      <c r="G298" s="25"/>
      <c r="H298" s="43"/>
    </row>
    <row r="299" spans="1:8" s="8" customFormat="1" ht="13.5" customHeight="1" x14ac:dyDescent="0.3">
      <c r="A299" s="72" t="s">
        <v>93</v>
      </c>
      <c r="B299" s="23" t="s">
        <v>72</v>
      </c>
      <c r="C299" s="24">
        <v>19600</v>
      </c>
      <c r="F299" s="57"/>
      <c r="G299" s="25"/>
      <c r="H299" s="43"/>
    </row>
    <row r="300" spans="1:8" s="8" customFormat="1" ht="13.5" customHeight="1" x14ac:dyDescent="0.3">
      <c r="A300" s="72" t="s">
        <v>610</v>
      </c>
      <c r="B300" s="43" t="s">
        <v>611</v>
      </c>
      <c r="C300" s="24">
        <v>45000</v>
      </c>
      <c r="F300" s="57"/>
      <c r="G300" s="25"/>
      <c r="H300" s="43"/>
    </row>
    <row r="301" spans="1:8" s="8" customFormat="1" ht="13.5" customHeight="1" x14ac:dyDescent="0.25">
      <c r="A301" s="265" t="s">
        <v>151</v>
      </c>
      <c r="B301" s="25" t="s">
        <v>133</v>
      </c>
      <c r="C301" s="31">
        <f>SUM(C302)</f>
        <v>44250</v>
      </c>
      <c r="F301" s="78"/>
      <c r="G301" s="25"/>
      <c r="H301" s="43"/>
    </row>
    <row r="302" spans="1:8" s="8" customFormat="1" ht="13.5" customHeight="1" x14ac:dyDescent="0.25">
      <c r="A302" s="72" t="s">
        <v>155</v>
      </c>
      <c r="B302" s="23" t="s">
        <v>133</v>
      </c>
      <c r="C302" s="24">
        <v>44250</v>
      </c>
      <c r="F302" s="78"/>
      <c r="G302" s="25"/>
      <c r="H302" s="74"/>
    </row>
    <row r="303" spans="1:8" s="8" customFormat="1" ht="13.5" customHeight="1" thickBot="1" x14ac:dyDescent="0.3">
      <c r="A303" s="72"/>
      <c r="B303" s="23"/>
      <c r="C303" s="23"/>
      <c r="F303" s="78"/>
      <c r="G303" s="25"/>
      <c r="H303" s="74"/>
    </row>
    <row r="304" spans="1:8" s="66" customFormat="1" ht="13.5" thickBot="1" x14ac:dyDescent="0.35">
      <c r="A304" s="1098" t="s">
        <v>3</v>
      </c>
      <c r="B304" s="1099"/>
      <c r="C304" s="700">
        <f>C305+C307+C309+C311+C316</f>
        <v>3846825</v>
      </c>
      <c r="F304" s="68"/>
    </row>
    <row r="305" spans="1:8" s="56" customFormat="1" ht="14.25" customHeight="1" x14ac:dyDescent="0.3">
      <c r="A305" s="265" t="s">
        <v>110</v>
      </c>
      <c r="B305" s="298" t="s">
        <v>111</v>
      </c>
      <c r="C305" s="64">
        <f>SUM(C306)</f>
        <v>25000</v>
      </c>
      <c r="F305" s="57"/>
    </row>
    <row r="306" spans="1:8" s="66" customFormat="1" x14ac:dyDescent="0.3">
      <c r="A306" s="59" t="s">
        <v>52</v>
      </c>
      <c r="B306" s="59" t="s">
        <v>15</v>
      </c>
      <c r="C306" s="60">
        <v>25000</v>
      </c>
      <c r="D306" s="56"/>
      <c r="F306" s="60"/>
      <c r="G306" s="68"/>
    </row>
    <row r="307" spans="1:8" s="8" customFormat="1" ht="13.5" customHeight="1" x14ac:dyDescent="0.25">
      <c r="A307" s="560" t="s">
        <v>120</v>
      </c>
      <c r="B307" s="561" t="s">
        <v>121</v>
      </c>
      <c r="C307" s="31">
        <f>SUM(C308:C308)</f>
        <v>15120</v>
      </c>
      <c r="D307" s="43"/>
      <c r="F307" s="78"/>
      <c r="G307" s="25"/>
      <c r="H307" s="55"/>
    </row>
    <row r="308" spans="1:8" s="8" customFormat="1" ht="13.5" customHeight="1" x14ac:dyDescent="0.25">
      <c r="A308" s="59" t="s">
        <v>136</v>
      </c>
      <c r="B308" s="59" t="s">
        <v>71</v>
      </c>
      <c r="C308" s="24">
        <v>15120</v>
      </c>
      <c r="D308" s="43"/>
      <c r="G308" s="25"/>
      <c r="H308" s="55"/>
    </row>
    <row r="309" spans="1:8" s="66" customFormat="1" x14ac:dyDescent="0.3">
      <c r="A309" s="560" t="s">
        <v>112</v>
      </c>
      <c r="B309" s="559" t="s">
        <v>122</v>
      </c>
      <c r="C309" s="64">
        <f>SUM(C310)</f>
        <v>905905</v>
      </c>
      <c r="D309" s="56"/>
      <c r="F309" s="57"/>
      <c r="G309" s="68"/>
    </row>
    <row r="310" spans="1:8" s="66" customFormat="1" x14ac:dyDescent="0.3">
      <c r="A310" s="72" t="s">
        <v>49</v>
      </c>
      <c r="B310" s="23" t="s">
        <v>87</v>
      </c>
      <c r="C310" s="60">
        <v>905905</v>
      </c>
      <c r="D310" s="56"/>
      <c r="F310" s="57"/>
      <c r="G310" s="68"/>
    </row>
    <row r="311" spans="1:8" s="66" customFormat="1" x14ac:dyDescent="0.3">
      <c r="A311" s="560" t="s">
        <v>132</v>
      </c>
      <c r="B311" s="560" t="s">
        <v>56</v>
      </c>
      <c r="C311" s="64">
        <f>SUM(C312:C315)</f>
        <v>1871700</v>
      </c>
      <c r="D311" s="56"/>
      <c r="F311" s="105"/>
      <c r="G311" s="57"/>
    </row>
    <row r="312" spans="1:8" s="66" customFormat="1" x14ac:dyDescent="0.3">
      <c r="A312" s="70" t="s">
        <v>55</v>
      </c>
      <c r="B312" s="70" t="s">
        <v>56</v>
      </c>
      <c r="C312" s="60">
        <v>1089200</v>
      </c>
      <c r="D312" s="56"/>
      <c r="E312" s="56"/>
      <c r="F312" s="64"/>
      <c r="G312" s="60"/>
      <c r="H312" s="56"/>
    </row>
    <row r="313" spans="1:8" s="66" customFormat="1" x14ac:dyDescent="0.3">
      <c r="A313" s="70" t="s">
        <v>143</v>
      </c>
      <c r="B313" s="43" t="s">
        <v>142</v>
      </c>
      <c r="C313" s="60">
        <v>72500</v>
      </c>
      <c r="D313" s="110"/>
      <c r="E313" s="67"/>
      <c r="F313" s="57"/>
    </row>
    <row r="314" spans="1:8" s="66" customFormat="1" x14ac:dyDescent="0.3">
      <c r="A314" s="70" t="s">
        <v>95</v>
      </c>
      <c r="B314" s="70" t="s">
        <v>96</v>
      </c>
      <c r="C314" s="60">
        <v>560000</v>
      </c>
      <c r="D314" s="60"/>
      <c r="E314" s="67"/>
      <c r="F314" s="57"/>
    </row>
    <row r="315" spans="1:8" s="66" customFormat="1" x14ac:dyDescent="0.3">
      <c r="A315" s="70" t="s">
        <v>592</v>
      </c>
      <c r="B315" s="43" t="s">
        <v>604</v>
      </c>
      <c r="C315" s="60">
        <v>150000</v>
      </c>
      <c r="D315" s="60"/>
      <c r="E315" s="67"/>
      <c r="F315" s="57"/>
    </row>
    <row r="316" spans="1:8" s="66" customFormat="1" x14ac:dyDescent="0.3">
      <c r="A316" s="265" t="s">
        <v>115</v>
      </c>
      <c r="B316" s="25" t="s">
        <v>8</v>
      </c>
      <c r="C316" s="64">
        <f>SUM(C317:C318)</f>
        <v>1029100</v>
      </c>
      <c r="D316" s="57"/>
      <c r="E316" s="67"/>
      <c r="F316" s="57"/>
    </row>
    <row r="317" spans="1:8" s="66" customFormat="1" x14ac:dyDescent="0.3">
      <c r="A317" s="70" t="s">
        <v>89</v>
      </c>
      <c r="B317" s="70" t="s">
        <v>8</v>
      </c>
      <c r="C317" s="60">
        <v>951100</v>
      </c>
      <c r="D317" s="57"/>
      <c r="E317" s="68"/>
      <c r="F317" s="68"/>
    </row>
    <row r="318" spans="1:8" s="66" customFormat="1" x14ac:dyDescent="0.3">
      <c r="A318" s="70" t="s">
        <v>90</v>
      </c>
      <c r="B318" s="70" t="s">
        <v>7</v>
      </c>
      <c r="C318" s="60">
        <v>78000</v>
      </c>
      <c r="D318" s="57"/>
      <c r="E318" s="68"/>
      <c r="F318" s="68"/>
    </row>
    <row r="319" spans="1:8" s="66" customFormat="1" ht="13.5" thickBot="1" x14ac:dyDescent="0.35">
      <c r="A319" s="70"/>
      <c r="B319" s="70"/>
      <c r="C319" s="60"/>
      <c r="D319" s="68"/>
      <c r="E319" s="68"/>
      <c r="F319" s="68"/>
    </row>
    <row r="320" spans="1:8" s="66" customFormat="1" ht="13.5" thickBot="1" x14ac:dyDescent="0.35">
      <c r="A320" s="1094" t="s">
        <v>4</v>
      </c>
      <c r="B320" s="1095"/>
      <c r="C320" s="702">
        <f>C321+C324</f>
        <v>129340</v>
      </c>
      <c r="D320" s="68"/>
      <c r="E320" s="68"/>
      <c r="F320" s="68"/>
    </row>
    <row r="321" spans="1:11" s="56" customFormat="1" x14ac:dyDescent="0.3">
      <c r="A321" s="265" t="s">
        <v>116</v>
      </c>
      <c r="B321" s="211" t="s">
        <v>117</v>
      </c>
      <c r="C321" s="64">
        <f>SUM(C322:C323)</f>
        <v>113340</v>
      </c>
      <c r="D321" s="57"/>
      <c r="E321" s="57"/>
      <c r="F321" s="57"/>
    </row>
    <row r="322" spans="1:11" s="8" customFormat="1" ht="13.5" customHeight="1" x14ac:dyDescent="0.3">
      <c r="A322" s="72" t="s">
        <v>91</v>
      </c>
      <c r="B322" s="23" t="s">
        <v>139</v>
      </c>
      <c r="C322" s="24">
        <v>31000</v>
      </c>
      <c r="D322" s="78"/>
      <c r="E322" s="25"/>
      <c r="F322" s="95"/>
      <c r="G322" s="55"/>
      <c r="H322" s="43"/>
    </row>
    <row r="323" spans="1:11" s="8" customFormat="1" ht="13.5" customHeight="1" x14ac:dyDescent="0.3">
      <c r="A323" s="72" t="s">
        <v>57</v>
      </c>
      <c r="B323" s="23" t="s">
        <v>58</v>
      </c>
      <c r="C323" s="24">
        <v>82340</v>
      </c>
      <c r="D323" s="78"/>
      <c r="E323" s="25"/>
      <c r="F323" s="54"/>
      <c r="G323" s="73"/>
      <c r="H323" s="43"/>
    </row>
    <row r="324" spans="1:11" s="8" customFormat="1" ht="13.5" customHeight="1" x14ac:dyDescent="0.3">
      <c r="A324" s="265" t="s">
        <v>166</v>
      </c>
      <c r="B324" s="25" t="s">
        <v>134</v>
      </c>
      <c r="C324" s="31">
        <f>SUM(C325)</f>
        <v>16000</v>
      </c>
      <c r="D324" s="78"/>
      <c r="E324" s="25"/>
      <c r="F324" s="95"/>
      <c r="G324" s="55"/>
      <c r="H324" s="43"/>
    </row>
    <row r="325" spans="1:11" s="8" customFormat="1" ht="13.5" customHeight="1" x14ac:dyDescent="0.3">
      <c r="A325" s="72" t="s">
        <v>167</v>
      </c>
      <c r="B325" s="23" t="s">
        <v>51</v>
      </c>
      <c r="C325" s="24">
        <v>16000</v>
      </c>
      <c r="D325" s="78"/>
      <c r="E325" s="25"/>
      <c r="F325" s="95"/>
      <c r="G325" s="55"/>
      <c r="H325" s="43"/>
    </row>
    <row r="326" spans="1:11" s="8" customFormat="1" ht="13.5" customHeight="1" x14ac:dyDescent="0.3">
      <c r="A326" s="72"/>
      <c r="B326" s="23"/>
      <c r="C326" s="24"/>
      <c r="D326" s="78"/>
      <c r="E326" s="25"/>
      <c r="F326" s="95"/>
      <c r="G326" s="55"/>
      <c r="H326" s="43"/>
    </row>
    <row r="327" spans="1:11" s="151" customFormat="1" ht="13.5" customHeight="1" thickBot="1" x14ac:dyDescent="0.3">
      <c r="A327" s="72"/>
      <c r="B327" s="72"/>
      <c r="C327" s="23"/>
      <c r="D327" s="24"/>
      <c r="E327" s="23"/>
      <c r="F327" s="9"/>
      <c r="G327" s="152"/>
      <c r="H327" s="152"/>
      <c r="I327" s="152"/>
      <c r="J327" s="152"/>
      <c r="K327" s="152"/>
    </row>
    <row r="328" spans="1:11" s="128" customFormat="1" x14ac:dyDescent="0.25">
      <c r="A328" s="1109" t="s">
        <v>1017</v>
      </c>
      <c r="B328" s="1110"/>
      <c r="C328" s="1111"/>
      <c r="D328" s="692" t="s">
        <v>6</v>
      </c>
      <c r="E328" s="913" t="s">
        <v>731</v>
      </c>
      <c r="F328" s="130"/>
      <c r="G328" s="129"/>
      <c r="H328" s="129"/>
      <c r="I328" s="129"/>
      <c r="J328" s="129"/>
      <c r="K328" s="129"/>
    </row>
    <row r="329" spans="1:11" s="128" customFormat="1" ht="13.5" thickBot="1" x14ac:dyDescent="0.3">
      <c r="A329" s="1112"/>
      <c r="B329" s="1113"/>
      <c r="C329" s="1114"/>
      <c r="D329" s="695"/>
      <c r="E329" s="718"/>
      <c r="F329" s="130"/>
      <c r="G329" s="129"/>
      <c r="H329" s="129"/>
      <c r="I329" s="129"/>
      <c r="J329" s="129"/>
      <c r="K329" s="129"/>
    </row>
    <row r="330" spans="1:11" s="959" customFormat="1" ht="39.75" customHeight="1" thickBot="1" x14ac:dyDescent="0.3">
      <c r="A330" s="1106" t="s">
        <v>1018</v>
      </c>
      <c r="B330" s="1107"/>
      <c r="C330" s="1107"/>
      <c r="D330" s="1107"/>
      <c r="E330" s="1108"/>
      <c r="F330" s="957"/>
      <c r="G330" s="958"/>
      <c r="H330" s="958"/>
      <c r="I330" s="958"/>
      <c r="J330" s="958"/>
      <c r="K330" s="958"/>
    </row>
    <row r="331" spans="1:11" s="128" customFormat="1" ht="12.5" x14ac:dyDescent="0.25">
      <c r="A331" s="119" t="s">
        <v>1029</v>
      </c>
      <c r="B331" s="174"/>
      <c r="C331" s="420"/>
      <c r="D331" s="420"/>
      <c r="E331" s="422"/>
      <c r="F331" s="130"/>
      <c r="G331" s="129"/>
      <c r="H331" s="129"/>
      <c r="I331" s="129"/>
      <c r="J331" s="129"/>
      <c r="K331" s="129"/>
    </row>
    <row r="332" spans="1:11" s="128" customFormat="1" ht="12.5" x14ac:dyDescent="0.25">
      <c r="A332" s="41" t="s">
        <v>639</v>
      </c>
      <c r="B332" s="12"/>
      <c r="C332" s="24"/>
      <c r="D332" s="24"/>
      <c r="E332" s="320"/>
      <c r="F332" s="130"/>
      <c r="G332" s="129"/>
      <c r="H332" s="129"/>
      <c r="I332" s="129"/>
      <c r="J332" s="129"/>
      <c r="K332" s="129"/>
    </row>
    <row r="333" spans="1:11" s="128" customFormat="1" ht="12.5" x14ac:dyDescent="0.25">
      <c r="A333" s="41" t="s">
        <v>1040</v>
      </c>
      <c r="B333" s="12"/>
      <c r="C333" s="24"/>
      <c r="D333" s="24"/>
      <c r="E333" s="320"/>
      <c r="F333" s="130"/>
      <c r="G333" s="129"/>
      <c r="H333" s="129"/>
      <c r="I333" s="129"/>
      <c r="J333" s="129"/>
      <c r="K333" s="129"/>
    </row>
    <row r="334" spans="1:11" s="128" customFormat="1" thickBot="1" x14ac:dyDescent="0.3">
      <c r="A334" s="76" t="s">
        <v>13</v>
      </c>
      <c r="B334" s="140"/>
      <c r="C334" s="377"/>
      <c r="D334" s="377"/>
      <c r="E334" s="378"/>
      <c r="F334" s="130"/>
      <c r="G334" s="129"/>
      <c r="H334" s="129"/>
      <c r="I334" s="129"/>
      <c r="J334" s="129"/>
      <c r="K334" s="129"/>
    </row>
    <row r="335" spans="1:11" s="128" customFormat="1" ht="13.5" thickBot="1" x14ac:dyDescent="0.3">
      <c r="A335" s="762" t="s">
        <v>14</v>
      </c>
      <c r="B335" s="763"/>
      <c r="C335" s="764"/>
      <c r="D335" s="766"/>
      <c r="E335" s="772">
        <f>+C337+C346+C358</f>
        <v>4922600</v>
      </c>
      <c r="F335" s="630"/>
      <c r="G335" s="129"/>
      <c r="H335" s="129"/>
      <c r="I335" s="129"/>
      <c r="J335" s="129"/>
      <c r="K335" s="129"/>
    </row>
    <row r="336" spans="1:11" s="128" customFormat="1" ht="13.5" thickBot="1" x14ac:dyDescent="0.3">
      <c r="A336" s="11"/>
      <c r="B336" s="11"/>
      <c r="C336" s="31"/>
      <c r="D336" s="31"/>
      <c r="E336" s="3"/>
      <c r="F336" s="130"/>
      <c r="G336" s="129"/>
      <c r="H336" s="129"/>
      <c r="I336" s="129"/>
      <c r="J336" s="129"/>
      <c r="K336" s="129"/>
    </row>
    <row r="337" spans="1:11" s="128" customFormat="1" ht="13.5" thickBot="1" x14ac:dyDescent="0.3">
      <c r="A337" s="1104" t="s">
        <v>2</v>
      </c>
      <c r="B337" s="1105"/>
      <c r="C337" s="667">
        <f>(C338+C340+C343)</f>
        <v>63750</v>
      </c>
      <c r="D337" s="18"/>
      <c r="E337" s="3"/>
      <c r="F337" s="130"/>
      <c r="G337" s="129"/>
      <c r="H337" s="129"/>
      <c r="I337" s="129"/>
      <c r="J337" s="129"/>
      <c r="K337" s="129"/>
    </row>
    <row r="338" spans="1:11" s="128" customFormat="1" x14ac:dyDescent="0.25">
      <c r="A338" s="11" t="s">
        <v>107</v>
      </c>
      <c r="B338" s="265" t="s">
        <v>108</v>
      </c>
      <c r="C338" s="32">
        <f>SUM(C339)</f>
        <v>16500</v>
      </c>
      <c r="D338" s="348"/>
      <c r="E338" s="349"/>
      <c r="F338" s="130"/>
      <c r="G338" s="129"/>
      <c r="H338" s="129"/>
      <c r="I338" s="129"/>
      <c r="J338" s="129"/>
      <c r="K338" s="129"/>
    </row>
    <row r="339" spans="1:11" s="128" customFormat="1" x14ac:dyDescent="0.25">
      <c r="A339" s="12" t="s">
        <v>47</v>
      </c>
      <c r="B339" s="23" t="s">
        <v>48</v>
      </c>
      <c r="C339" s="24">
        <v>16500</v>
      </c>
      <c r="D339" s="21"/>
      <c r="E339" s="21"/>
      <c r="F339" s="130"/>
      <c r="G339" s="129"/>
      <c r="H339" s="129"/>
      <c r="I339" s="129"/>
      <c r="J339" s="129"/>
      <c r="K339" s="129"/>
    </row>
    <row r="340" spans="1:11" s="128" customFormat="1" x14ac:dyDescent="0.25">
      <c r="A340" s="265" t="s">
        <v>119</v>
      </c>
      <c r="B340" s="25" t="s">
        <v>109</v>
      </c>
      <c r="C340" s="31">
        <f>SUM(C341:C342)</f>
        <v>36000</v>
      </c>
      <c r="D340" s="21"/>
      <c r="E340" s="21"/>
      <c r="F340" s="130"/>
      <c r="G340" s="129"/>
      <c r="H340" s="129"/>
      <c r="I340" s="129"/>
      <c r="J340" s="129"/>
      <c r="K340" s="129"/>
    </row>
    <row r="341" spans="1:11" s="128" customFormat="1" x14ac:dyDescent="0.25">
      <c r="A341" s="72" t="s">
        <v>150</v>
      </c>
      <c r="B341" s="23" t="s">
        <v>340</v>
      </c>
      <c r="C341" s="24">
        <v>11000</v>
      </c>
      <c r="D341" s="21"/>
      <c r="E341" s="21"/>
      <c r="F341" s="130"/>
      <c r="G341" s="129"/>
      <c r="H341" s="129"/>
      <c r="I341" s="129"/>
      <c r="J341" s="129"/>
      <c r="K341" s="129"/>
    </row>
    <row r="342" spans="1:11" s="128" customFormat="1" ht="12.5" x14ac:dyDescent="0.25">
      <c r="A342" s="12" t="s">
        <v>600</v>
      </c>
      <c r="B342" s="43" t="s">
        <v>613</v>
      </c>
      <c r="C342" s="24">
        <v>25000</v>
      </c>
      <c r="D342" s="78"/>
      <c r="E342" s="25"/>
      <c r="F342" s="130"/>
      <c r="G342" s="129"/>
      <c r="H342" s="129"/>
      <c r="I342" s="129"/>
      <c r="J342" s="129"/>
      <c r="K342" s="129"/>
    </row>
    <row r="343" spans="1:11" s="128" customFormat="1" x14ac:dyDescent="0.25">
      <c r="A343" s="265" t="s">
        <v>151</v>
      </c>
      <c r="B343" s="25" t="s">
        <v>125</v>
      </c>
      <c r="C343" s="31">
        <f>SUM(C344:C344)</f>
        <v>11250</v>
      </c>
      <c r="D343" s="21"/>
      <c r="E343" s="21"/>
      <c r="F343" s="130"/>
      <c r="G343" s="129"/>
      <c r="H343" s="129"/>
      <c r="I343" s="129"/>
      <c r="J343" s="129"/>
      <c r="K343" s="129"/>
    </row>
    <row r="344" spans="1:11" s="128" customFormat="1" x14ac:dyDescent="0.25">
      <c r="A344" s="72" t="s">
        <v>155</v>
      </c>
      <c r="B344" s="23" t="s">
        <v>133</v>
      </c>
      <c r="C344" s="24">
        <v>11250</v>
      </c>
      <c r="D344" s="21"/>
      <c r="E344" s="21"/>
      <c r="F344" s="130"/>
      <c r="G344" s="129"/>
      <c r="H344" s="129"/>
      <c r="I344" s="129"/>
      <c r="J344" s="129"/>
      <c r="K344" s="129"/>
    </row>
    <row r="345" spans="1:11" s="128" customFormat="1" ht="13.5" thickBot="1" x14ac:dyDescent="0.3">
      <c r="A345" s="72"/>
      <c r="B345" s="23"/>
      <c r="C345" s="23"/>
      <c r="D345" s="21"/>
      <c r="E345" s="21"/>
      <c r="F345" s="130"/>
      <c r="G345" s="129"/>
      <c r="H345" s="129"/>
      <c r="I345" s="129"/>
      <c r="J345" s="129"/>
      <c r="K345" s="129"/>
    </row>
    <row r="346" spans="1:11" s="128" customFormat="1" ht="13.5" thickBot="1" x14ac:dyDescent="0.3">
      <c r="A346" s="1096" t="s">
        <v>3</v>
      </c>
      <c r="B346" s="1097"/>
      <c r="C346" s="668">
        <f>(C347+C349+C353)</f>
        <v>4777150</v>
      </c>
      <c r="D346" s="21"/>
      <c r="E346" s="21"/>
      <c r="F346" s="130"/>
      <c r="G346" s="129"/>
      <c r="H346" s="129"/>
      <c r="I346" s="129"/>
      <c r="J346" s="129"/>
      <c r="K346" s="129"/>
    </row>
    <row r="347" spans="1:11" s="128" customFormat="1" ht="12.5" x14ac:dyDescent="0.25">
      <c r="A347" s="11" t="s">
        <v>120</v>
      </c>
      <c r="B347" s="25" t="s">
        <v>121</v>
      </c>
      <c r="C347" s="31">
        <f>SUM(C348:C348)</f>
        <v>28250</v>
      </c>
      <c r="D347" s="12"/>
      <c r="E347" s="12"/>
      <c r="F347" s="130"/>
      <c r="G347" s="129"/>
      <c r="H347" s="129"/>
      <c r="I347" s="129"/>
      <c r="J347" s="129"/>
      <c r="K347" s="129"/>
    </row>
    <row r="348" spans="1:11" s="128" customFormat="1" ht="12.5" x14ac:dyDescent="0.25">
      <c r="A348" s="12" t="s">
        <v>136</v>
      </c>
      <c r="B348" s="12" t="s">
        <v>71</v>
      </c>
      <c r="C348" s="24">
        <f>23250+5000</f>
        <v>28250</v>
      </c>
      <c r="D348" s="72"/>
      <c r="E348" s="72"/>
      <c r="F348" s="130"/>
      <c r="G348" s="129"/>
      <c r="H348" s="129"/>
      <c r="I348" s="129"/>
      <c r="J348" s="129"/>
      <c r="K348" s="129"/>
    </row>
    <row r="349" spans="1:11" s="128" customFormat="1" ht="12.5" x14ac:dyDescent="0.25">
      <c r="A349" s="265" t="s">
        <v>112</v>
      </c>
      <c r="B349" s="11" t="s">
        <v>157</v>
      </c>
      <c r="C349" s="31">
        <f>SUM(C350:C352)</f>
        <v>3336000</v>
      </c>
      <c r="D349" s="72"/>
      <c r="E349" s="72"/>
      <c r="F349" s="130"/>
      <c r="G349" s="129"/>
      <c r="H349" s="129"/>
      <c r="I349" s="129"/>
      <c r="J349" s="129"/>
      <c r="K349" s="129"/>
    </row>
    <row r="350" spans="1:11" s="128" customFormat="1" ht="12.5" x14ac:dyDescent="0.25">
      <c r="A350" s="12" t="s">
        <v>138</v>
      </c>
      <c r="B350" s="12" t="s">
        <v>137</v>
      </c>
      <c r="C350" s="24">
        <v>18000</v>
      </c>
      <c r="D350" s="72"/>
      <c r="E350" s="72"/>
      <c r="F350" s="130"/>
      <c r="G350" s="129"/>
      <c r="H350" s="129"/>
      <c r="I350" s="129"/>
      <c r="J350" s="129"/>
      <c r="K350" s="129"/>
    </row>
    <row r="351" spans="1:11" s="128" customFormat="1" ht="12.5" x14ac:dyDescent="0.25">
      <c r="A351" s="72" t="s">
        <v>156</v>
      </c>
      <c r="B351" s="12" t="s">
        <v>87</v>
      </c>
      <c r="C351" s="24">
        <v>443000</v>
      </c>
      <c r="D351" s="72"/>
      <c r="E351" s="72"/>
      <c r="F351" s="130"/>
      <c r="G351" s="129"/>
      <c r="H351" s="129"/>
      <c r="I351" s="129"/>
      <c r="J351" s="129"/>
      <c r="K351" s="129"/>
    </row>
    <row r="352" spans="1:11" s="128" customFormat="1" ht="12.5" x14ac:dyDescent="0.25">
      <c r="A352" s="72" t="s">
        <v>694</v>
      </c>
      <c r="B352" s="43" t="s">
        <v>693</v>
      </c>
      <c r="C352" s="24">
        <v>2875000</v>
      </c>
      <c r="D352" s="72"/>
      <c r="E352" s="72"/>
      <c r="F352" s="130"/>
      <c r="G352" s="129"/>
      <c r="H352" s="129"/>
      <c r="I352" s="129"/>
      <c r="J352" s="129"/>
      <c r="K352" s="129"/>
    </row>
    <row r="353" spans="1:11" s="128" customFormat="1" ht="12.5" x14ac:dyDescent="0.25">
      <c r="A353" s="265" t="s">
        <v>115</v>
      </c>
      <c r="B353" s="265" t="s">
        <v>8</v>
      </c>
      <c r="C353" s="31">
        <f>SUM(C354:C356)</f>
        <v>1412900</v>
      </c>
      <c r="D353" s="72"/>
      <c r="E353" s="72"/>
      <c r="F353" s="130"/>
      <c r="G353" s="129"/>
      <c r="H353" s="129"/>
      <c r="I353" s="129"/>
      <c r="J353" s="129"/>
      <c r="K353" s="129"/>
    </row>
    <row r="354" spans="1:11" s="128" customFormat="1" ht="12.5" x14ac:dyDescent="0.25">
      <c r="A354" s="72" t="s">
        <v>89</v>
      </c>
      <c r="B354" s="72" t="s">
        <v>8</v>
      </c>
      <c r="C354" s="24">
        <v>680000</v>
      </c>
      <c r="D354" s="72"/>
      <c r="E354" s="72"/>
      <c r="F354" s="130"/>
      <c r="G354" s="129"/>
      <c r="H354" s="129"/>
      <c r="I354" s="129"/>
      <c r="J354" s="129"/>
      <c r="K354" s="129"/>
    </row>
    <row r="355" spans="1:11" s="128" customFormat="1" ht="12.5" x14ac:dyDescent="0.25">
      <c r="A355" s="72" t="s">
        <v>181</v>
      </c>
      <c r="B355" s="72" t="s">
        <v>50</v>
      </c>
      <c r="C355" s="24">
        <v>22500</v>
      </c>
      <c r="D355" s="72"/>
      <c r="E355" s="72"/>
      <c r="F355" s="130"/>
      <c r="G355" s="129"/>
      <c r="H355" s="129"/>
      <c r="I355" s="129"/>
      <c r="J355" s="129"/>
      <c r="K355" s="129"/>
    </row>
    <row r="356" spans="1:11" s="128" customFormat="1" ht="12.5" x14ac:dyDescent="0.25">
      <c r="A356" s="72" t="s">
        <v>90</v>
      </c>
      <c r="B356" s="72" t="s">
        <v>7</v>
      </c>
      <c r="C356" s="24">
        <v>710400</v>
      </c>
      <c r="D356" s="23"/>
      <c r="E356" s="379"/>
      <c r="F356" s="130"/>
      <c r="G356" s="129"/>
      <c r="H356" s="129"/>
      <c r="I356" s="129"/>
      <c r="J356" s="129"/>
      <c r="K356" s="129"/>
    </row>
    <row r="357" spans="1:11" s="128" customFormat="1" ht="13.5" thickBot="1" x14ac:dyDescent="0.3">
      <c r="A357" s="72"/>
      <c r="B357" s="72"/>
      <c r="C357" s="23"/>
      <c r="D357" s="21"/>
      <c r="E357" s="21"/>
      <c r="F357" s="130"/>
      <c r="G357" s="129"/>
      <c r="H357" s="129"/>
      <c r="I357" s="129"/>
      <c r="J357" s="129"/>
      <c r="K357" s="129"/>
    </row>
    <row r="358" spans="1:11" s="128" customFormat="1" ht="13.5" thickBot="1" x14ac:dyDescent="0.3">
      <c r="A358" s="1100" t="s">
        <v>4</v>
      </c>
      <c r="B358" s="1101"/>
      <c r="C358" s="670">
        <f>(C359+C362)</f>
        <v>81700</v>
      </c>
      <c r="D358" s="21"/>
      <c r="E358" s="21"/>
      <c r="F358" s="130"/>
      <c r="G358" s="129"/>
      <c r="H358" s="129"/>
      <c r="I358" s="129"/>
      <c r="J358" s="129"/>
      <c r="K358" s="129"/>
    </row>
    <row r="359" spans="1:11" s="128" customFormat="1" ht="12.5" x14ac:dyDescent="0.25">
      <c r="A359" s="265" t="s">
        <v>116</v>
      </c>
      <c r="B359" s="265" t="s">
        <v>117</v>
      </c>
      <c r="C359" s="32">
        <f>SUM(C360:C361)</f>
        <v>46700</v>
      </c>
      <c r="D359" s="96"/>
      <c r="E359" s="96"/>
      <c r="F359" s="130"/>
      <c r="G359" s="129"/>
      <c r="H359" s="129"/>
      <c r="I359" s="129"/>
      <c r="J359" s="129"/>
      <c r="K359" s="129"/>
    </row>
    <row r="360" spans="1:11" s="128" customFormat="1" ht="12.5" x14ac:dyDescent="0.25">
      <c r="A360" s="72" t="s">
        <v>91</v>
      </c>
      <c r="B360" s="72" t="s">
        <v>139</v>
      </c>
      <c r="C360" s="24">
        <v>18500</v>
      </c>
      <c r="D360" s="23"/>
      <c r="E360" s="23"/>
      <c r="F360" s="130"/>
      <c r="G360" s="129"/>
      <c r="H360" s="129"/>
      <c r="I360" s="129"/>
      <c r="J360" s="129"/>
      <c r="K360" s="129"/>
    </row>
    <row r="361" spans="1:11" s="128" customFormat="1" x14ac:dyDescent="0.25">
      <c r="A361" s="72" t="s">
        <v>57</v>
      </c>
      <c r="B361" s="72" t="s">
        <v>58</v>
      </c>
      <c r="C361" s="24">
        <v>28200</v>
      </c>
      <c r="D361" s="21"/>
      <c r="E361" s="21"/>
      <c r="F361" s="130"/>
      <c r="G361" s="129"/>
      <c r="H361" s="129"/>
      <c r="I361" s="129"/>
      <c r="J361" s="129"/>
      <c r="K361" s="129"/>
    </row>
    <row r="362" spans="1:11" s="128" customFormat="1" ht="12.5" x14ac:dyDescent="0.25">
      <c r="A362" s="265" t="s">
        <v>131</v>
      </c>
      <c r="B362" s="265" t="s">
        <v>260</v>
      </c>
      <c r="C362" s="31">
        <f>SUM(C363)</f>
        <v>35000</v>
      </c>
      <c r="D362" s="23"/>
      <c r="E362" s="23"/>
      <c r="F362" s="130"/>
      <c r="G362" s="129"/>
      <c r="H362" s="129"/>
      <c r="I362" s="129"/>
      <c r="J362" s="129"/>
      <c r="K362" s="129"/>
    </row>
    <row r="363" spans="1:11" s="128" customFormat="1" x14ac:dyDescent="0.25">
      <c r="A363" s="72" t="s">
        <v>165</v>
      </c>
      <c r="B363" s="72" t="s">
        <v>260</v>
      </c>
      <c r="C363" s="24">
        <v>35000</v>
      </c>
      <c r="D363" s="5"/>
      <c r="E363" s="21"/>
      <c r="F363" s="130"/>
      <c r="G363" s="129"/>
      <c r="H363" s="129"/>
      <c r="I363" s="129"/>
      <c r="J363" s="129"/>
      <c r="K363" s="129"/>
    </row>
    <row r="364" spans="1:11" s="128" customFormat="1" ht="12.5" x14ac:dyDescent="0.25">
      <c r="A364" s="72"/>
      <c r="B364" s="12"/>
      <c r="C364" s="23"/>
      <c r="D364" s="23"/>
      <c r="E364" s="23"/>
      <c r="F364" s="130"/>
      <c r="G364" s="129"/>
      <c r="H364" s="129"/>
      <c r="I364" s="129"/>
      <c r="J364" s="129"/>
      <c r="K364" s="129"/>
    </row>
    <row r="365" spans="1:11" s="128" customFormat="1" thickBot="1" x14ac:dyDescent="0.3">
      <c r="A365" s="72"/>
      <c r="B365" s="12"/>
      <c r="C365" s="23"/>
      <c r="D365" s="23"/>
      <c r="E365" s="23"/>
      <c r="F365" s="130"/>
      <c r="G365" s="129"/>
      <c r="H365" s="129"/>
      <c r="I365" s="129"/>
      <c r="J365" s="129"/>
      <c r="K365" s="129"/>
    </row>
    <row r="366" spans="1:11" s="128" customFormat="1" x14ac:dyDescent="0.25">
      <c r="A366" s="1117" t="s">
        <v>1020</v>
      </c>
      <c r="B366" s="1118"/>
      <c r="C366" s="1119"/>
      <c r="D366" s="692" t="s">
        <v>6</v>
      </c>
      <c r="E366" s="913" t="s">
        <v>1019</v>
      </c>
      <c r="F366" s="130"/>
      <c r="G366" s="129"/>
      <c r="H366" s="129"/>
      <c r="I366" s="129"/>
      <c r="J366" s="129"/>
      <c r="K366" s="129"/>
    </row>
    <row r="367" spans="1:11" s="128" customFormat="1" ht="13.5" thickBot="1" x14ac:dyDescent="0.3">
      <c r="A367" s="1120"/>
      <c r="B367" s="1121"/>
      <c r="C367" s="1122"/>
      <c r="D367" s="695"/>
      <c r="E367" s="718"/>
      <c r="F367" s="130"/>
      <c r="G367" s="129"/>
      <c r="H367" s="129"/>
      <c r="I367" s="129"/>
      <c r="J367" s="129"/>
      <c r="K367" s="129"/>
    </row>
    <row r="368" spans="1:11" s="959" customFormat="1" ht="42.75" customHeight="1" thickBot="1" x14ac:dyDescent="0.3">
      <c r="A368" s="1106" t="s">
        <v>1021</v>
      </c>
      <c r="B368" s="1107"/>
      <c r="C368" s="1107"/>
      <c r="D368" s="1107"/>
      <c r="E368" s="1108"/>
      <c r="F368" s="957"/>
      <c r="G368" s="958"/>
      <c r="H368" s="958"/>
      <c r="I368" s="958"/>
      <c r="J368" s="958"/>
      <c r="K368" s="958"/>
    </row>
    <row r="369" spans="1:11" s="128" customFormat="1" ht="12.5" x14ac:dyDescent="0.25">
      <c r="A369" s="119" t="s">
        <v>1029</v>
      </c>
      <c r="B369" s="174"/>
      <c r="C369" s="420"/>
      <c r="D369" s="420"/>
      <c r="E369" s="422"/>
      <c r="F369" s="130"/>
      <c r="G369" s="129"/>
      <c r="H369" s="129"/>
      <c r="I369" s="129"/>
      <c r="J369" s="129"/>
      <c r="K369" s="129"/>
    </row>
    <row r="370" spans="1:11" s="128" customFormat="1" ht="12.5" x14ac:dyDescent="0.25">
      <c r="A370" s="41" t="s">
        <v>639</v>
      </c>
      <c r="B370" s="12"/>
      <c r="C370" s="24"/>
      <c r="D370" s="24"/>
      <c r="E370" s="320"/>
      <c r="F370" s="130"/>
      <c r="G370" s="129"/>
      <c r="H370" s="129"/>
      <c r="I370" s="129"/>
      <c r="J370" s="129"/>
      <c r="K370" s="129"/>
    </row>
    <row r="371" spans="1:11" s="128" customFormat="1" ht="12.5" x14ac:dyDescent="0.25">
      <c r="A371" s="41" t="s">
        <v>1040</v>
      </c>
      <c r="B371" s="12"/>
      <c r="C371" s="24"/>
      <c r="D371" s="24"/>
      <c r="E371" s="320"/>
      <c r="F371" s="130"/>
      <c r="G371" s="129"/>
      <c r="H371" s="129"/>
      <c r="I371" s="129"/>
      <c r="J371" s="129"/>
      <c r="K371" s="129"/>
    </row>
    <row r="372" spans="1:11" s="128" customFormat="1" thickBot="1" x14ac:dyDescent="0.3">
      <c r="A372" s="76" t="s">
        <v>13</v>
      </c>
      <c r="B372" s="140"/>
      <c r="C372" s="377"/>
      <c r="D372" s="377"/>
      <c r="E372" s="378"/>
      <c r="F372" s="130"/>
      <c r="G372" s="129"/>
      <c r="H372" s="129"/>
      <c r="I372" s="129"/>
      <c r="J372" s="129"/>
      <c r="K372" s="129"/>
    </row>
    <row r="373" spans="1:11" s="128" customFormat="1" ht="13.5" thickBot="1" x14ac:dyDescent="0.3">
      <c r="A373" s="762" t="s">
        <v>14</v>
      </c>
      <c r="B373" s="763"/>
      <c r="C373" s="764"/>
      <c r="D373" s="766"/>
      <c r="E373" s="772">
        <f>+C375+C385+C397</f>
        <v>2134200</v>
      </c>
      <c r="F373" s="630"/>
      <c r="G373" s="129"/>
      <c r="H373" s="129"/>
      <c r="I373" s="129"/>
      <c r="J373" s="129"/>
      <c r="K373" s="129"/>
    </row>
    <row r="374" spans="1:11" s="128" customFormat="1" ht="13.5" thickBot="1" x14ac:dyDescent="0.3">
      <c r="A374" s="11"/>
      <c r="B374" s="11"/>
      <c r="C374" s="31"/>
      <c r="D374" s="31"/>
      <c r="E374" s="3"/>
      <c r="F374" s="130"/>
      <c r="G374" s="129"/>
      <c r="H374" s="129"/>
      <c r="I374" s="129"/>
      <c r="J374" s="129"/>
      <c r="K374" s="129"/>
    </row>
    <row r="375" spans="1:11" s="128" customFormat="1" ht="13.5" thickBot="1" x14ac:dyDescent="0.3">
      <c r="A375" s="1104" t="s">
        <v>2</v>
      </c>
      <c r="B375" s="1105"/>
      <c r="C375" s="667">
        <f>+C376+C378+C380</f>
        <v>431900</v>
      </c>
      <c r="D375" s="18"/>
      <c r="E375" s="3"/>
      <c r="F375" s="130"/>
      <c r="G375" s="129"/>
      <c r="H375" s="129"/>
      <c r="I375" s="129"/>
      <c r="J375" s="129"/>
      <c r="K375" s="129"/>
    </row>
    <row r="376" spans="1:11" s="43" customFormat="1" ht="13.5" customHeight="1" x14ac:dyDescent="0.3">
      <c r="A376" s="11" t="s">
        <v>103</v>
      </c>
      <c r="B376" s="211" t="s">
        <v>104</v>
      </c>
      <c r="C376" s="31">
        <f>SUM(C377)</f>
        <v>120000</v>
      </c>
      <c r="D376" s="22"/>
      <c r="E376" s="24"/>
      <c r="F376" s="95"/>
      <c r="G376" s="55"/>
      <c r="I376" s="55"/>
    </row>
    <row r="377" spans="1:11" s="43" customFormat="1" ht="13.5" customHeight="1" x14ac:dyDescent="0.25">
      <c r="A377" s="12" t="s">
        <v>46</v>
      </c>
      <c r="B377" s="8" t="s">
        <v>45</v>
      </c>
      <c r="C377" s="24">
        <v>120000</v>
      </c>
      <c r="E377" s="31"/>
      <c r="F377" s="96"/>
      <c r="G377" s="55"/>
    </row>
    <row r="378" spans="1:11" s="43" customFormat="1" ht="13.5" customHeight="1" x14ac:dyDescent="0.25">
      <c r="A378" s="11" t="s">
        <v>105</v>
      </c>
      <c r="B378" s="556" t="s">
        <v>106</v>
      </c>
      <c r="C378" s="31">
        <f>SUM(C379:C379)</f>
        <v>11800</v>
      </c>
      <c r="E378" s="31"/>
      <c r="F378" s="96"/>
      <c r="G378" s="55"/>
    </row>
    <row r="379" spans="1:11" s="43" customFormat="1" ht="13.5" customHeight="1" x14ac:dyDescent="0.25">
      <c r="A379" s="12" t="s">
        <v>86</v>
      </c>
      <c r="B379" s="8" t="s">
        <v>66</v>
      </c>
      <c r="C379" s="24">
        <v>11800</v>
      </c>
      <c r="E379" s="31"/>
      <c r="F379" s="96"/>
      <c r="G379" s="55"/>
    </row>
    <row r="380" spans="1:11" s="43" customFormat="1" ht="13.5" customHeight="1" x14ac:dyDescent="0.25">
      <c r="A380" s="11" t="s">
        <v>107</v>
      </c>
      <c r="B380" s="556" t="s">
        <v>108</v>
      </c>
      <c r="C380" s="31">
        <f>SUM(C381:C383)</f>
        <v>300100</v>
      </c>
      <c r="E380" s="31"/>
      <c r="F380" s="22"/>
      <c r="G380" s="55"/>
    </row>
    <row r="381" spans="1:11" s="8" customFormat="1" ht="13.5" customHeight="1" x14ac:dyDescent="0.25">
      <c r="A381" s="12" t="s">
        <v>47</v>
      </c>
      <c r="B381" s="23" t="s">
        <v>48</v>
      </c>
      <c r="C381" s="24">
        <v>75820</v>
      </c>
      <c r="E381" s="25"/>
      <c r="F381" s="79"/>
      <c r="G381" s="55"/>
      <c r="H381" s="43"/>
    </row>
    <row r="382" spans="1:11" s="66" customFormat="1" x14ac:dyDescent="0.3">
      <c r="A382" s="72" t="s">
        <v>154</v>
      </c>
      <c r="B382" s="23" t="s">
        <v>133</v>
      </c>
      <c r="C382" s="60">
        <v>38280</v>
      </c>
      <c r="F382" s="68"/>
      <c r="G382" s="68"/>
      <c r="H382" s="68"/>
    </row>
    <row r="383" spans="1:11" s="265" customFormat="1" ht="13.5" customHeight="1" x14ac:dyDescent="0.25">
      <c r="A383" s="72" t="s">
        <v>699</v>
      </c>
      <c r="B383" s="43" t="s">
        <v>698</v>
      </c>
      <c r="C383" s="24">
        <v>186000</v>
      </c>
      <c r="D383" s="406"/>
      <c r="E383" s="353"/>
      <c r="F383" s="353"/>
      <c r="G383" s="405"/>
      <c r="H383" s="11"/>
    </row>
    <row r="384" spans="1:11" s="8" customFormat="1" ht="13.5" customHeight="1" thickBot="1" x14ac:dyDescent="0.35">
      <c r="A384" s="72"/>
      <c r="B384" s="23"/>
      <c r="C384" s="23"/>
      <c r="F384" s="78"/>
      <c r="G384" s="25"/>
      <c r="H384" s="94"/>
    </row>
    <row r="385" spans="1:10" s="8" customFormat="1" ht="13.5" customHeight="1" thickBot="1" x14ac:dyDescent="0.35">
      <c r="A385" s="1096" t="s">
        <v>3</v>
      </c>
      <c r="B385" s="1097"/>
      <c r="C385" s="668">
        <f>C386+C388+C390+C392</f>
        <v>1496800</v>
      </c>
      <c r="F385" s="78"/>
      <c r="G385" s="25"/>
      <c r="H385" s="54"/>
    </row>
    <row r="386" spans="1:10" s="8" customFormat="1" ht="13.5" customHeight="1" x14ac:dyDescent="0.3">
      <c r="A386" s="265" t="s">
        <v>110</v>
      </c>
      <c r="B386" s="298" t="s">
        <v>111</v>
      </c>
      <c r="C386" s="31">
        <f>SUM(C387)</f>
        <v>145000</v>
      </c>
      <c r="F386" s="78"/>
      <c r="G386" s="25"/>
      <c r="H386" s="54"/>
    </row>
    <row r="387" spans="1:10" s="8" customFormat="1" ht="13.5" customHeight="1" x14ac:dyDescent="0.3">
      <c r="A387" s="12" t="s">
        <v>52</v>
      </c>
      <c r="B387" s="24" t="s">
        <v>15</v>
      </c>
      <c r="C387" s="24">
        <v>145000</v>
      </c>
      <c r="F387" s="79"/>
      <c r="G387" s="25"/>
      <c r="H387" s="92"/>
    </row>
    <row r="388" spans="1:10" s="8" customFormat="1" ht="13.5" customHeight="1" x14ac:dyDescent="0.3">
      <c r="A388" s="560" t="s">
        <v>120</v>
      </c>
      <c r="B388" s="561" t="s">
        <v>121</v>
      </c>
      <c r="C388" s="31">
        <f>SUM(C389:C389)</f>
        <v>32000</v>
      </c>
      <c r="F388" s="78"/>
      <c r="G388" s="25"/>
      <c r="H388" s="92"/>
    </row>
    <row r="389" spans="1:10" s="8" customFormat="1" ht="13.5" customHeight="1" x14ac:dyDescent="0.3">
      <c r="A389" s="59" t="s">
        <v>136</v>
      </c>
      <c r="B389" s="59" t="s">
        <v>71</v>
      </c>
      <c r="C389" s="24">
        <v>32000</v>
      </c>
      <c r="G389" s="25"/>
      <c r="H389" s="92"/>
    </row>
    <row r="390" spans="1:10" s="8" customFormat="1" ht="13.5" customHeight="1" x14ac:dyDescent="0.3">
      <c r="A390" s="560" t="s">
        <v>112</v>
      </c>
      <c r="B390" s="559" t="s">
        <v>157</v>
      </c>
      <c r="C390" s="31">
        <f>SUM(C391:C391)</f>
        <v>313000</v>
      </c>
      <c r="F390" s="78"/>
      <c r="G390" s="25"/>
      <c r="H390" s="92"/>
    </row>
    <row r="391" spans="1:10" s="8" customFormat="1" ht="13.5" customHeight="1" x14ac:dyDescent="0.3">
      <c r="A391" s="72" t="s">
        <v>49</v>
      </c>
      <c r="B391" s="23" t="s">
        <v>87</v>
      </c>
      <c r="C391" s="24">
        <v>313000</v>
      </c>
      <c r="F391" s="96"/>
      <c r="G391" s="31"/>
      <c r="H391" s="95"/>
    </row>
    <row r="392" spans="1:10" s="8" customFormat="1" ht="13.5" customHeight="1" x14ac:dyDescent="0.3">
      <c r="A392" s="265" t="s">
        <v>115</v>
      </c>
      <c r="B392" s="25" t="s">
        <v>8</v>
      </c>
      <c r="C392" s="31">
        <f>SUM(C393:C395)</f>
        <v>1006800</v>
      </c>
      <c r="F392" s="78"/>
      <c r="G392" s="25"/>
      <c r="H392" s="92"/>
    </row>
    <row r="393" spans="1:10" s="8" customFormat="1" ht="13.5" customHeight="1" x14ac:dyDescent="0.25">
      <c r="A393" s="72" t="s">
        <v>92</v>
      </c>
      <c r="B393" s="23" t="s">
        <v>8</v>
      </c>
      <c r="C393" s="24">
        <v>650000</v>
      </c>
      <c r="F393" s="79"/>
      <c r="G393" s="25"/>
      <c r="J393" s="83"/>
    </row>
    <row r="394" spans="1:10" s="66" customFormat="1" x14ac:dyDescent="0.3">
      <c r="A394" s="70" t="s">
        <v>222</v>
      </c>
      <c r="B394" s="70" t="s">
        <v>221</v>
      </c>
      <c r="C394" s="60">
        <v>250000</v>
      </c>
      <c r="F394" s="57"/>
      <c r="G394" s="57"/>
      <c r="H394" s="56"/>
      <c r="I394" s="56"/>
      <c r="J394" s="56"/>
    </row>
    <row r="395" spans="1:10" s="8" customFormat="1" ht="13.5" customHeight="1" x14ac:dyDescent="0.3">
      <c r="A395" s="72" t="s">
        <v>90</v>
      </c>
      <c r="B395" s="23" t="s">
        <v>7</v>
      </c>
      <c r="C395" s="24">
        <v>106800</v>
      </c>
      <c r="D395" s="84"/>
      <c r="E395" s="459"/>
      <c r="F395" s="95"/>
      <c r="G395" s="55"/>
      <c r="H395" s="43"/>
    </row>
    <row r="396" spans="1:10" s="8" customFormat="1" ht="13.5" customHeight="1" thickBot="1" x14ac:dyDescent="0.35">
      <c r="A396" s="72"/>
      <c r="B396" s="23"/>
      <c r="C396" s="24"/>
      <c r="D396" s="84"/>
      <c r="E396" s="25"/>
      <c r="F396" s="95"/>
      <c r="G396" s="55"/>
      <c r="H396" s="43"/>
    </row>
    <row r="397" spans="1:10" s="8" customFormat="1" ht="13.5" customHeight="1" thickBot="1" x14ac:dyDescent="0.35">
      <c r="A397" s="1100" t="s">
        <v>4</v>
      </c>
      <c r="B397" s="1101"/>
      <c r="C397" s="670">
        <f>+C398+C402</f>
        <v>205500</v>
      </c>
      <c r="D397" s="78"/>
      <c r="E397" s="25"/>
      <c r="F397" s="95"/>
      <c r="G397" s="55"/>
      <c r="H397" s="43"/>
    </row>
    <row r="398" spans="1:10" s="43" customFormat="1" ht="13.5" customHeight="1" x14ac:dyDescent="0.3">
      <c r="A398" s="265" t="s">
        <v>116</v>
      </c>
      <c r="B398" s="211" t="s">
        <v>117</v>
      </c>
      <c r="C398" s="31">
        <f>SUM(C399:C401)</f>
        <v>190500</v>
      </c>
      <c r="D398" s="22"/>
      <c r="E398" s="24"/>
      <c r="F398" s="95"/>
      <c r="G398" s="55"/>
    </row>
    <row r="399" spans="1:10" s="8" customFormat="1" ht="13.5" customHeight="1" x14ac:dyDescent="0.3">
      <c r="A399" s="72" t="s">
        <v>91</v>
      </c>
      <c r="B399" s="23" t="s">
        <v>9</v>
      </c>
      <c r="C399" s="24">
        <v>145000</v>
      </c>
      <c r="D399" s="78"/>
      <c r="E399" s="25"/>
      <c r="F399" s="95"/>
      <c r="G399" s="55"/>
      <c r="H399" s="43"/>
    </row>
    <row r="400" spans="1:10" s="8" customFormat="1" ht="13.5" customHeight="1" x14ac:dyDescent="0.3">
      <c r="A400" s="72" t="s">
        <v>57</v>
      </c>
      <c r="B400" s="23" t="s">
        <v>58</v>
      </c>
      <c r="C400" s="24">
        <v>15500</v>
      </c>
      <c r="D400" s="78"/>
      <c r="E400" s="25"/>
      <c r="F400" s="54"/>
      <c r="G400" s="73"/>
      <c r="H400" s="43"/>
    </row>
    <row r="401" spans="1:11" s="8" customFormat="1" ht="13.5" customHeight="1" x14ac:dyDescent="0.25">
      <c r="A401" s="72" t="s">
        <v>814</v>
      </c>
      <c r="B401" s="23" t="s">
        <v>815</v>
      </c>
      <c r="C401" s="24">
        <v>30000</v>
      </c>
      <c r="D401" s="78"/>
      <c r="E401" s="25"/>
      <c r="F401" s="99"/>
      <c r="G401" s="55"/>
      <c r="H401" s="43"/>
    </row>
    <row r="402" spans="1:11" s="8" customFormat="1" ht="13.5" customHeight="1" x14ac:dyDescent="0.3">
      <c r="A402" s="265" t="s">
        <v>166</v>
      </c>
      <c r="B402" s="25" t="s">
        <v>135</v>
      </c>
      <c r="C402" s="31">
        <f>SUM(C403)</f>
        <v>15000</v>
      </c>
      <c r="D402" s="78"/>
      <c r="E402" s="25"/>
      <c r="F402" s="95"/>
      <c r="G402" s="55"/>
      <c r="H402" s="43"/>
    </row>
    <row r="403" spans="1:11" s="8" customFormat="1" ht="13.5" customHeight="1" x14ac:dyDescent="0.3">
      <c r="A403" s="72" t="s">
        <v>167</v>
      </c>
      <c r="B403" s="23" t="s">
        <v>51</v>
      </c>
      <c r="C403" s="24">
        <v>15000</v>
      </c>
      <c r="D403" s="78"/>
      <c r="E403" s="25"/>
      <c r="F403" s="95"/>
      <c r="G403" s="55"/>
      <c r="H403" s="43"/>
    </row>
    <row r="404" spans="1:11" s="128" customFormat="1" x14ac:dyDescent="0.25">
      <c r="A404" s="72"/>
      <c r="B404" s="72"/>
      <c r="C404" s="24"/>
      <c r="D404" s="5"/>
      <c r="E404" s="21"/>
      <c r="F404" s="130"/>
      <c r="G404" s="129"/>
      <c r="H404" s="129"/>
      <c r="I404" s="129"/>
      <c r="J404" s="129"/>
      <c r="K404" s="129"/>
    </row>
    <row r="405" spans="1:11" s="128" customFormat="1" ht="13.5" thickBot="1" x14ac:dyDescent="0.3">
      <c r="A405" s="72"/>
      <c r="B405" s="72"/>
      <c r="C405" s="24"/>
      <c r="D405" s="5"/>
      <c r="E405" s="21"/>
      <c r="F405" s="130"/>
      <c r="G405" s="129"/>
      <c r="H405" s="129"/>
      <c r="I405" s="129"/>
      <c r="J405" s="129"/>
      <c r="K405" s="129"/>
    </row>
    <row r="406" spans="1:11" s="160" customFormat="1" ht="13.5" customHeight="1" x14ac:dyDescent="0.25">
      <c r="A406" s="648" t="s">
        <v>641</v>
      </c>
      <c r="B406" s="649"/>
      <c r="C406" s="650"/>
      <c r="D406" s="719" t="s">
        <v>6</v>
      </c>
      <c r="E406" s="927">
        <v>1006</v>
      </c>
      <c r="F406" s="157"/>
      <c r="G406" s="121"/>
      <c r="H406" s="121"/>
      <c r="I406" s="121"/>
      <c r="J406" s="121"/>
      <c r="K406" s="121"/>
    </row>
    <row r="407" spans="1:11" s="160" customFormat="1" ht="13.5" thickBot="1" x14ac:dyDescent="0.3">
      <c r="A407" s="652"/>
      <c r="B407" s="653"/>
      <c r="C407" s="654"/>
      <c r="D407" s="720"/>
      <c r="E407" s="721"/>
      <c r="F407" s="157"/>
      <c r="G407" s="121"/>
      <c r="H407" s="121"/>
      <c r="I407" s="121"/>
      <c r="J407" s="121"/>
      <c r="K407" s="121"/>
    </row>
    <row r="408" spans="1:11" s="158" customFormat="1" ht="13.5" customHeight="1" x14ac:dyDescent="0.25">
      <c r="A408" s="1123" t="s">
        <v>1022</v>
      </c>
      <c r="B408" s="1124"/>
      <c r="C408" s="1124"/>
      <c r="D408" s="1124"/>
      <c r="E408" s="1125"/>
      <c r="F408" s="157"/>
      <c r="G408" s="156"/>
      <c r="H408" s="156"/>
      <c r="I408" s="156"/>
      <c r="J408" s="156"/>
      <c r="K408" s="156"/>
    </row>
    <row r="409" spans="1:11" s="158" customFormat="1" ht="13.5" customHeight="1" x14ac:dyDescent="0.25">
      <c r="A409" s="1126"/>
      <c r="B409" s="1127"/>
      <c r="C409" s="1127"/>
      <c r="D409" s="1127"/>
      <c r="E409" s="1128"/>
      <c r="F409" s="157"/>
      <c r="G409" s="156"/>
      <c r="H409" s="156"/>
      <c r="I409" s="156"/>
      <c r="J409" s="156"/>
      <c r="K409" s="156"/>
    </row>
    <row r="410" spans="1:11" s="158" customFormat="1" ht="13.5" customHeight="1" x14ac:dyDescent="0.25">
      <c r="A410" s="1126"/>
      <c r="B410" s="1127"/>
      <c r="C410" s="1127"/>
      <c r="D410" s="1127"/>
      <c r="E410" s="1128"/>
      <c r="F410" s="157"/>
      <c r="G410" s="156"/>
      <c r="H410" s="156"/>
      <c r="I410" s="156"/>
      <c r="J410" s="156"/>
      <c r="K410" s="156"/>
    </row>
    <row r="411" spans="1:11" s="158" customFormat="1" ht="13.5" customHeight="1" x14ac:dyDescent="0.25">
      <c r="A411" s="1126"/>
      <c r="B411" s="1127"/>
      <c r="C411" s="1127"/>
      <c r="D411" s="1127"/>
      <c r="E411" s="1128"/>
      <c r="F411" s="157"/>
      <c r="G411" s="156"/>
      <c r="H411" s="156"/>
      <c r="I411" s="156"/>
      <c r="J411" s="156"/>
      <c r="K411" s="156"/>
    </row>
    <row r="412" spans="1:11" s="158" customFormat="1" ht="13.5" customHeight="1" thickBot="1" x14ac:dyDescent="0.3">
      <c r="A412" s="1129"/>
      <c r="B412" s="1130"/>
      <c r="C412" s="1130"/>
      <c r="D412" s="1130"/>
      <c r="E412" s="1131"/>
      <c r="F412" s="157"/>
      <c r="G412" s="156"/>
      <c r="H412" s="156"/>
      <c r="I412" s="156"/>
      <c r="J412" s="156"/>
      <c r="K412" s="156"/>
    </row>
    <row r="413" spans="1:11" s="158" customFormat="1" ht="13.5" customHeight="1" x14ac:dyDescent="0.25">
      <c r="A413" s="41" t="s">
        <v>1029</v>
      </c>
      <c r="B413" s="12"/>
      <c r="C413" s="143"/>
      <c r="D413" s="71"/>
      <c r="E413" s="141"/>
      <c r="F413" s="157"/>
      <c r="G413" s="156"/>
      <c r="H413" s="156"/>
      <c r="I413" s="156"/>
      <c r="J413" s="156"/>
      <c r="K413" s="156"/>
    </row>
    <row r="414" spans="1:11" s="158" customFormat="1" ht="13.5" customHeight="1" x14ac:dyDescent="0.25">
      <c r="A414" s="58" t="s">
        <v>667</v>
      </c>
      <c r="B414" s="12"/>
      <c r="C414" s="143"/>
      <c r="D414" s="71"/>
      <c r="E414" s="141"/>
      <c r="F414" s="157"/>
      <c r="G414" s="156"/>
      <c r="H414" s="156"/>
      <c r="I414" s="156"/>
      <c r="J414" s="156"/>
      <c r="K414" s="156"/>
    </row>
    <row r="415" spans="1:11" s="158" customFormat="1" ht="13.5" customHeight="1" x14ac:dyDescent="0.25">
      <c r="A415" s="58" t="s">
        <v>1040</v>
      </c>
      <c r="B415" s="12"/>
      <c r="C415" s="143"/>
      <c r="D415" s="71"/>
      <c r="E415" s="141"/>
      <c r="F415" s="157"/>
      <c r="G415" s="156"/>
      <c r="H415" s="156"/>
      <c r="I415" s="156"/>
      <c r="J415" s="156"/>
      <c r="K415" s="156"/>
    </row>
    <row r="416" spans="1:11" s="158" customFormat="1" ht="12" thickBot="1" x14ac:dyDescent="0.3">
      <c r="A416" s="41" t="s">
        <v>11</v>
      </c>
      <c r="B416" s="12"/>
      <c r="C416" s="143"/>
      <c r="D416" s="71"/>
      <c r="E416" s="141"/>
      <c r="F416" s="157"/>
      <c r="G416" s="156"/>
      <c r="H416" s="156"/>
      <c r="I416" s="156"/>
      <c r="J416" s="156"/>
      <c r="K416" s="156"/>
    </row>
    <row r="417" spans="1:11" s="158" customFormat="1" ht="12" thickBot="1" x14ac:dyDescent="0.3">
      <c r="A417" s="762" t="s">
        <v>220</v>
      </c>
      <c r="B417" s="763"/>
      <c r="C417" s="764"/>
      <c r="D417" s="766"/>
      <c r="E417" s="772">
        <f>+C419+C436+C447</f>
        <v>614040</v>
      </c>
      <c r="F417" s="157"/>
      <c r="G417" s="156"/>
      <c r="H417" s="156"/>
      <c r="I417" s="156"/>
      <c r="J417" s="156"/>
      <c r="K417" s="156"/>
    </row>
    <row r="418" spans="1:11" customFormat="1" thickBot="1" x14ac:dyDescent="0.3">
      <c r="A418" s="12"/>
      <c r="B418" s="12"/>
      <c r="C418" s="24"/>
      <c r="D418" s="24"/>
      <c r="E418" s="568"/>
      <c r="F418" s="157"/>
      <c r="G418" s="156"/>
      <c r="H418" s="156"/>
      <c r="I418" s="156"/>
      <c r="J418" s="156"/>
      <c r="K418" s="156"/>
    </row>
    <row r="419" spans="1:11" s="151" customFormat="1" thickBot="1" x14ac:dyDescent="0.3">
      <c r="A419" s="1104" t="s">
        <v>2</v>
      </c>
      <c r="B419" s="1105"/>
      <c r="C419" s="667">
        <f>C420+C422+C424+C427+C432</f>
        <v>281210</v>
      </c>
      <c r="D419" s="31"/>
      <c r="E419" s="132"/>
      <c r="F419" s="9"/>
      <c r="G419" s="152"/>
      <c r="H419" s="152"/>
      <c r="I419" s="152"/>
      <c r="J419" s="152"/>
      <c r="K419" s="152"/>
    </row>
    <row r="420" spans="1:11" s="153" customFormat="1" ht="13.5" customHeight="1" x14ac:dyDescent="0.25">
      <c r="A420" s="265" t="s">
        <v>199</v>
      </c>
      <c r="B420" s="298" t="s">
        <v>219</v>
      </c>
      <c r="C420" s="32">
        <f>SUM(C421)</f>
        <v>20000</v>
      </c>
      <c r="D420" s="96"/>
      <c r="E420" s="131"/>
      <c r="F420" s="155"/>
      <c r="G420" s="154"/>
      <c r="H420" s="154"/>
      <c r="I420" s="154"/>
      <c r="J420" s="154"/>
      <c r="K420" s="154"/>
    </row>
    <row r="421" spans="1:11" s="151" customFormat="1" ht="13.5" customHeight="1" x14ac:dyDescent="0.25">
      <c r="A421" s="72" t="s">
        <v>218</v>
      </c>
      <c r="B421" s="43" t="s">
        <v>217</v>
      </c>
      <c r="C421" s="24">
        <v>20000</v>
      </c>
      <c r="D421" s="24"/>
      <c r="E421" s="24"/>
      <c r="F421" s="9"/>
      <c r="G421" s="152"/>
      <c r="H421" s="152"/>
      <c r="I421" s="152"/>
      <c r="J421" s="152"/>
      <c r="K421" s="152"/>
    </row>
    <row r="422" spans="1:11" s="151" customFormat="1" ht="13.5" customHeight="1" x14ac:dyDescent="0.25">
      <c r="A422" s="11" t="s">
        <v>107</v>
      </c>
      <c r="B422" s="556" t="s">
        <v>108</v>
      </c>
      <c r="C422" s="31">
        <f>SUM(C423)</f>
        <v>18500</v>
      </c>
      <c r="D422" s="24"/>
      <c r="E422" s="24"/>
      <c r="F422" s="9"/>
      <c r="G422" s="152"/>
      <c r="H422" s="152"/>
      <c r="I422" s="152"/>
      <c r="J422" s="152"/>
      <c r="K422" s="152"/>
    </row>
    <row r="423" spans="1:11" s="151" customFormat="1" ht="13.5" customHeight="1" x14ac:dyDescent="0.25">
      <c r="A423" s="72" t="s">
        <v>47</v>
      </c>
      <c r="B423" s="23" t="s">
        <v>216</v>
      </c>
      <c r="C423" s="24">
        <v>18500</v>
      </c>
      <c r="D423" s="24"/>
      <c r="E423" s="24"/>
      <c r="F423" s="9"/>
      <c r="G423" s="152"/>
      <c r="H423" s="152"/>
      <c r="I423" s="152"/>
      <c r="J423" s="152"/>
      <c r="K423" s="152"/>
    </row>
    <row r="424" spans="1:11" s="151" customFormat="1" ht="13.5" customHeight="1" x14ac:dyDescent="0.25">
      <c r="A424" s="11" t="s">
        <v>195</v>
      </c>
      <c r="B424" s="25" t="s">
        <v>194</v>
      </c>
      <c r="C424" s="31">
        <f>SUM(C425:C426)</f>
        <v>163900</v>
      </c>
      <c r="D424" s="24"/>
      <c r="E424" s="24"/>
      <c r="F424" s="9"/>
      <c r="G424" s="152"/>
      <c r="H424" s="152"/>
      <c r="I424" s="152"/>
      <c r="J424" s="152"/>
      <c r="K424" s="152"/>
    </row>
    <row r="425" spans="1:11" s="151" customFormat="1" ht="13.5" customHeight="1" x14ac:dyDescent="0.25">
      <c r="A425" s="72" t="s">
        <v>193</v>
      </c>
      <c r="B425" s="72" t="s">
        <v>215</v>
      </c>
      <c r="C425" s="24">
        <v>145800</v>
      </c>
      <c r="D425" s="24"/>
      <c r="E425" s="24"/>
      <c r="F425" s="9"/>
      <c r="G425" s="152"/>
      <c r="H425" s="152"/>
      <c r="I425" s="152"/>
      <c r="J425" s="152"/>
      <c r="K425" s="152"/>
    </row>
    <row r="426" spans="1:11" s="151" customFormat="1" ht="13.5" customHeight="1" x14ac:dyDescent="0.25">
      <c r="A426" s="72" t="s">
        <v>214</v>
      </c>
      <c r="B426" s="43" t="s">
        <v>213</v>
      </c>
      <c r="C426" s="24">
        <v>18100</v>
      </c>
      <c r="D426" s="24"/>
      <c r="E426" s="24"/>
      <c r="F426" s="9"/>
      <c r="G426" s="152"/>
      <c r="H426" s="152"/>
      <c r="I426" s="152"/>
      <c r="J426" s="152"/>
      <c r="K426" s="152"/>
    </row>
    <row r="427" spans="1:11" s="151" customFormat="1" ht="13.5" customHeight="1" x14ac:dyDescent="0.25">
      <c r="A427" s="265" t="s">
        <v>119</v>
      </c>
      <c r="B427" s="25" t="s">
        <v>109</v>
      </c>
      <c r="C427" s="31">
        <f>SUM(C428:C431)</f>
        <v>45140</v>
      </c>
      <c r="D427" s="24"/>
      <c r="E427" s="24"/>
      <c r="F427" s="9"/>
      <c r="G427" s="152"/>
      <c r="H427" s="152"/>
      <c r="I427" s="152"/>
      <c r="J427" s="152"/>
      <c r="K427" s="152"/>
    </row>
    <row r="428" spans="1:11" s="151" customFormat="1" ht="13.5" customHeight="1" x14ac:dyDescent="0.25">
      <c r="A428" s="72" t="s">
        <v>190</v>
      </c>
      <c r="B428" s="43" t="s">
        <v>189</v>
      </c>
      <c r="C428" s="24">
        <v>13450</v>
      </c>
      <c r="D428" s="24"/>
      <c r="E428" s="24"/>
      <c r="F428" s="9"/>
      <c r="G428" s="152"/>
      <c r="H428" s="152"/>
      <c r="I428" s="152"/>
      <c r="J428" s="152"/>
      <c r="K428" s="152"/>
    </row>
    <row r="429" spans="1:11" s="151" customFormat="1" ht="13.5" customHeight="1" x14ac:dyDescent="0.25">
      <c r="A429" s="72" t="s">
        <v>188</v>
      </c>
      <c r="B429" s="43" t="s">
        <v>187</v>
      </c>
      <c r="C429" s="24">
        <v>14940</v>
      </c>
      <c r="D429" s="24"/>
      <c r="E429" s="24"/>
      <c r="F429" s="9"/>
      <c r="G429" s="152"/>
      <c r="H429" s="152"/>
      <c r="I429" s="152"/>
      <c r="J429" s="152"/>
      <c r="K429" s="152"/>
    </row>
    <row r="430" spans="1:11" s="151" customFormat="1" ht="13.5" customHeight="1" x14ac:dyDescent="0.25">
      <c r="A430" s="72" t="s">
        <v>212</v>
      </c>
      <c r="B430" s="43" t="s">
        <v>211</v>
      </c>
      <c r="C430" s="24">
        <v>9850</v>
      </c>
      <c r="D430" s="24"/>
      <c r="E430" s="24"/>
      <c r="F430" s="9"/>
      <c r="G430" s="152"/>
      <c r="H430" s="152"/>
      <c r="I430" s="152"/>
      <c r="J430" s="152"/>
      <c r="K430" s="152"/>
    </row>
    <row r="431" spans="1:11" s="151" customFormat="1" ht="13.5" customHeight="1" x14ac:dyDescent="0.25">
      <c r="A431" s="72" t="s">
        <v>186</v>
      </c>
      <c r="B431" s="43" t="s">
        <v>185</v>
      </c>
      <c r="C431" s="24">
        <v>6900</v>
      </c>
      <c r="D431" s="24"/>
      <c r="E431" s="24"/>
      <c r="F431" s="9"/>
      <c r="G431" s="152"/>
      <c r="H431" s="152"/>
      <c r="I431" s="152"/>
      <c r="J431" s="152"/>
      <c r="K431" s="152"/>
    </row>
    <row r="432" spans="1:11" s="151" customFormat="1" ht="13.5" customHeight="1" x14ac:dyDescent="0.25">
      <c r="A432" s="265" t="s">
        <v>151</v>
      </c>
      <c r="B432" s="25" t="s">
        <v>133</v>
      </c>
      <c r="C432" s="31">
        <f>SUM(C433:C434)</f>
        <v>33670</v>
      </c>
      <c r="D432" s="24"/>
      <c r="E432" s="24"/>
      <c r="F432" s="9"/>
      <c r="G432" s="152"/>
      <c r="H432" s="152"/>
      <c r="I432" s="152"/>
      <c r="J432" s="152"/>
      <c r="K432" s="152"/>
    </row>
    <row r="433" spans="1:11" s="151" customFormat="1" ht="13.5" customHeight="1" x14ac:dyDescent="0.25">
      <c r="A433" s="72" t="s">
        <v>210</v>
      </c>
      <c r="B433" s="23" t="s">
        <v>209</v>
      </c>
      <c r="C433" s="24">
        <v>10800</v>
      </c>
      <c r="D433" s="24"/>
      <c r="E433" s="24"/>
      <c r="F433" s="9"/>
      <c r="G433" s="152"/>
      <c r="H433" s="152"/>
      <c r="I433" s="152"/>
      <c r="J433" s="152"/>
      <c r="K433" s="152"/>
    </row>
    <row r="434" spans="1:11" s="151" customFormat="1" ht="13.5" customHeight="1" x14ac:dyDescent="0.25">
      <c r="A434" s="72" t="s">
        <v>154</v>
      </c>
      <c r="B434" s="43" t="s">
        <v>125</v>
      </c>
      <c r="C434" s="24">
        <v>22870</v>
      </c>
      <c r="D434" s="24"/>
      <c r="E434" s="24"/>
      <c r="F434" s="9"/>
      <c r="G434" s="152"/>
      <c r="H434" s="152"/>
      <c r="I434" s="152"/>
      <c r="J434" s="152"/>
      <c r="K434" s="152"/>
    </row>
    <row r="435" spans="1:11" s="151" customFormat="1" thickBot="1" x14ac:dyDescent="0.3">
      <c r="A435" s="72"/>
      <c r="B435" s="43"/>
      <c r="C435" s="24"/>
      <c r="D435" s="24"/>
      <c r="E435" s="24"/>
      <c r="F435" s="9"/>
      <c r="G435" s="152"/>
      <c r="H435" s="152"/>
      <c r="I435" s="152"/>
      <c r="J435" s="152"/>
      <c r="K435" s="152"/>
    </row>
    <row r="436" spans="1:11" s="151" customFormat="1" thickBot="1" x14ac:dyDescent="0.3">
      <c r="A436" s="1096" t="s">
        <v>3</v>
      </c>
      <c r="B436" s="1097"/>
      <c r="C436" s="668">
        <f>C437+C441</f>
        <v>239370</v>
      </c>
      <c r="D436" s="31"/>
      <c r="E436" s="24"/>
      <c r="F436" s="9"/>
      <c r="G436" s="152"/>
      <c r="H436" s="152"/>
      <c r="I436" s="152"/>
      <c r="J436" s="152"/>
      <c r="K436" s="152"/>
    </row>
    <row r="437" spans="1:11" s="153" customFormat="1" ht="13.5" customHeight="1" x14ac:dyDescent="0.25">
      <c r="A437" s="63" t="s">
        <v>120</v>
      </c>
      <c r="B437" s="63" t="s">
        <v>121</v>
      </c>
      <c r="C437" s="32">
        <f>SUM(C438:C440)</f>
        <v>66490</v>
      </c>
      <c r="D437" s="96"/>
      <c r="E437" s="96"/>
      <c r="F437" s="155"/>
      <c r="G437" s="154"/>
      <c r="H437" s="154"/>
      <c r="I437" s="154"/>
      <c r="J437" s="154"/>
      <c r="K437" s="154"/>
    </row>
    <row r="438" spans="1:11" s="151" customFormat="1" ht="13.5" customHeight="1" x14ac:dyDescent="0.25">
      <c r="A438" s="72" t="s">
        <v>183</v>
      </c>
      <c r="B438" s="43" t="s">
        <v>182</v>
      </c>
      <c r="C438" s="24">
        <v>22140</v>
      </c>
      <c r="D438" s="24"/>
      <c r="E438" s="24"/>
      <c r="F438" s="9"/>
      <c r="G438" s="152"/>
      <c r="H438" s="152"/>
      <c r="I438" s="152"/>
      <c r="J438" s="152"/>
      <c r="K438" s="152"/>
    </row>
    <row r="439" spans="1:11" s="151" customFormat="1" ht="13.5" customHeight="1" x14ac:dyDescent="0.25">
      <c r="A439" s="72" t="s">
        <v>208</v>
      </c>
      <c r="B439" s="43" t="s">
        <v>207</v>
      </c>
      <c r="C439" s="24">
        <v>27800</v>
      </c>
      <c r="D439" s="24"/>
      <c r="E439" s="24"/>
      <c r="F439" s="9"/>
      <c r="G439" s="152"/>
      <c r="H439" s="152"/>
      <c r="I439" s="152"/>
      <c r="J439" s="152"/>
      <c r="K439" s="152"/>
    </row>
    <row r="440" spans="1:11" s="151" customFormat="1" ht="13.5" customHeight="1" x14ac:dyDescent="0.25">
      <c r="A440" s="72" t="s">
        <v>136</v>
      </c>
      <c r="B440" s="43" t="s">
        <v>206</v>
      </c>
      <c r="C440" s="24">
        <v>16550</v>
      </c>
      <c r="D440" s="24"/>
      <c r="E440" s="24"/>
      <c r="F440" s="9"/>
      <c r="G440" s="152"/>
      <c r="H440" s="152"/>
      <c r="I440" s="152"/>
      <c r="J440" s="152"/>
      <c r="K440" s="152"/>
    </row>
    <row r="441" spans="1:11" s="151" customFormat="1" ht="13.5" customHeight="1" x14ac:dyDescent="0.25">
      <c r="A441" s="11" t="s">
        <v>115</v>
      </c>
      <c r="B441" s="31" t="s">
        <v>7</v>
      </c>
      <c r="C441" s="31">
        <f>SUM(C442:C445)</f>
        <v>172880</v>
      </c>
      <c r="D441" s="24"/>
      <c r="E441" s="24"/>
      <c r="F441" s="9"/>
      <c r="G441" s="152"/>
      <c r="H441" s="152"/>
      <c r="I441" s="152"/>
      <c r="J441" s="152"/>
      <c r="K441" s="152"/>
    </row>
    <row r="442" spans="1:11" s="151" customFormat="1" ht="13.5" customHeight="1" x14ac:dyDescent="0.25">
      <c r="A442" s="72" t="s">
        <v>89</v>
      </c>
      <c r="B442" s="43" t="s">
        <v>8</v>
      </c>
      <c r="C442" s="24">
        <v>78000</v>
      </c>
      <c r="E442" s="24"/>
      <c r="F442" s="24"/>
      <c r="G442" s="152"/>
      <c r="H442" s="152"/>
      <c r="I442" s="152"/>
      <c r="J442" s="152"/>
      <c r="K442" s="152"/>
    </row>
    <row r="443" spans="1:11" s="151" customFormat="1" ht="13.5" customHeight="1" x14ac:dyDescent="0.25">
      <c r="A443" s="72" t="s">
        <v>181</v>
      </c>
      <c r="B443" s="43" t="s">
        <v>180</v>
      </c>
      <c r="C443" s="24">
        <v>26500</v>
      </c>
      <c r="D443" s="24"/>
      <c r="E443" s="24"/>
      <c r="F443" s="9"/>
      <c r="G443" s="152"/>
      <c r="H443" s="152"/>
      <c r="I443" s="152"/>
      <c r="J443" s="152"/>
      <c r="K443" s="152"/>
    </row>
    <row r="444" spans="1:11" s="151" customFormat="1" ht="13.5" customHeight="1" x14ac:dyDescent="0.25">
      <c r="A444" s="72" t="s">
        <v>205</v>
      </c>
      <c r="B444" s="43" t="s">
        <v>204</v>
      </c>
      <c r="C444" s="24">
        <v>39800</v>
      </c>
      <c r="D444" s="24"/>
      <c r="E444" s="24"/>
      <c r="F444" s="9"/>
      <c r="G444" s="152"/>
      <c r="H444" s="152"/>
      <c r="I444" s="152"/>
      <c r="J444" s="152"/>
      <c r="K444" s="152"/>
    </row>
    <row r="445" spans="1:11" s="151" customFormat="1" ht="13.5" customHeight="1" x14ac:dyDescent="0.25">
      <c r="A445" s="72" t="s">
        <v>90</v>
      </c>
      <c r="B445" s="12" t="s">
        <v>7</v>
      </c>
      <c r="C445" s="24">
        <v>28580</v>
      </c>
      <c r="D445" s="24"/>
      <c r="E445" s="24"/>
      <c r="F445" s="9"/>
      <c r="G445" s="152"/>
      <c r="H445" s="152"/>
      <c r="I445" s="152"/>
      <c r="J445" s="152"/>
      <c r="K445" s="152"/>
    </row>
    <row r="446" spans="1:11" s="151" customFormat="1" thickBot="1" x14ac:dyDescent="0.3">
      <c r="A446" s="12"/>
      <c r="B446" s="43"/>
      <c r="C446" s="24"/>
      <c r="D446" s="24"/>
      <c r="E446" s="24"/>
      <c r="F446" s="9"/>
      <c r="G446" s="152"/>
      <c r="H446" s="152"/>
      <c r="I446" s="152"/>
      <c r="J446" s="152"/>
      <c r="K446" s="152"/>
    </row>
    <row r="447" spans="1:11" s="151" customFormat="1" thickBot="1" x14ac:dyDescent="0.3">
      <c r="A447" s="1100" t="s">
        <v>4</v>
      </c>
      <c r="B447" s="1101"/>
      <c r="C447" s="670">
        <f>C448+C452+C454</f>
        <v>93460</v>
      </c>
      <c r="D447" s="31"/>
      <c r="E447" s="23"/>
      <c r="F447" s="9"/>
      <c r="G447" s="152"/>
      <c r="H447" s="152"/>
      <c r="I447" s="152"/>
      <c r="J447" s="152"/>
      <c r="K447" s="152"/>
    </row>
    <row r="448" spans="1:11" s="153" customFormat="1" ht="13.5" customHeight="1" x14ac:dyDescent="0.25">
      <c r="A448" s="265" t="s">
        <v>179</v>
      </c>
      <c r="B448" s="298" t="s">
        <v>178</v>
      </c>
      <c r="C448" s="32">
        <f>SUM(C449:C451)</f>
        <v>77860</v>
      </c>
      <c r="D448" s="96"/>
      <c r="E448" s="96"/>
      <c r="F448" s="155"/>
      <c r="G448" s="154"/>
      <c r="H448" s="154"/>
      <c r="I448" s="154"/>
      <c r="J448" s="154"/>
      <c r="K448" s="154"/>
    </row>
    <row r="449" spans="1:11" s="151" customFormat="1" ht="13.5" customHeight="1" x14ac:dyDescent="0.25">
      <c r="A449" s="72" t="s">
        <v>177</v>
      </c>
      <c r="B449" s="43" t="s">
        <v>176</v>
      </c>
      <c r="C449" s="24">
        <v>27060</v>
      </c>
      <c r="D449" s="24"/>
      <c r="E449" s="23"/>
      <c r="F449" s="9"/>
      <c r="G449" s="152"/>
      <c r="H449" s="152"/>
      <c r="I449" s="152"/>
      <c r="J449" s="152"/>
      <c r="K449" s="152"/>
    </row>
    <row r="450" spans="1:11" s="127" customFormat="1" ht="13.5" customHeight="1" x14ac:dyDescent="0.25">
      <c r="A450" s="72" t="s">
        <v>175</v>
      </c>
      <c r="B450" s="43" t="s">
        <v>174</v>
      </c>
      <c r="C450" s="24">
        <v>24600</v>
      </c>
      <c r="D450" s="24"/>
      <c r="E450" s="24"/>
      <c r="F450" s="71"/>
    </row>
    <row r="451" spans="1:11" s="151" customFormat="1" ht="13.5" customHeight="1" x14ac:dyDescent="0.25">
      <c r="A451" s="72" t="s">
        <v>173</v>
      </c>
      <c r="B451" s="43" t="s">
        <v>172</v>
      </c>
      <c r="C451" s="24">
        <v>26200</v>
      </c>
      <c r="D451" s="24"/>
      <c r="E451" s="23"/>
      <c r="F451" s="9"/>
      <c r="G451" s="152"/>
      <c r="H451" s="152"/>
      <c r="I451" s="152"/>
      <c r="J451" s="152"/>
      <c r="K451" s="152"/>
    </row>
    <row r="452" spans="1:11" s="151" customFormat="1" ht="13.5" customHeight="1" x14ac:dyDescent="0.25">
      <c r="A452" s="265" t="s">
        <v>116</v>
      </c>
      <c r="B452" s="298" t="s">
        <v>117</v>
      </c>
      <c r="C452" s="31">
        <f>SUM(C453:C453)</f>
        <v>11400</v>
      </c>
      <c r="D452" s="24"/>
      <c r="E452" s="23"/>
      <c r="F452" s="9"/>
      <c r="G452" s="152"/>
      <c r="H452" s="152"/>
      <c r="I452" s="152"/>
      <c r="J452" s="152"/>
      <c r="K452" s="152"/>
    </row>
    <row r="453" spans="1:11" s="151" customFormat="1" ht="13.5" customHeight="1" x14ac:dyDescent="0.25">
      <c r="A453" s="72" t="s">
        <v>91</v>
      </c>
      <c r="B453" s="23" t="s">
        <v>9</v>
      </c>
      <c r="C453" s="24">
        <f>9500*1.2</f>
        <v>11400</v>
      </c>
      <c r="D453" s="24"/>
      <c r="E453" s="24"/>
      <c r="F453" s="73"/>
      <c r="G453" s="177"/>
      <c r="H453" s="152"/>
      <c r="I453" s="152"/>
      <c r="J453" s="152"/>
      <c r="K453" s="152"/>
    </row>
    <row r="454" spans="1:11" s="151" customFormat="1" ht="13.5" customHeight="1" x14ac:dyDescent="0.25">
      <c r="A454" s="265" t="s">
        <v>166</v>
      </c>
      <c r="B454" s="25" t="s">
        <v>135</v>
      </c>
      <c r="C454" s="31">
        <f>+C455</f>
        <v>4200</v>
      </c>
      <c r="D454" s="24"/>
      <c r="E454" s="23"/>
      <c r="F454" s="9"/>
      <c r="G454" s="152"/>
      <c r="H454" s="152"/>
      <c r="I454" s="152"/>
      <c r="J454" s="152"/>
      <c r="K454" s="152"/>
    </row>
    <row r="455" spans="1:11" s="151" customFormat="1" ht="13.5" customHeight="1" x14ac:dyDescent="0.25">
      <c r="A455" s="72" t="s">
        <v>167</v>
      </c>
      <c r="B455" s="43" t="s">
        <v>51</v>
      </c>
      <c r="C455" s="24">
        <v>4200</v>
      </c>
      <c r="D455" s="24"/>
      <c r="E455" s="23"/>
      <c r="F455" s="9"/>
      <c r="G455" s="152"/>
      <c r="H455" s="152"/>
      <c r="I455" s="152"/>
      <c r="J455" s="152"/>
      <c r="K455" s="152"/>
    </row>
    <row r="456" spans="1:11" s="151" customFormat="1" ht="13.5" customHeight="1" x14ac:dyDescent="0.25">
      <c r="A456" s="72"/>
      <c r="B456" s="43"/>
      <c r="C456" s="24"/>
      <c r="D456" s="24"/>
      <c r="E456" s="23"/>
      <c r="F456" s="9"/>
      <c r="G456" s="152"/>
      <c r="H456" s="152"/>
      <c r="I456" s="152"/>
      <c r="J456" s="152"/>
      <c r="K456" s="152"/>
    </row>
    <row r="457" spans="1:11" s="128" customFormat="1" thickBot="1" x14ac:dyDescent="0.3">
      <c r="A457" s="72"/>
      <c r="B457" s="12"/>
      <c r="C457" s="23"/>
      <c r="D457" s="23"/>
      <c r="E457" s="23"/>
      <c r="F457" s="130"/>
      <c r="G457" s="129"/>
      <c r="H457" s="129"/>
      <c r="I457" s="129"/>
      <c r="J457" s="129"/>
      <c r="K457" s="129"/>
    </row>
    <row r="458" spans="1:11" ht="13.5" customHeight="1" x14ac:dyDescent="0.3">
      <c r="A458" s="648" t="s">
        <v>672</v>
      </c>
      <c r="B458" s="690" t="s">
        <v>837</v>
      </c>
      <c r="C458" s="691"/>
      <c r="D458" s="692" t="s">
        <v>6</v>
      </c>
      <c r="E458" s="911">
        <v>1007</v>
      </c>
      <c r="F458" s="88"/>
    </row>
    <row r="459" spans="1:11" ht="13.5" customHeight="1" thickBot="1" x14ac:dyDescent="0.35">
      <c r="A459" s="652"/>
      <c r="B459" s="693"/>
      <c r="C459" s="694"/>
      <c r="D459" s="695"/>
      <c r="E459" s="696"/>
      <c r="F459" s="88"/>
    </row>
    <row r="460" spans="1:11" ht="13.5" customHeight="1" x14ac:dyDescent="0.3">
      <c r="A460" s="1123" t="s">
        <v>1023</v>
      </c>
      <c r="B460" s="1124"/>
      <c r="C460" s="1124"/>
      <c r="D460" s="1124"/>
      <c r="E460" s="1125"/>
      <c r="F460" s="88"/>
    </row>
    <row r="461" spans="1:11" ht="13.5" customHeight="1" x14ac:dyDescent="0.3">
      <c r="A461" s="1126"/>
      <c r="B461" s="1127"/>
      <c r="C461" s="1127"/>
      <c r="D461" s="1127"/>
      <c r="E461" s="1128"/>
      <c r="F461" s="88"/>
    </row>
    <row r="462" spans="1:11" ht="13.5" customHeight="1" x14ac:dyDescent="0.3">
      <c r="A462" s="1126"/>
      <c r="B462" s="1127"/>
      <c r="C462" s="1127"/>
      <c r="D462" s="1127"/>
      <c r="E462" s="1128"/>
      <c r="F462" s="88"/>
    </row>
    <row r="463" spans="1:11" ht="13.5" customHeight="1" thickBot="1" x14ac:dyDescent="0.35">
      <c r="A463" s="1129"/>
      <c r="B463" s="1130"/>
      <c r="C463" s="1130"/>
      <c r="D463" s="1130"/>
      <c r="E463" s="1131"/>
      <c r="F463" s="88"/>
    </row>
    <row r="464" spans="1:11" s="6" customFormat="1" ht="13.5" customHeight="1" x14ac:dyDescent="0.25">
      <c r="A464" s="41" t="s">
        <v>1029</v>
      </c>
      <c r="B464" s="31"/>
      <c r="C464" s="31"/>
      <c r="D464" s="32"/>
      <c r="E464" s="42"/>
      <c r="F464" s="88"/>
    </row>
    <row r="465" spans="1:9" s="6" customFormat="1" ht="13.5" customHeight="1" x14ac:dyDescent="0.25">
      <c r="A465" s="41" t="s">
        <v>639</v>
      </c>
      <c r="B465" s="31"/>
      <c r="C465" s="31"/>
      <c r="D465" s="32"/>
      <c r="E465" s="42"/>
      <c r="F465" s="88"/>
    </row>
    <row r="466" spans="1:9" s="6" customFormat="1" ht="13.5" customHeight="1" x14ac:dyDescent="0.25">
      <c r="A466" s="41" t="s">
        <v>1040</v>
      </c>
      <c r="B466" s="31"/>
      <c r="C466" s="31"/>
      <c r="D466" s="32"/>
      <c r="E466" s="42"/>
      <c r="F466" s="88"/>
    </row>
    <row r="467" spans="1:9" s="6" customFormat="1" ht="13.5" customHeight="1" thickBot="1" x14ac:dyDescent="0.3">
      <c r="A467" s="41" t="s">
        <v>11</v>
      </c>
      <c r="B467" s="31"/>
      <c r="C467" s="31"/>
      <c r="D467" s="32"/>
      <c r="E467" s="42"/>
      <c r="F467" s="88"/>
    </row>
    <row r="468" spans="1:9" s="7" customFormat="1" ht="13.5" customHeight="1" thickBot="1" x14ac:dyDescent="0.3">
      <c r="A468" s="762" t="s">
        <v>0</v>
      </c>
      <c r="B468" s="764"/>
      <c r="C468" s="764"/>
      <c r="D468" s="778"/>
      <c r="E468" s="778">
        <f>+C470+C491+C508+C504</f>
        <v>1609490</v>
      </c>
      <c r="F468" s="88"/>
    </row>
    <row r="469" spans="1:9" ht="13.5" customHeight="1" thickBot="1" x14ac:dyDescent="0.35">
      <c r="A469" s="5"/>
      <c r="B469" s="21"/>
      <c r="C469" s="21"/>
      <c r="D469" s="19"/>
      <c r="E469" s="44"/>
    </row>
    <row r="470" spans="1:9" s="8" customFormat="1" ht="13.5" customHeight="1" thickBot="1" x14ac:dyDescent="0.35">
      <c r="A470" s="1104" t="s">
        <v>2</v>
      </c>
      <c r="B470" s="1105"/>
      <c r="C470" s="667">
        <f>C471+C473+C475+C486+C477+C483</f>
        <v>514280</v>
      </c>
      <c r="D470" s="78"/>
      <c r="E470" s="25"/>
      <c r="F470" s="95"/>
      <c r="G470" s="55"/>
      <c r="H470" s="43"/>
      <c r="I470" s="83"/>
    </row>
    <row r="471" spans="1:9" s="43" customFormat="1" ht="13.5" customHeight="1" x14ac:dyDescent="0.3">
      <c r="A471" s="11" t="s">
        <v>103</v>
      </c>
      <c r="B471" s="211" t="s">
        <v>104</v>
      </c>
      <c r="C471" s="31">
        <f>SUM(C472)</f>
        <v>30000</v>
      </c>
      <c r="D471" s="22"/>
      <c r="E471" s="24"/>
      <c r="F471" s="95"/>
      <c r="G471" s="55"/>
      <c r="I471" s="55"/>
    </row>
    <row r="472" spans="1:9" s="43" customFormat="1" ht="13.5" customHeight="1" x14ac:dyDescent="0.25">
      <c r="A472" s="12" t="s">
        <v>46</v>
      </c>
      <c r="B472" s="8" t="s">
        <v>45</v>
      </c>
      <c r="C472" s="24">
        <v>30000</v>
      </c>
      <c r="E472" s="31"/>
      <c r="F472" s="96"/>
      <c r="G472" s="55"/>
    </row>
    <row r="473" spans="1:9" s="43" customFormat="1" ht="13.5" customHeight="1" x14ac:dyDescent="0.25">
      <c r="A473" s="11" t="s">
        <v>105</v>
      </c>
      <c r="B473" s="556" t="s">
        <v>106</v>
      </c>
      <c r="C473" s="31">
        <f>SUM(C474:C474)</f>
        <v>104000</v>
      </c>
      <c r="E473" s="31"/>
      <c r="F473" s="96"/>
      <c r="G473" s="55"/>
    </row>
    <row r="474" spans="1:9" s="43" customFormat="1" ht="13.5" customHeight="1" x14ac:dyDescent="0.25">
      <c r="A474" s="12" t="s">
        <v>86</v>
      </c>
      <c r="B474" s="8" t="s">
        <v>66</v>
      </c>
      <c r="C474" s="24">
        <v>104000</v>
      </c>
      <c r="E474" s="31"/>
      <c r="F474" s="96"/>
      <c r="G474" s="55"/>
    </row>
    <row r="475" spans="1:9" s="43" customFormat="1" ht="13.5" customHeight="1" x14ac:dyDescent="0.25">
      <c r="A475" s="11" t="s">
        <v>107</v>
      </c>
      <c r="B475" s="556" t="s">
        <v>108</v>
      </c>
      <c r="C475" s="31">
        <f>SUM(C476)</f>
        <v>75820</v>
      </c>
      <c r="E475" s="31"/>
      <c r="F475" s="22"/>
      <c r="G475" s="55"/>
    </row>
    <row r="476" spans="1:9" s="8" customFormat="1" ht="13.5" customHeight="1" x14ac:dyDescent="0.25">
      <c r="A476" s="12" t="s">
        <v>47</v>
      </c>
      <c r="B476" s="23" t="s">
        <v>48</v>
      </c>
      <c r="C476" s="24">
        <v>75820</v>
      </c>
      <c r="E476" s="25"/>
      <c r="F476" s="79"/>
      <c r="G476" s="55"/>
      <c r="H476" s="43"/>
    </row>
    <row r="477" spans="1:9" s="72" customFormat="1" ht="13.5" customHeight="1" x14ac:dyDescent="0.25">
      <c r="A477" s="265" t="s">
        <v>119</v>
      </c>
      <c r="B477" s="25" t="s">
        <v>109</v>
      </c>
      <c r="C477" s="31">
        <f>SUM(C478:C482)</f>
        <v>136390</v>
      </c>
      <c r="D477" s="78"/>
      <c r="E477" s="25"/>
      <c r="F477" s="101"/>
      <c r="G477" s="96"/>
      <c r="H477" s="12"/>
    </row>
    <row r="478" spans="1:9" s="72" customFormat="1" ht="13.5" customHeight="1" x14ac:dyDescent="0.25">
      <c r="A478" s="72" t="s">
        <v>150</v>
      </c>
      <c r="B478" s="23" t="s">
        <v>340</v>
      </c>
      <c r="C478" s="24">
        <v>14850</v>
      </c>
      <c r="D478" s="21"/>
      <c r="E478" s="21"/>
      <c r="F478" s="5"/>
      <c r="G478" s="350"/>
      <c r="H478" s="122"/>
    </row>
    <row r="479" spans="1:9" s="72" customFormat="1" ht="13.5" customHeight="1" x14ac:dyDescent="0.25">
      <c r="A479" s="72" t="s">
        <v>697</v>
      </c>
      <c r="B479" s="43" t="s">
        <v>696</v>
      </c>
      <c r="C479" s="24">
        <v>28540</v>
      </c>
      <c r="D479" s="21"/>
      <c r="E479" s="21"/>
      <c r="F479" s="5"/>
      <c r="G479" s="350"/>
      <c r="H479" s="122"/>
    </row>
    <row r="480" spans="1:9" s="66" customFormat="1" x14ac:dyDescent="0.3">
      <c r="A480" s="72" t="s">
        <v>816</v>
      </c>
      <c r="B480" s="24" t="s">
        <v>810</v>
      </c>
      <c r="C480" s="24">
        <v>23000</v>
      </c>
      <c r="D480" s="78"/>
      <c r="E480" s="25"/>
    </row>
    <row r="481" spans="1:8" s="66" customFormat="1" x14ac:dyDescent="0.3">
      <c r="A481" s="72" t="s">
        <v>820</v>
      </c>
      <c r="B481" s="24" t="s">
        <v>821</v>
      </c>
      <c r="C481" s="24">
        <v>55000</v>
      </c>
      <c r="D481" s="78"/>
      <c r="E481" s="25"/>
    </row>
    <row r="482" spans="1:8" s="66" customFormat="1" x14ac:dyDescent="0.3">
      <c r="A482" s="72" t="s">
        <v>811</v>
      </c>
      <c r="B482" s="24" t="s">
        <v>812</v>
      </c>
      <c r="C482" s="24">
        <v>15000</v>
      </c>
      <c r="D482" s="78"/>
      <c r="E482" s="25"/>
    </row>
    <row r="483" spans="1:8" s="72" customFormat="1" ht="13.5" customHeight="1" x14ac:dyDescent="0.25">
      <c r="A483" s="265" t="s">
        <v>124</v>
      </c>
      <c r="B483" s="25" t="s">
        <v>123</v>
      </c>
      <c r="C483" s="31">
        <f>SUM(C484:C485)</f>
        <v>61000</v>
      </c>
      <c r="D483" s="21"/>
      <c r="E483" s="21"/>
      <c r="F483" s="5"/>
      <c r="G483" s="350"/>
      <c r="H483" s="122"/>
    </row>
    <row r="484" spans="1:8" s="66" customFormat="1" x14ac:dyDescent="0.3">
      <c r="A484" s="12" t="s">
        <v>230</v>
      </c>
      <c r="B484" s="43" t="s">
        <v>229</v>
      </c>
      <c r="C484" s="24">
        <v>34000</v>
      </c>
      <c r="D484" s="57"/>
      <c r="E484" s="57"/>
    </row>
    <row r="485" spans="1:8" s="66" customFormat="1" x14ac:dyDescent="0.3">
      <c r="A485" s="72" t="s">
        <v>93</v>
      </c>
      <c r="B485" s="23" t="s">
        <v>72</v>
      </c>
      <c r="C485" s="60">
        <v>27000</v>
      </c>
      <c r="D485" s="68"/>
      <c r="E485" s="68"/>
      <c r="F485" s="68"/>
    </row>
    <row r="486" spans="1:8" s="66" customFormat="1" x14ac:dyDescent="0.3">
      <c r="A486" s="265" t="s">
        <v>151</v>
      </c>
      <c r="B486" s="25" t="s">
        <v>125</v>
      </c>
      <c r="C486" s="64">
        <f>SUM(C487:C489)</f>
        <v>107070</v>
      </c>
      <c r="D486" s="68"/>
      <c r="E486" s="68"/>
      <c r="F486" s="68"/>
    </row>
    <row r="487" spans="1:8" s="66" customFormat="1" x14ac:dyDescent="0.3">
      <c r="A487" s="72" t="s">
        <v>152</v>
      </c>
      <c r="B487" s="23" t="s">
        <v>65</v>
      </c>
      <c r="C487" s="60">
        <v>23430</v>
      </c>
      <c r="D487" s="68"/>
      <c r="E487" s="68"/>
      <c r="F487" s="68"/>
    </row>
    <row r="488" spans="1:8" s="66" customFormat="1" x14ac:dyDescent="0.3">
      <c r="A488" s="72" t="s">
        <v>153</v>
      </c>
      <c r="B488" s="23" t="s">
        <v>70</v>
      </c>
      <c r="C488" s="60">
        <v>45360</v>
      </c>
      <c r="D488" s="68"/>
      <c r="E488" s="68"/>
      <c r="F488" s="68"/>
    </row>
    <row r="489" spans="1:8" s="66" customFormat="1" x14ac:dyDescent="0.3">
      <c r="A489" s="72" t="s">
        <v>154</v>
      </c>
      <c r="B489" s="23" t="s">
        <v>133</v>
      </c>
      <c r="C489" s="60">
        <v>38280</v>
      </c>
      <c r="F489" s="68"/>
      <c r="G489" s="68"/>
      <c r="H489" s="68"/>
    </row>
    <row r="490" spans="1:8" s="8" customFormat="1" ht="13.5" customHeight="1" thickBot="1" x14ac:dyDescent="0.35">
      <c r="A490" s="72"/>
      <c r="B490" s="23"/>
      <c r="C490" s="23"/>
      <c r="F490" s="78"/>
      <c r="G490" s="25"/>
      <c r="H490" s="94"/>
    </row>
    <row r="491" spans="1:8" s="8" customFormat="1" ht="13.5" customHeight="1" thickBot="1" x14ac:dyDescent="0.35">
      <c r="A491" s="1096" t="s">
        <v>3</v>
      </c>
      <c r="B491" s="1097"/>
      <c r="C491" s="668">
        <f>C492+C494+C497+C499</f>
        <v>450510</v>
      </c>
      <c r="F491" s="78"/>
      <c r="G491" s="25"/>
      <c r="H491" s="54"/>
    </row>
    <row r="492" spans="1:8" s="8" customFormat="1" ht="13.5" customHeight="1" x14ac:dyDescent="0.3">
      <c r="A492" s="265" t="s">
        <v>110</v>
      </c>
      <c r="B492" s="298" t="s">
        <v>111</v>
      </c>
      <c r="C492" s="31">
        <f>SUM(C493)</f>
        <v>45000</v>
      </c>
      <c r="F492" s="78"/>
      <c r="G492" s="25"/>
      <c r="H492" s="54"/>
    </row>
    <row r="493" spans="1:8" s="8" customFormat="1" ht="13.5" customHeight="1" x14ac:dyDescent="0.3">
      <c r="A493" s="12" t="s">
        <v>52</v>
      </c>
      <c r="B493" s="24" t="s">
        <v>15</v>
      </c>
      <c r="C493" s="24">
        <v>45000</v>
      </c>
      <c r="F493" s="79"/>
      <c r="G493" s="25"/>
      <c r="H493" s="92"/>
    </row>
    <row r="494" spans="1:8" s="8" customFormat="1" ht="13.5" customHeight="1" x14ac:dyDescent="0.3">
      <c r="A494" s="560" t="s">
        <v>120</v>
      </c>
      <c r="B494" s="561" t="s">
        <v>121</v>
      </c>
      <c r="C494" s="31">
        <f>SUM(C495:C496)</f>
        <v>32280</v>
      </c>
      <c r="F494" s="78"/>
      <c r="G494" s="25"/>
      <c r="H494" s="92"/>
    </row>
    <row r="495" spans="1:8" s="8" customFormat="1" ht="13.5" customHeight="1" x14ac:dyDescent="0.3">
      <c r="A495" s="59" t="s">
        <v>140</v>
      </c>
      <c r="B495" s="43" t="s">
        <v>141</v>
      </c>
      <c r="C495" s="24">
        <v>20280</v>
      </c>
      <c r="F495" s="79"/>
      <c r="G495" s="25"/>
      <c r="H495" s="92"/>
    </row>
    <row r="496" spans="1:8" s="8" customFormat="1" ht="13.5" customHeight="1" x14ac:dyDescent="0.3">
      <c r="A496" s="59" t="s">
        <v>136</v>
      </c>
      <c r="B496" s="59" t="s">
        <v>71</v>
      </c>
      <c r="C496" s="24">
        <v>12000</v>
      </c>
      <c r="G496" s="25"/>
      <c r="H496" s="92"/>
    </row>
    <row r="497" spans="1:10" s="8" customFormat="1" ht="13.5" customHeight="1" x14ac:dyDescent="0.3">
      <c r="A497" s="560" t="s">
        <v>112</v>
      </c>
      <c r="B497" s="559" t="s">
        <v>157</v>
      </c>
      <c r="C497" s="31">
        <f>SUM(C498:C498)</f>
        <v>101430</v>
      </c>
      <c r="F497" s="78"/>
      <c r="G497" s="25"/>
      <c r="H497" s="92"/>
    </row>
    <row r="498" spans="1:10" s="8" customFormat="1" ht="13.5" customHeight="1" x14ac:dyDescent="0.3">
      <c r="A498" s="72" t="s">
        <v>49</v>
      </c>
      <c r="B498" s="23" t="s">
        <v>87</v>
      </c>
      <c r="C498" s="24">
        <v>101430</v>
      </c>
      <c r="F498" s="96"/>
      <c r="G498" s="31"/>
      <c r="H498" s="95"/>
    </row>
    <row r="499" spans="1:10" s="8" customFormat="1" ht="13.5" customHeight="1" x14ac:dyDescent="0.3">
      <c r="A499" s="265" t="s">
        <v>115</v>
      </c>
      <c r="B499" s="25" t="s">
        <v>8</v>
      </c>
      <c r="C499" s="31">
        <f>SUM(C500:C502)</f>
        <v>271800</v>
      </c>
      <c r="F499" s="78"/>
      <c r="G499" s="25"/>
      <c r="H499" s="92"/>
    </row>
    <row r="500" spans="1:10" s="8" customFormat="1" ht="13.5" customHeight="1" x14ac:dyDescent="0.25">
      <c r="A500" s="72" t="s">
        <v>92</v>
      </c>
      <c r="B500" s="23" t="s">
        <v>8</v>
      </c>
      <c r="C500" s="24">
        <v>150000</v>
      </c>
      <c r="F500" s="79"/>
      <c r="G500" s="25"/>
      <c r="J500" s="83"/>
    </row>
    <row r="501" spans="1:10" s="8" customFormat="1" ht="13.5" customHeight="1" x14ac:dyDescent="0.3">
      <c r="A501" s="72" t="s">
        <v>94</v>
      </c>
      <c r="B501" s="23" t="s">
        <v>50</v>
      </c>
      <c r="C501" s="24">
        <v>15000</v>
      </c>
      <c r="F501" s="79"/>
      <c r="G501" s="95"/>
      <c r="I501" s="83"/>
    </row>
    <row r="502" spans="1:10" s="8" customFormat="1" ht="13.5" customHeight="1" x14ac:dyDescent="0.3">
      <c r="A502" s="72" t="s">
        <v>90</v>
      </c>
      <c r="B502" s="23" t="s">
        <v>7</v>
      </c>
      <c r="C502" s="24">
        <v>106800</v>
      </c>
      <c r="D502" s="84"/>
      <c r="E502" s="459"/>
      <c r="F502" s="95"/>
      <c r="G502" s="55"/>
      <c r="H502" s="43"/>
    </row>
    <row r="503" spans="1:10" s="8" customFormat="1" ht="13.5" customHeight="1" thickBot="1" x14ac:dyDescent="0.35">
      <c r="A503" s="72"/>
      <c r="B503" s="23"/>
      <c r="C503" s="24"/>
      <c r="D503" s="78"/>
      <c r="E503" s="25"/>
      <c r="F503" s="95"/>
      <c r="G503" s="55"/>
      <c r="H503" s="43"/>
    </row>
    <row r="504" spans="1:10" s="310" customFormat="1" ht="13.5" customHeight="1" thickBot="1" x14ac:dyDescent="0.3">
      <c r="A504" s="1134" t="s">
        <v>302</v>
      </c>
      <c r="B504" s="1135"/>
      <c r="C504" s="775">
        <f>(C506)</f>
        <v>500000</v>
      </c>
      <c r="D504" s="333"/>
      <c r="E504" s="303"/>
      <c r="F504" s="265"/>
      <c r="I504" s="311"/>
    </row>
    <row r="505" spans="1:10" s="310" customFormat="1" ht="13.5" customHeight="1" x14ac:dyDescent="0.25">
      <c r="A505" s="336" t="s">
        <v>303</v>
      </c>
      <c r="B505" s="564" t="s">
        <v>324</v>
      </c>
      <c r="C505" s="303"/>
      <c r="D505" s="293"/>
      <c r="E505" s="303"/>
      <c r="F505" s="265"/>
      <c r="I505" s="311"/>
    </row>
    <row r="506" spans="1:10" s="310" customFormat="1" ht="13.5" customHeight="1" x14ac:dyDescent="0.25">
      <c r="A506" s="12" t="s">
        <v>838</v>
      </c>
      <c r="B506" s="12" t="s">
        <v>839</v>
      </c>
      <c r="C506" s="303">
        <v>500000</v>
      </c>
      <c r="D506" s="293"/>
      <c r="E506" s="303"/>
      <c r="F506" s="265"/>
      <c r="I506" s="311"/>
    </row>
    <row r="507" spans="1:10" s="310" customFormat="1" ht="13.5" customHeight="1" thickBot="1" x14ac:dyDescent="0.3">
      <c r="A507" s="12"/>
      <c r="B507" s="12"/>
      <c r="C507" s="303"/>
      <c r="D507" s="293"/>
      <c r="E507" s="303"/>
      <c r="F507" s="265"/>
      <c r="I507" s="311"/>
    </row>
    <row r="508" spans="1:10" s="8" customFormat="1" ht="13.5" customHeight="1" thickBot="1" x14ac:dyDescent="0.35">
      <c r="A508" s="1100" t="s">
        <v>4</v>
      </c>
      <c r="B508" s="1101"/>
      <c r="C508" s="670">
        <f>+C509+C513</f>
        <v>144700</v>
      </c>
      <c r="D508" s="78"/>
      <c r="E508" s="25"/>
      <c r="F508" s="95"/>
      <c r="G508" s="55"/>
      <c r="H508" s="43"/>
    </row>
    <row r="509" spans="1:10" s="43" customFormat="1" ht="13.5" customHeight="1" x14ac:dyDescent="0.3">
      <c r="A509" s="265" t="s">
        <v>116</v>
      </c>
      <c r="B509" s="211" t="s">
        <v>117</v>
      </c>
      <c r="C509" s="31">
        <f>SUM(C510:C512)</f>
        <v>129700</v>
      </c>
      <c r="D509" s="22"/>
      <c r="E509" s="24"/>
      <c r="F509" s="95"/>
      <c r="G509" s="55"/>
    </row>
    <row r="510" spans="1:10" s="8" customFormat="1" ht="13.5" customHeight="1" x14ac:dyDescent="0.3">
      <c r="A510" s="72" t="s">
        <v>91</v>
      </c>
      <c r="B510" s="23" t="s">
        <v>9</v>
      </c>
      <c r="C510" s="24">
        <v>70000</v>
      </c>
      <c r="D510" s="78"/>
      <c r="E510" s="25"/>
      <c r="F510" s="95"/>
      <c r="G510" s="55"/>
      <c r="H510" s="43"/>
    </row>
    <row r="511" spans="1:10" s="8" customFormat="1" ht="13.5" customHeight="1" x14ac:dyDescent="0.3">
      <c r="A511" s="72" t="s">
        <v>57</v>
      </c>
      <c r="B511" s="23" t="s">
        <v>58</v>
      </c>
      <c r="C511" s="24">
        <v>35700</v>
      </c>
      <c r="D511" s="78"/>
      <c r="E511" s="25"/>
      <c r="F511" s="54"/>
      <c r="G511" s="73"/>
      <c r="H511" s="43"/>
    </row>
    <row r="512" spans="1:10" s="8" customFormat="1" ht="13.5" customHeight="1" x14ac:dyDescent="0.25">
      <c r="A512" s="72" t="s">
        <v>814</v>
      </c>
      <c r="B512" s="23" t="s">
        <v>815</v>
      </c>
      <c r="C512" s="24">
        <v>24000</v>
      </c>
      <c r="D512" s="78"/>
      <c r="E512" s="25"/>
      <c r="F512" s="99"/>
      <c r="G512" s="55"/>
      <c r="H512" s="43"/>
    </row>
    <row r="513" spans="1:13" s="8" customFormat="1" ht="13.5" customHeight="1" x14ac:dyDescent="0.3">
      <c r="A513" s="265" t="s">
        <v>166</v>
      </c>
      <c r="B513" s="25" t="s">
        <v>135</v>
      </c>
      <c r="C513" s="31">
        <f>SUM(C514)</f>
        <v>15000</v>
      </c>
      <c r="D513" s="78"/>
      <c r="E513" s="25"/>
      <c r="F513" s="95"/>
      <c r="G513" s="55"/>
      <c r="H513" s="43"/>
    </row>
    <row r="514" spans="1:13" s="8" customFormat="1" ht="13.5" customHeight="1" x14ac:dyDescent="0.3">
      <c r="A514" s="72" t="s">
        <v>167</v>
      </c>
      <c r="B514" s="23" t="s">
        <v>51</v>
      </c>
      <c r="C514" s="24">
        <v>15000</v>
      </c>
      <c r="D514" s="78"/>
      <c r="E514" s="25"/>
      <c r="F514" s="95"/>
      <c r="G514" s="55"/>
      <c r="H514" s="43"/>
    </row>
    <row r="515" spans="1:13" s="8" customFormat="1" ht="13.5" customHeight="1" thickBot="1" x14ac:dyDescent="0.35">
      <c r="A515" s="72"/>
      <c r="B515" s="23"/>
      <c r="C515" s="24"/>
      <c r="D515" s="78"/>
      <c r="E515" s="25"/>
      <c r="F515" s="95"/>
      <c r="G515" s="55"/>
      <c r="H515" s="43"/>
    </row>
    <row r="516" spans="1:13" s="6" customFormat="1" x14ac:dyDescent="0.3">
      <c r="A516" s="1117" t="s">
        <v>1024</v>
      </c>
      <c r="B516" s="1118"/>
      <c r="C516" s="1119"/>
      <c r="D516" s="692" t="s">
        <v>6</v>
      </c>
      <c r="E516" s="911">
        <v>1008</v>
      </c>
      <c r="F516" s="89"/>
    </row>
    <row r="517" spans="1:13" s="6" customFormat="1" ht="13.5" thickBot="1" x14ac:dyDescent="0.35">
      <c r="A517" s="1120"/>
      <c r="B517" s="1121"/>
      <c r="C517" s="1122"/>
      <c r="D517" s="695"/>
      <c r="E517" s="696"/>
      <c r="F517" s="89"/>
    </row>
    <row r="518" spans="1:13" s="6" customFormat="1" x14ac:dyDescent="0.3">
      <c r="A518" s="1123" t="s">
        <v>1025</v>
      </c>
      <c r="B518" s="1124"/>
      <c r="C518" s="1124"/>
      <c r="D518" s="1124"/>
      <c r="E518" s="1125"/>
      <c r="F518" s="90"/>
      <c r="G518" s="13"/>
      <c r="H518" s="13"/>
      <c r="I518" s="13"/>
      <c r="J518" s="13"/>
      <c r="K518" s="13"/>
      <c r="L518" s="13"/>
      <c r="M518" s="13"/>
    </row>
    <row r="519" spans="1:13" s="6" customFormat="1" ht="13.5" thickBot="1" x14ac:dyDescent="0.35">
      <c r="A519" s="1129"/>
      <c r="B519" s="1130"/>
      <c r="C519" s="1130"/>
      <c r="D519" s="1130"/>
      <c r="E519" s="1131"/>
      <c r="F519" s="90"/>
      <c r="G519" s="13"/>
      <c r="H519" s="13"/>
      <c r="I519" s="13"/>
      <c r="J519" s="13"/>
      <c r="K519" s="13"/>
      <c r="L519" s="13"/>
      <c r="M519" s="13"/>
    </row>
    <row r="520" spans="1:13" s="6" customFormat="1" x14ac:dyDescent="0.3">
      <c r="A520" s="41" t="s">
        <v>1029</v>
      </c>
      <c r="B520" s="46"/>
      <c r="C520" s="31"/>
      <c r="D520" s="32"/>
      <c r="E520" s="42"/>
      <c r="F520" s="89"/>
    </row>
    <row r="521" spans="1:13" s="6" customFormat="1" x14ac:dyDescent="0.3">
      <c r="A521" s="41" t="s">
        <v>10</v>
      </c>
      <c r="B521" s="46"/>
      <c r="C521" s="31"/>
      <c r="D521" s="32"/>
      <c r="E521" s="42"/>
      <c r="F521" s="89"/>
    </row>
    <row r="522" spans="1:13" s="6" customFormat="1" x14ac:dyDescent="0.3">
      <c r="A522" s="41" t="s">
        <v>625</v>
      </c>
      <c r="B522" s="31"/>
      <c r="C522" s="31"/>
      <c r="D522" s="32"/>
      <c r="E522" s="42"/>
      <c r="F522" s="89"/>
    </row>
    <row r="523" spans="1:13" s="6" customFormat="1" ht="13.5" thickBot="1" x14ac:dyDescent="0.35">
      <c r="A523" s="76" t="s">
        <v>11</v>
      </c>
      <c r="B523" s="47"/>
      <c r="C523" s="48"/>
      <c r="D523" s="49"/>
      <c r="E523" s="77"/>
      <c r="F523" s="89"/>
    </row>
    <row r="524" spans="1:13" s="961" customFormat="1" ht="13.5" thickBot="1" x14ac:dyDescent="0.35">
      <c r="A524" s="661" t="s">
        <v>0</v>
      </c>
      <c r="B524" s="663"/>
      <c r="C524" s="663"/>
      <c r="D524" s="755"/>
      <c r="E524" s="665">
        <f>+C526+C532</f>
        <v>59286666</v>
      </c>
      <c r="F524" s="960"/>
    </row>
    <row r="525" spans="1:13" s="6" customFormat="1" ht="13.5" thickBot="1" x14ac:dyDescent="0.35">
      <c r="A525" s="11"/>
      <c r="B525" s="31"/>
      <c r="C525" s="31"/>
      <c r="D525" s="32"/>
      <c r="E525" s="45"/>
      <c r="F525" s="89"/>
    </row>
    <row r="526" spans="1:13" s="8" customFormat="1" ht="13.5" thickBot="1" x14ac:dyDescent="0.35">
      <c r="A526" s="1096" t="s">
        <v>3</v>
      </c>
      <c r="B526" s="1097"/>
      <c r="C526" s="701">
        <f>C527+C529</f>
        <v>520000</v>
      </c>
      <c r="D526" s="104"/>
      <c r="E526" s="98"/>
      <c r="F526" s="92"/>
    </row>
    <row r="527" spans="1:13" s="43" customFormat="1" x14ac:dyDescent="0.3">
      <c r="A527" s="336" t="s">
        <v>113</v>
      </c>
      <c r="B527" s="298" t="s">
        <v>114</v>
      </c>
      <c r="C527" s="569">
        <f>SUM(C528)</f>
        <v>440000</v>
      </c>
      <c r="D527" s="81"/>
      <c r="E527" s="80"/>
      <c r="F527" s="95"/>
    </row>
    <row r="528" spans="1:13" s="8" customFormat="1" ht="11.5" x14ac:dyDescent="0.25">
      <c r="A528" s="53" t="s">
        <v>164</v>
      </c>
      <c r="B528" s="43" t="s">
        <v>74</v>
      </c>
      <c r="C528" s="102">
        <v>440000</v>
      </c>
      <c r="D528" s="81"/>
      <c r="F528" s="80"/>
    </row>
    <row r="529" spans="1:8" s="8" customFormat="1" x14ac:dyDescent="0.3">
      <c r="A529" s="560" t="s">
        <v>115</v>
      </c>
      <c r="B529" s="560" t="s">
        <v>8</v>
      </c>
      <c r="C529" s="31">
        <f>SUM(C530)</f>
        <v>80000</v>
      </c>
      <c r="D529" s="81"/>
      <c r="E529" s="80"/>
      <c r="F529" s="92"/>
    </row>
    <row r="530" spans="1:8" s="8" customFormat="1" x14ac:dyDescent="0.3">
      <c r="A530" s="70" t="s">
        <v>89</v>
      </c>
      <c r="B530" s="70" t="s">
        <v>8</v>
      </c>
      <c r="C530" s="24">
        <v>80000</v>
      </c>
      <c r="D530" s="81"/>
      <c r="E530" s="80"/>
      <c r="F530" s="92"/>
    </row>
    <row r="531" spans="1:8" s="8" customFormat="1" ht="13.5" thickBot="1" x14ac:dyDescent="0.35">
      <c r="A531" s="53"/>
      <c r="B531" s="43"/>
      <c r="C531" s="102"/>
      <c r="D531" s="81"/>
      <c r="E531" s="80"/>
      <c r="F531" s="92"/>
    </row>
    <row r="532" spans="1:8" s="8" customFormat="1" ht="13.5" thickBot="1" x14ac:dyDescent="0.35">
      <c r="A532" s="1115" t="s">
        <v>5</v>
      </c>
      <c r="B532" s="1116"/>
      <c r="C532" s="669">
        <f>C533+C539</f>
        <v>58766666</v>
      </c>
      <c r="D532" s="78"/>
      <c r="E532" s="86"/>
      <c r="F532" s="92"/>
    </row>
    <row r="533" spans="1:8" s="43" customFormat="1" x14ac:dyDescent="0.3">
      <c r="A533" s="265" t="s">
        <v>126</v>
      </c>
      <c r="B533" s="298" t="s">
        <v>127</v>
      </c>
      <c r="C533" s="31">
        <f>SUM(C534:C538)</f>
        <v>56133916</v>
      </c>
      <c r="D533" s="106"/>
      <c r="E533" s="55"/>
      <c r="F533" s="95"/>
    </row>
    <row r="534" spans="1:8" s="8" customFormat="1" ht="11.5" x14ac:dyDescent="0.25">
      <c r="A534" s="72" t="s">
        <v>59</v>
      </c>
      <c r="B534" s="23" t="s">
        <v>16</v>
      </c>
      <c r="C534" s="24">
        <v>5921916</v>
      </c>
      <c r="D534" s="79"/>
    </row>
    <row r="535" spans="1:8" s="8" customFormat="1" ht="11.5" x14ac:dyDescent="0.25">
      <c r="A535" s="72" t="s">
        <v>60</v>
      </c>
      <c r="B535" s="87" t="s">
        <v>17</v>
      </c>
      <c r="C535" s="24">
        <v>24841500</v>
      </c>
      <c r="D535" s="107"/>
    </row>
    <row r="536" spans="1:8" s="8" customFormat="1" ht="11.5" x14ac:dyDescent="0.25">
      <c r="A536" s="72" t="s">
        <v>61</v>
      </c>
      <c r="B536" s="23" t="s">
        <v>18</v>
      </c>
      <c r="C536" s="24">
        <v>20302500</v>
      </c>
      <c r="D536" s="55"/>
    </row>
    <row r="537" spans="1:8" s="8" customFormat="1" ht="11.5" x14ac:dyDescent="0.25">
      <c r="A537" s="72" t="s">
        <v>63</v>
      </c>
      <c r="B537" s="24" t="s">
        <v>62</v>
      </c>
      <c r="C537" s="24">
        <v>1288000</v>
      </c>
      <c r="D537" s="96"/>
      <c r="E537" s="55"/>
      <c r="F537" s="43"/>
      <c r="G537" s="43"/>
      <c r="H537" s="43"/>
    </row>
    <row r="538" spans="1:8" s="43" customFormat="1" ht="11.5" x14ac:dyDescent="0.25">
      <c r="A538" s="72" t="s">
        <v>593</v>
      </c>
      <c r="B538" s="43" t="s">
        <v>594</v>
      </c>
      <c r="C538" s="24">
        <v>3780000</v>
      </c>
      <c r="D538" s="55"/>
      <c r="E538" s="8"/>
      <c r="F538" s="8"/>
      <c r="G538" s="8"/>
      <c r="H538" s="8"/>
    </row>
    <row r="539" spans="1:8" s="8" customFormat="1" ht="11.5" x14ac:dyDescent="0.25">
      <c r="A539" s="265" t="s">
        <v>128</v>
      </c>
      <c r="B539" s="265" t="s">
        <v>129</v>
      </c>
      <c r="C539" s="31">
        <f>SUM(C540:C543)</f>
        <v>2632750</v>
      </c>
      <c r="D539" s="96"/>
      <c r="E539" s="55"/>
      <c r="F539" s="43"/>
    </row>
    <row r="540" spans="1:8" s="8" customFormat="1" ht="11.5" x14ac:dyDescent="0.25">
      <c r="A540" s="72" t="s">
        <v>238</v>
      </c>
      <c r="B540" s="23" t="s">
        <v>239</v>
      </c>
      <c r="C540" s="24">
        <v>418750</v>
      </c>
      <c r="D540" s="96"/>
      <c r="E540" s="55"/>
      <c r="F540" s="43"/>
    </row>
    <row r="541" spans="1:8" s="8" customFormat="1" x14ac:dyDescent="0.3">
      <c r="A541" s="72" t="s">
        <v>147</v>
      </c>
      <c r="B541" s="43" t="s">
        <v>148</v>
      </c>
      <c r="C541" s="24">
        <v>1274000</v>
      </c>
      <c r="D541" s="96"/>
      <c r="E541" s="85"/>
      <c r="F541" s="95"/>
      <c r="G541" s="55"/>
      <c r="H541" s="43"/>
    </row>
    <row r="542" spans="1:8" s="8" customFormat="1" x14ac:dyDescent="0.3">
      <c r="A542" s="72" t="s">
        <v>146</v>
      </c>
      <c r="B542" s="43" t="s">
        <v>145</v>
      </c>
      <c r="C542" s="24">
        <v>250000</v>
      </c>
      <c r="D542" s="79"/>
      <c r="E542" s="86"/>
      <c r="F542" s="95"/>
      <c r="G542" s="55"/>
      <c r="H542" s="43"/>
    </row>
    <row r="543" spans="1:8" s="8" customFormat="1" x14ac:dyDescent="0.3">
      <c r="A543" s="72" t="s">
        <v>144</v>
      </c>
      <c r="B543" s="24" t="s">
        <v>12</v>
      </c>
      <c r="C543" s="24">
        <v>690000</v>
      </c>
      <c r="D543" s="78"/>
      <c r="E543" s="86"/>
      <c r="F543" s="92"/>
    </row>
    <row r="544" spans="1:8" s="6" customFormat="1" ht="11.5" x14ac:dyDescent="0.25">
      <c r="A544" s="43"/>
      <c r="B544" s="43"/>
      <c r="C544" s="43"/>
      <c r="D544" s="43"/>
      <c r="E544" s="43"/>
      <c r="F544" s="43"/>
    </row>
    <row r="545" spans="2:6" s="6" customFormat="1" ht="11.5" x14ac:dyDescent="0.25">
      <c r="E545" s="29">
        <f>+E524+E468+E417+E373+E335+E240+E195+E14</f>
        <v>176734955</v>
      </c>
    </row>
    <row r="546" spans="2:6" s="6" customFormat="1" ht="11.5" x14ac:dyDescent="0.25">
      <c r="E546" s="29"/>
    </row>
    <row r="547" spans="2:6" s="6" customFormat="1" x14ac:dyDescent="0.3">
      <c r="B547" s="29"/>
      <c r="C547" s="29"/>
      <c r="D547" s="30"/>
      <c r="E547" s="33"/>
      <c r="F547" s="89"/>
    </row>
    <row r="548" spans="2:6" s="6" customFormat="1" x14ac:dyDescent="0.3">
      <c r="B548" s="29"/>
      <c r="C548" s="29"/>
      <c r="D548" s="30"/>
      <c r="E548" s="33"/>
      <c r="F548" s="89"/>
    </row>
    <row r="549" spans="2:6" s="6" customFormat="1" x14ac:dyDescent="0.3">
      <c r="B549" s="29"/>
      <c r="C549" s="29"/>
      <c r="D549" s="30"/>
      <c r="E549" s="33"/>
      <c r="F549" s="89"/>
    </row>
    <row r="550" spans="2:6" s="6" customFormat="1" x14ac:dyDescent="0.3">
      <c r="B550" s="29"/>
      <c r="C550" s="29"/>
      <c r="D550" s="30"/>
      <c r="E550" s="33"/>
      <c r="F550" s="89"/>
    </row>
    <row r="551" spans="2:6" s="6" customFormat="1" x14ac:dyDescent="0.3">
      <c r="B551" s="29"/>
      <c r="C551" s="29"/>
      <c r="D551" s="30"/>
      <c r="E551" s="33"/>
      <c r="F551" s="89"/>
    </row>
    <row r="552" spans="2:6" s="6" customFormat="1" x14ac:dyDescent="0.3">
      <c r="B552" s="29"/>
      <c r="C552" s="29"/>
      <c r="D552" s="30"/>
      <c r="E552" s="33"/>
      <c r="F552" s="89"/>
    </row>
    <row r="553" spans="2:6" s="6" customFormat="1" x14ac:dyDescent="0.3">
      <c r="B553" s="29"/>
      <c r="C553" s="29"/>
      <c r="D553" s="30"/>
      <c r="E553" s="33"/>
      <c r="F553" s="89"/>
    </row>
    <row r="554" spans="2:6" s="6" customFormat="1" x14ac:dyDescent="0.3">
      <c r="B554" s="29"/>
      <c r="C554" s="29"/>
      <c r="D554" s="30"/>
      <c r="E554" s="33"/>
      <c r="F554" s="89"/>
    </row>
    <row r="555" spans="2:6" s="6" customFormat="1" x14ac:dyDescent="0.3">
      <c r="B555" s="29"/>
      <c r="C555" s="29"/>
      <c r="D555" s="30"/>
      <c r="E555" s="33"/>
      <c r="F555" s="89"/>
    </row>
    <row r="556" spans="2:6" s="6" customFormat="1" x14ac:dyDescent="0.3">
      <c r="B556" s="29"/>
      <c r="C556" s="29"/>
      <c r="D556" s="30"/>
      <c r="E556" s="33"/>
      <c r="F556" s="89"/>
    </row>
    <row r="557" spans="2:6" s="6" customFormat="1" x14ac:dyDescent="0.3">
      <c r="B557" s="29"/>
      <c r="C557" s="29"/>
      <c r="D557" s="30"/>
      <c r="E557" s="33"/>
      <c r="F557" s="89"/>
    </row>
    <row r="558" spans="2:6" s="6" customFormat="1" x14ac:dyDescent="0.3">
      <c r="B558" s="29"/>
      <c r="C558" s="29"/>
      <c r="D558" s="30"/>
      <c r="E558" s="33"/>
      <c r="F558" s="89"/>
    </row>
    <row r="559" spans="2:6" s="6" customFormat="1" x14ac:dyDescent="0.3">
      <c r="B559" s="29"/>
      <c r="C559" s="29"/>
      <c r="D559" s="30"/>
      <c r="E559" s="33"/>
      <c r="F559" s="89"/>
    </row>
    <row r="560" spans="2:6" s="6" customFormat="1" x14ac:dyDescent="0.3">
      <c r="B560" s="29"/>
      <c r="C560" s="29"/>
      <c r="D560" s="30"/>
      <c r="E560" s="33"/>
      <c r="F560" s="89"/>
    </row>
    <row r="561" spans="2:6" s="6" customFormat="1" x14ac:dyDescent="0.3">
      <c r="B561" s="29"/>
      <c r="C561" s="29"/>
      <c r="D561" s="30"/>
      <c r="E561" s="33"/>
      <c r="F561" s="89"/>
    </row>
    <row r="562" spans="2:6" s="6" customFormat="1" x14ac:dyDescent="0.3">
      <c r="B562" s="29"/>
      <c r="C562" s="29"/>
      <c r="D562" s="30"/>
      <c r="E562" s="33"/>
      <c r="F562" s="89"/>
    </row>
    <row r="563" spans="2:6" s="6" customFormat="1" x14ac:dyDescent="0.3">
      <c r="B563" s="29"/>
      <c r="C563" s="29"/>
      <c r="D563" s="30"/>
      <c r="E563" s="33"/>
      <c r="F563" s="89"/>
    </row>
    <row r="564" spans="2:6" s="6" customFormat="1" x14ac:dyDescent="0.3">
      <c r="B564" s="29"/>
      <c r="C564" s="29"/>
      <c r="D564" s="30"/>
      <c r="E564" s="33"/>
      <c r="F564" s="89"/>
    </row>
    <row r="565" spans="2:6" s="6" customFormat="1" x14ac:dyDescent="0.3">
      <c r="B565" s="29"/>
      <c r="C565" s="29"/>
      <c r="D565" s="30"/>
      <c r="E565" s="33"/>
      <c r="F565" s="89"/>
    </row>
    <row r="566" spans="2:6" s="6" customFormat="1" x14ac:dyDescent="0.3">
      <c r="B566" s="29"/>
      <c r="C566" s="29"/>
      <c r="D566" s="30"/>
      <c r="E566" s="33"/>
      <c r="F566" s="89"/>
    </row>
    <row r="567" spans="2:6" s="6" customFormat="1" x14ac:dyDescent="0.3">
      <c r="B567" s="29"/>
      <c r="C567" s="29"/>
      <c r="D567" s="30"/>
      <c r="E567" s="33"/>
      <c r="F567" s="89"/>
    </row>
    <row r="568" spans="2:6" s="6" customFormat="1" x14ac:dyDescent="0.3">
      <c r="B568" s="29"/>
      <c r="C568" s="29"/>
      <c r="D568" s="30"/>
      <c r="E568" s="33"/>
      <c r="F568" s="89"/>
    </row>
    <row r="569" spans="2:6" s="6" customFormat="1" x14ac:dyDescent="0.3">
      <c r="B569" s="29"/>
      <c r="C569" s="29"/>
      <c r="D569" s="30"/>
      <c r="E569" s="33"/>
      <c r="F569" s="89"/>
    </row>
    <row r="570" spans="2:6" s="6" customFormat="1" x14ac:dyDescent="0.3">
      <c r="B570" s="29"/>
      <c r="C570" s="29"/>
      <c r="D570" s="30"/>
      <c r="E570" s="33"/>
      <c r="F570" s="89"/>
    </row>
    <row r="571" spans="2:6" s="6" customFormat="1" x14ac:dyDescent="0.3">
      <c r="B571" s="29"/>
      <c r="C571" s="29"/>
      <c r="D571" s="30"/>
      <c r="E571" s="33"/>
      <c r="F571" s="89"/>
    </row>
    <row r="572" spans="2:6" s="6" customFormat="1" x14ac:dyDescent="0.3">
      <c r="B572" s="29"/>
      <c r="C572" s="29"/>
      <c r="D572" s="30"/>
      <c r="E572" s="33"/>
      <c r="F572" s="89"/>
    </row>
    <row r="573" spans="2:6" s="6" customFormat="1" x14ac:dyDescent="0.3">
      <c r="B573" s="29"/>
      <c r="C573" s="29"/>
      <c r="D573" s="30"/>
      <c r="E573" s="33"/>
      <c r="F573" s="89"/>
    </row>
    <row r="574" spans="2:6" s="6" customFormat="1" x14ac:dyDescent="0.3">
      <c r="B574" s="29"/>
      <c r="C574" s="29"/>
      <c r="D574" s="30"/>
      <c r="E574" s="33"/>
      <c r="F574" s="89"/>
    </row>
    <row r="575" spans="2:6" s="6" customFormat="1" x14ac:dyDescent="0.3">
      <c r="B575" s="29"/>
      <c r="C575" s="29"/>
      <c r="D575" s="30"/>
      <c r="E575" s="33"/>
      <c r="F575" s="89"/>
    </row>
    <row r="576" spans="2:6" s="6" customFormat="1" x14ac:dyDescent="0.3">
      <c r="B576" s="29"/>
      <c r="C576" s="29"/>
      <c r="D576" s="30"/>
      <c r="E576" s="33"/>
      <c r="F576" s="89"/>
    </row>
    <row r="577" spans="2:6" s="6" customFormat="1" x14ac:dyDescent="0.3">
      <c r="B577" s="29"/>
      <c r="C577" s="29"/>
      <c r="D577" s="30"/>
      <c r="E577" s="33"/>
      <c r="F577" s="89"/>
    </row>
    <row r="578" spans="2:6" s="6" customFormat="1" x14ac:dyDescent="0.3">
      <c r="B578" s="29"/>
      <c r="C578" s="29"/>
      <c r="D578" s="30"/>
      <c r="E578" s="33"/>
      <c r="F578" s="89"/>
    </row>
    <row r="579" spans="2:6" s="6" customFormat="1" x14ac:dyDescent="0.3">
      <c r="B579" s="29"/>
      <c r="C579" s="29"/>
      <c r="D579" s="30"/>
      <c r="E579" s="33"/>
      <c r="F579" s="89"/>
    </row>
    <row r="580" spans="2:6" s="6" customFormat="1" x14ac:dyDescent="0.3">
      <c r="B580" s="29"/>
      <c r="C580" s="29"/>
      <c r="D580" s="30"/>
      <c r="E580" s="33"/>
      <c r="F580" s="89"/>
    </row>
    <row r="581" spans="2:6" s="6" customFormat="1" x14ac:dyDescent="0.3">
      <c r="B581" s="29"/>
      <c r="C581" s="29"/>
      <c r="D581" s="30"/>
      <c r="E581" s="33"/>
      <c r="F581" s="89"/>
    </row>
    <row r="582" spans="2:6" s="6" customFormat="1" x14ac:dyDescent="0.3">
      <c r="B582" s="29"/>
      <c r="C582" s="29"/>
      <c r="D582" s="30"/>
      <c r="E582" s="33"/>
      <c r="F582" s="89"/>
    </row>
    <row r="583" spans="2:6" s="6" customFormat="1" x14ac:dyDescent="0.3">
      <c r="B583" s="29"/>
      <c r="C583" s="29"/>
      <c r="D583" s="30"/>
      <c r="E583" s="33"/>
      <c r="F583" s="89"/>
    </row>
    <row r="584" spans="2:6" s="6" customFormat="1" x14ac:dyDescent="0.3">
      <c r="B584" s="29"/>
      <c r="C584" s="29"/>
      <c r="D584" s="30"/>
      <c r="E584" s="33"/>
      <c r="F584" s="89"/>
    </row>
    <row r="585" spans="2:6" s="6" customFormat="1" x14ac:dyDescent="0.3">
      <c r="B585" s="29"/>
      <c r="C585" s="29"/>
      <c r="D585" s="30"/>
      <c r="E585" s="33"/>
      <c r="F585" s="89"/>
    </row>
    <row r="586" spans="2:6" s="6" customFormat="1" x14ac:dyDescent="0.3">
      <c r="B586" s="29"/>
      <c r="C586" s="29"/>
      <c r="D586" s="30"/>
      <c r="E586" s="33"/>
      <c r="F586" s="89"/>
    </row>
    <row r="587" spans="2:6" s="6" customFormat="1" x14ac:dyDescent="0.3">
      <c r="B587" s="29"/>
      <c r="C587" s="29"/>
      <c r="D587" s="30"/>
      <c r="E587" s="33"/>
      <c r="F587" s="89"/>
    </row>
    <row r="588" spans="2:6" s="6" customFormat="1" x14ac:dyDescent="0.3">
      <c r="B588" s="29"/>
      <c r="C588" s="29"/>
      <c r="D588" s="30"/>
      <c r="E588" s="33"/>
      <c r="F588" s="89"/>
    </row>
    <row r="589" spans="2:6" s="6" customFormat="1" x14ac:dyDescent="0.3">
      <c r="B589" s="29"/>
      <c r="C589" s="29"/>
      <c r="D589" s="30"/>
      <c r="E589" s="33"/>
      <c r="F589" s="89"/>
    </row>
    <row r="590" spans="2:6" s="6" customFormat="1" x14ac:dyDescent="0.3">
      <c r="B590" s="29"/>
      <c r="C590" s="29"/>
      <c r="D590" s="30"/>
      <c r="E590" s="33"/>
      <c r="F590" s="89"/>
    </row>
    <row r="591" spans="2:6" s="6" customFormat="1" x14ac:dyDescent="0.3">
      <c r="B591" s="29"/>
      <c r="C591" s="29"/>
      <c r="D591" s="30"/>
      <c r="E591" s="33"/>
      <c r="F591" s="89"/>
    </row>
    <row r="592" spans="2:6" s="6" customFormat="1" x14ac:dyDescent="0.3">
      <c r="B592" s="29"/>
      <c r="C592" s="29"/>
      <c r="D592" s="30"/>
      <c r="E592" s="33"/>
      <c r="F592" s="89"/>
    </row>
    <row r="593" spans="2:6" s="6" customFormat="1" x14ac:dyDescent="0.3">
      <c r="B593" s="29"/>
      <c r="C593" s="29"/>
      <c r="D593" s="30"/>
      <c r="E593" s="33"/>
      <c r="F593" s="89"/>
    </row>
    <row r="594" spans="2:6" s="6" customFormat="1" x14ac:dyDescent="0.3">
      <c r="B594" s="29"/>
      <c r="C594" s="29"/>
      <c r="D594" s="30"/>
      <c r="E594" s="33"/>
      <c r="F594" s="89"/>
    </row>
    <row r="595" spans="2:6" s="6" customFormat="1" x14ac:dyDescent="0.3">
      <c r="B595" s="29"/>
      <c r="C595" s="29"/>
      <c r="D595" s="30"/>
      <c r="E595" s="33"/>
      <c r="F595" s="89"/>
    </row>
    <row r="596" spans="2:6" s="6" customFormat="1" x14ac:dyDescent="0.3">
      <c r="B596" s="29"/>
      <c r="C596" s="29"/>
      <c r="D596" s="30"/>
      <c r="E596" s="33"/>
      <c r="F596" s="89"/>
    </row>
    <row r="597" spans="2:6" s="6" customFormat="1" x14ac:dyDescent="0.3">
      <c r="B597" s="29"/>
      <c r="C597" s="29"/>
      <c r="D597" s="30"/>
      <c r="E597" s="33"/>
      <c r="F597" s="89"/>
    </row>
    <row r="598" spans="2:6" s="6" customFormat="1" x14ac:dyDescent="0.3">
      <c r="B598" s="29"/>
      <c r="C598" s="29"/>
      <c r="D598" s="30"/>
      <c r="E598" s="33"/>
      <c r="F598" s="89"/>
    </row>
    <row r="599" spans="2:6" s="6" customFormat="1" x14ac:dyDescent="0.3">
      <c r="B599" s="29"/>
      <c r="C599" s="29"/>
      <c r="D599" s="30"/>
      <c r="E599" s="33"/>
      <c r="F599" s="89"/>
    </row>
    <row r="600" spans="2:6" s="6" customFormat="1" x14ac:dyDescent="0.3">
      <c r="B600" s="29"/>
      <c r="C600" s="29"/>
      <c r="D600" s="30"/>
      <c r="E600" s="33"/>
      <c r="F600" s="89"/>
    </row>
    <row r="601" spans="2:6" s="6" customFormat="1" x14ac:dyDescent="0.3">
      <c r="B601" s="29"/>
      <c r="C601" s="29"/>
      <c r="D601" s="30"/>
      <c r="E601" s="33"/>
      <c r="F601" s="89"/>
    </row>
    <row r="602" spans="2:6" s="6" customFormat="1" x14ac:dyDescent="0.3">
      <c r="B602" s="29"/>
      <c r="C602" s="29"/>
      <c r="D602" s="30"/>
      <c r="E602" s="33"/>
      <c r="F602" s="89"/>
    </row>
    <row r="603" spans="2:6" s="6" customFormat="1" x14ac:dyDescent="0.3">
      <c r="B603" s="29"/>
      <c r="C603" s="29"/>
      <c r="D603" s="30"/>
      <c r="E603" s="33"/>
      <c r="F603" s="89"/>
    </row>
    <row r="604" spans="2:6" s="6" customFormat="1" x14ac:dyDescent="0.3">
      <c r="B604" s="29"/>
      <c r="C604" s="29"/>
      <c r="D604" s="30"/>
      <c r="E604" s="33"/>
      <c r="F604" s="89"/>
    </row>
    <row r="605" spans="2:6" s="6" customFormat="1" x14ac:dyDescent="0.3">
      <c r="B605" s="29"/>
      <c r="C605" s="29"/>
      <c r="D605" s="30"/>
      <c r="E605" s="33"/>
      <c r="F605" s="89"/>
    </row>
    <row r="606" spans="2:6" s="6" customFormat="1" x14ac:dyDescent="0.3">
      <c r="B606" s="29"/>
      <c r="C606" s="29"/>
      <c r="D606" s="30"/>
      <c r="E606" s="33"/>
      <c r="F606" s="89"/>
    </row>
    <row r="607" spans="2:6" s="6" customFormat="1" x14ac:dyDescent="0.3">
      <c r="B607" s="29"/>
      <c r="C607" s="29"/>
      <c r="D607" s="30"/>
      <c r="E607" s="33"/>
      <c r="F607" s="89"/>
    </row>
    <row r="608" spans="2:6" s="6" customFormat="1" x14ac:dyDescent="0.3">
      <c r="B608" s="29"/>
      <c r="C608" s="29"/>
      <c r="D608" s="30"/>
      <c r="E608" s="33"/>
      <c r="F608" s="89"/>
    </row>
    <row r="609" spans="2:6" s="6" customFormat="1" x14ac:dyDescent="0.3">
      <c r="B609" s="29"/>
      <c r="C609" s="29"/>
      <c r="D609" s="30"/>
      <c r="E609" s="33"/>
      <c r="F609" s="89"/>
    </row>
    <row r="610" spans="2:6" s="6" customFormat="1" x14ac:dyDescent="0.3">
      <c r="B610" s="29"/>
      <c r="C610" s="29"/>
      <c r="D610" s="30"/>
      <c r="E610" s="33"/>
      <c r="F610" s="89"/>
    </row>
    <row r="611" spans="2:6" s="6" customFormat="1" x14ac:dyDescent="0.3">
      <c r="B611" s="29"/>
      <c r="C611" s="29"/>
      <c r="D611" s="30"/>
      <c r="E611" s="33"/>
      <c r="F611" s="89"/>
    </row>
    <row r="612" spans="2:6" s="6" customFormat="1" x14ac:dyDescent="0.3">
      <c r="B612" s="29"/>
      <c r="C612" s="29"/>
      <c r="D612" s="30"/>
      <c r="E612" s="33"/>
      <c r="F612" s="89"/>
    </row>
    <row r="613" spans="2:6" s="6" customFormat="1" x14ac:dyDescent="0.3">
      <c r="B613" s="29"/>
      <c r="C613" s="29"/>
      <c r="D613" s="30"/>
      <c r="E613" s="33"/>
      <c r="F613" s="89"/>
    </row>
    <row r="614" spans="2:6" s="6" customFormat="1" x14ac:dyDescent="0.3">
      <c r="B614" s="29"/>
      <c r="C614" s="29"/>
      <c r="D614" s="30"/>
      <c r="E614" s="33"/>
      <c r="F614" s="89"/>
    </row>
    <row r="615" spans="2:6" s="6" customFormat="1" x14ac:dyDescent="0.3">
      <c r="B615" s="29"/>
      <c r="C615" s="29"/>
      <c r="D615" s="30"/>
      <c r="E615" s="33"/>
      <c r="F615" s="89"/>
    </row>
    <row r="616" spans="2:6" s="6" customFormat="1" x14ac:dyDescent="0.3">
      <c r="B616" s="29"/>
      <c r="C616" s="29"/>
      <c r="D616" s="30"/>
      <c r="E616" s="33"/>
      <c r="F616" s="89"/>
    </row>
    <row r="617" spans="2:6" s="6" customFormat="1" x14ac:dyDescent="0.3">
      <c r="B617" s="29"/>
      <c r="C617" s="29"/>
      <c r="D617" s="30"/>
      <c r="E617" s="33"/>
      <c r="F617" s="89"/>
    </row>
    <row r="618" spans="2:6" s="6" customFormat="1" x14ac:dyDescent="0.3">
      <c r="B618" s="29"/>
      <c r="C618" s="29"/>
      <c r="D618" s="30"/>
      <c r="E618" s="33"/>
      <c r="F618" s="89"/>
    </row>
    <row r="619" spans="2:6" s="6" customFormat="1" x14ac:dyDescent="0.3">
      <c r="B619" s="29"/>
      <c r="C619" s="29"/>
      <c r="D619" s="30"/>
      <c r="E619" s="33"/>
      <c r="F619" s="89"/>
    </row>
    <row r="620" spans="2:6" s="6" customFormat="1" x14ac:dyDescent="0.3">
      <c r="B620" s="29"/>
      <c r="C620" s="29"/>
      <c r="D620" s="30"/>
      <c r="E620" s="33"/>
      <c r="F620" s="89"/>
    </row>
    <row r="621" spans="2:6" s="6" customFormat="1" x14ac:dyDescent="0.3">
      <c r="B621" s="29"/>
      <c r="C621" s="29"/>
      <c r="D621" s="30"/>
      <c r="E621" s="33"/>
      <c r="F621" s="89"/>
    </row>
    <row r="622" spans="2:6" s="6" customFormat="1" x14ac:dyDescent="0.3">
      <c r="B622" s="29"/>
      <c r="C622" s="29"/>
      <c r="D622" s="30"/>
      <c r="E622" s="33"/>
      <c r="F622" s="89"/>
    </row>
    <row r="623" spans="2:6" s="6" customFormat="1" x14ac:dyDescent="0.3">
      <c r="B623" s="29"/>
      <c r="C623" s="29"/>
      <c r="D623" s="30"/>
      <c r="E623" s="33"/>
      <c r="F623" s="89"/>
    </row>
    <row r="624" spans="2:6" s="6" customFormat="1" x14ac:dyDescent="0.3">
      <c r="B624" s="29"/>
      <c r="C624" s="29"/>
      <c r="D624" s="30"/>
      <c r="E624" s="33"/>
      <c r="F624" s="89"/>
    </row>
    <row r="625" spans="2:6" s="6" customFormat="1" x14ac:dyDescent="0.3">
      <c r="B625" s="29"/>
      <c r="C625" s="29"/>
      <c r="D625" s="30"/>
      <c r="E625" s="33"/>
      <c r="F625" s="89"/>
    </row>
    <row r="626" spans="2:6" s="6" customFormat="1" x14ac:dyDescent="0.3">
      <c r="B626" s="29"/>
      <c r="C626" s="29"/>
      <c r="D626" s="30"/>
      <c r="E626" s="33"/>
      <c r="F626" s="89"/>
    </row>
    <row r="627" spans="2:6" s="6" customFormat="1" x14ac:dyDescent="0.3">
      <c r="B627" s="29"/>
      <c r="C627" s="29"/>
      <c r="D627" s="30"/>
      <c r="E627" s="33"/>
      <c r="F627" s="89"/>
    </row>
    <row r="628" spans="2:6" s="6" customFormat="1" x14ac:dyDescent="0.3">
      <c r="B628" s="29"/>
      <c r="C628" s="29"/>
      <c r="D628" s="30"/>
      <c r="E628" s="33"/>
      <c r="F628" s="89"/>
    </row>
    <row r="629" spans="2:6" s="6" customFormat="1" x14ac:dyDescent="0.3">
      <c r="B629" s="29"/>
      <c r="C629" s="29"/>
      <c r="D629" s="30"/>
      <c r="E629" s="33"/>
      <c r="F629" s="89"/>
    </row>
    <row r="630" spans="2:6" s="6" customFormat="1" x14ac:dyDescent="0.3">
      <c r="B630" s="29"/>
      <c r="C630" s="29"/>
      <c r="D630" s="30"/>
      <c r="E630" s="33"/>
      <c r="F630" s="89"/>
    </row>
    <row r="631" spans="2:6" s="6" customFormat="1" x14ac:dyDescent="0.3">
      <c r="B631" s="29"/>
      <c r="C631" s="29"/>
      <c r="D631" s="30"/>
      <c r="E631" s="33"/>
      <c r="F631" s="89"/>
    </row>
    <row r="632" spans="2:6" s="6" customFormat="1" x14ac:dyDescent="0.3">
      <c r="B632" s="29"/>
      <c r="C632" s="29"/>
      <c r="D632" s="30"/>
      <c r="E632" s="33"/>
      <c r="F632" s="89"/>
    </row>
    <row r="633" spans="2:6" s="6" customFormat="1" x14ac:dyDescent="0.3">
      <c r="B633" s="29"/>
      <c r="C633" s="29"/>
      <c r="D633" s="30"/>
      <c r="E633" s="33"/>
      <c r="F633" s="89"/>
    </row>
    <row r="634" spans="2:6" s="6" customFormat="1" x14ac:dyDescent="0.3">
      <c r="B634" s="29"/>
      <c r="C634" s="29"/>
      <c r="D634" s="30"/>
      <c r="E634" s="33"/>
      <c r="F634" s="89"/>
    </row>
    <row r="635" spans="2:6" s="6" customFormat="1" x14ac:dyDescent="0.3">
      <c r="B635" s="29"/>
      <c r="C635" s="29"/>
      <c r="D635" s="30"/>
      <c r="E635" s="33"/>
      <c r="F635" s="89"/>
    </row>
    <row r="636" spans="2:6" s="6" customFormat="1" x14ac:dyDescent="0.3">
      <c r="B636" s="29"/>
      <c r="C636" s="29"/>
      <c r="D636" s="30"/>
      <c r="E636" s="33"/>
      <c r="F636" s="89"/>
    </row>
    <row r="637" spans="2:6" s="6" customFormat="1" x14ac:dyDescent="0.3">
      <c r="B637" s="29"/>
      <c r="C637" s="29"/>
      <c r="D637" s="30"/>
      <c r="E637" s="33"/>
      <c r="F637" s="89"/>
    </row>
    <row r="638" spans="2:6" s="6" customFormat="1" x14ac:dyDescent="0.3">
      <c r="B638" s="29"/>
      <c r="C638" s="29"/>
      <c r="D638" s="30"/>
      <c r="E638" s="33"/>
      <c r="F638" s="89"/>
    </row>
    <row r="639" spans="2:6" s="6" customFormat="1" x14ac:dyDescent="0.3">
      <c r="B639" s="29"/>
      <c r="C639" s="29"/>
      <c r="D639" s="30"/>
      <c r="E639" s="33"/>
      <c r="F639" s="89"/>
    </row>
    <row r="640" spans="2:6" s="6" customFormat="1" x14ac:dyDescent="0.3">
      <c r="B640" s="29"/>
      <c r="C640" s="29"/>
      <c r="D640" s="30"/>
      <c r="E640" s="33"/>
      <c r="F640" s="89"/>
    </row>
    <row r="641" spans="2:6" s="6" customFormat="1" x14ac:dyDescent="0.3">
      <c r="B641" s="29"/>
      <c r="C641" s="29"/>
      <c r="D641" s="30"/>
      <c r="E641" s="33"/>
      <c r="F641" s="89"/>
    </row>
    <row r="642" spans="2:6" s="6" customFormat="1" x14ac:dyDescent="0.3">
      <c r="B642" s="29"/>
      <c r="C642" s="29"/>
      <c r="D642" s="30"/>
      <c r="E642" s="33"/>
      <c r="F642" s="89"/>
    </row>
    <row r="643" spans="2:6" s="6" customFormat="1" x14ac:dyDescent="0.3">
      <c r="B643" s="29"/>
      <c r="C643" s="29"/>
      <c r="D643" s="30"/>
      <c r="E643" s="33"/>
      <c r="F643" s="89"/>
    </row>
    <row r="644" spans="2:6" s="6" customFormat="1" x14ac:dyDescent="0.3">
      <c r="B644" s="29"/>
      <c r="C644" s="29"/>
      <c r="D644" s="30"/>
      <c r="E644" s="33"/>
      <c r="F644" s="89"/>
    </row>
    <row r="645" spans="2:6" s="6" customFormat="1" x14ac:dyDescent="0.3">
      <c r="B645" s="29"/>
      <c r="C645" s="29"/>
      <c r="D645" s="30"/>
      <c r="E645" s="33"/>
      <c r="F645" s="89"/>
    </row>
    <row r="646" spans="2:6" s="6" customFormat="1" x14ac:dyDescent="0.3">
      <c r="B646" s="29"/>
      <c r="C646" s="29"/>
      <c r="D646" s="30"/>
      <c r="E646" s="33"/>
      <c r="F646" s="89"/>
    </row>
    <row r="647" spans="2:6" s="6" customFormat="1" x14ac:dyDescent="0.3">
      <c r="B647" s="29"/>
      <c r="C647" s="29"/>
      <c r="D647" s="30"/>
      <c r="E647" s="33"/>
      <c r="F647" s="89"/>
    </row>
    <row r="648" spans="2:6" s="6" customFormat="1" x14ac:dyDescent="0.3">
      <c r="B648" s="29"/>
      <c r="C648" s="29"/>
      <c r="D648" s="30"/>
      <c r="E648" s="33"/>
      <c r="F648" s="89"/>
    </row>
    <row r="649" spans="2:6" s="6" customFormat="1" x14ac:dyDescent="0.3">
      <c r="B649" s="29"/>
      <c r="C649" s="29"/>
      <c r="D649" s="30"/>
      <c r="E649" s="33"/>
      <c r="F649" s="89"/>
    </row>
    <row r="650" spans="2:6" s="6" customFormat="1" x14ac:dyDescent="0.3">
      <c r="B650" s="29"/>
      <c r="C650" s="29"/>
      <c r="D650" s="30"/>
      <c r="E650" s="33"/>
      <c r="F650" s="89"/>
    </row>
    <row r="651" spans="2:6" s="6" customFormat="1" x14ac:dyDescent="0.3">
      <c r="B651" s="29"/>
      <c r="C651" s="29"/>
      <c r="D651" s="30"/>
      <c r="E651" s="33"/>
      <c r="F651" s="89"/>
    </row>
    <row r="652" spans="2:6" s="6" customFormat="1" x14ac:dyDescent="0.3">
      <c r="B652" s="29"/>
      <c r="C652" s="29"/>
      <c r="D652" s="30"/>
      <c r="E652" s="33"/>
      <c r="F652" s="89"/>
    </row>
    <row r="653" spans="2:6" s="6" customFormat="1" x14ac:dyDescent="0.3">
      <c r="B653" s="29"/>
      <c r="C653" s="29"/>
      <c r="D653" s="30"/>
      <c r="E653" s="33"/>
      <c r="F653" s="89"/>
    </row>
    <row r="654" spans="2:6" s="6" customFormat="1" x14ac:dyDescent="0.3">
      <c r="B654" s="29"/>
      <c r="C654" s="29"/>
      <c r="D654" s="30"/>
      <c r="E654" s="33"/>
      <c r="F654" s="89"/>
    </row>
    <row r="655" spans="2:6" s="6" customFormat="1" x14ac:dyDescent="0.3">
      <c r="B655" s="29"/>
      <c r="C655" s="29"/>
      <c r="D655" s="30"/>
      <c r="E655" s="33"/>
      <c r="F655" s="89"/>
    </row>
    <row r="656" spans="2:6" s="6" customFormat="1" x14ac:dyDescent="0.3">
      <c r="B656" s="29"/>
      <c r="C656" s="29"/>
      <c r="D656" s="30"/>
      <c r="E656" s="33"/>
      <c r="F656" s="89"/>
    </row>
    <row r="657" spans="2:6" s="6" customFormat="1" x14ac:dyDescent="0.3">
      <c r="B657" s="29"/>
      <c r="C657" s="29"/>
      <c r="D657" s="30"/>
      <c r="E657" s="33"/>
      <c r="F657" s="89"/>
    </row>
    <row r="658" spans="2:6" s="6" customFormat="1" x14ac:dyDescent="0.3">
      <c r="B658" s="29"/>
      <c r="C658" s="29"/>
      <c r="D658" s="30"/>
      <c r="E658" s="33"/>
      <c r="F658" s="89"/>
    </row>
    <row r="659" spans="2:6" s="6" customFormat="1" x14ac:dyDescent="0.3">
      <c r="B659" s="29"/>
      <c r="C659" s="29"/>
      <c r="D659" s="30"/>
      <c r="E659" s="33"/>
      <c r="F659" s="89"/>
    </row>
    <row r="660" spans="2:6" s="6" customFormat="1" x14ac:dyDescent="0.3">
      <c r="B660" s="29"/>
      <c r="C660" s="29"/>
      <c r="D660" s="30"/>
      <c r="E660" s="33"/>
      <c r="F660" s="89"/>
    </row>
    <row r="661" spans="2:6" s="6" customFormat="1" x14ac:dyDescent="0.3">
      <c r="B661" s="29"/>
      <c r="C661" s="29"/>
      <c r="D661" s="30"/>
      <c r="E661" s="33"/>
      <c r="F661" s="89"/>
    </row>
    <row r="662" spans="2:6" s="6" customFormat="1" x14ac:dyDescent="0.3">
      <c r="B662" s="29"/>
      <c r="C662" s="29"/>
      <c r="D662" s="30"/>
      <c r="E662" s="33"/>
      <c r="F662" s="89"/>
    </row>
    <row r="663" spans="2:6" s="6" customFormat="1" x14ac:dyDescent="0.3">
      <c r="B663" s="29"/>
      <c r="C663" s="29"/>
      <c r="D663" s="30"/>
      <c r="E663" s="33"/>
      <c r="F663" s="89"/>
    </row>
    <row r="664" spans="2:6" s="6" customFormat="1" x14ac:dyDescent="0.3">
      <c r="B664" s="29"/>
      <c r="C664" s="29"/>
      <c r="D664" s="30"/>
      <c r="E664" s="33"/>
      <c r="F664" s="89"/>
    </row>
    <row r="665" spans="2:6" s="6" customFormat="1" x14ac:dyDescent="0.3">
      <c r="B665" s="29"/>
      <c r="C665" s="29"/>
      <c r="D665" s="30"/>
      <c r="E665" s="33"/>
      <c r="F665" s="89"/>
    </row>
    <row r="666" spans="2:6" s="6" customFormat="1" x14ac:dyDescent="0.3">
      <c r="B666" s="29"/>
      <c r="C666" s="29"/>
      <c r="D666" s="30"/>
      <c r="E666" s="33"/>
      <c r="F666" s="89"/>
    </row>
    <row r="667" spans="2:6" s="6" customFormat="1" x14ac:dyDescent="0.3">
      <c r="B667" s="29"/>
      <c r="C667" s="29"/>
      <c r="D667" s="30"/>
      <c r="E667" s="33"/>
      <c r="F667" s="89"/>
    </row>
    <row r="668" spans="2:6" s="6" customFormat="1" x14ac:dyDescent="0.3">
      <c r="B668" s="29"/>
      <c r="C668" s="29"/>
      <c r="D668" s="30"/>
      <c r="E668" s="33"/>
      <c r="F668" s="89"/>
    </row>
    <row r="669" spans="2:6" s="6" customFormat="1" x14ac:dyDescent="0.3">
      <c r="B669" s="29"/>
      <c r="C669" s="29"/>
      <c r="D669" s="30"/>
      <c r="E669" s="33"/>
      <c r="F669" s="89"/>
    </row>
    <row r="670" spans="2:6" s="6" customFormat="1" x14ac:dyDescent="0.3">
      <c r="B670" s="29"/>
      <c r="C670" s="29"/>
      <c r="D670" s="30"/>
      <c r="E670" s="33"/>
      <c r="F670" s="89"/>
    </row>
    <row r="671" spans="2:6" s="6" customFormat="1" x14ac:dyDescent="0.3">
      <c r="B671" s="29"/>
      <c r="C671" s="29"/>
      <c r="D671" s="30"/>
      <c r="E671" s="33"/>
      <c r="F671" s="89"/>
    </row>
    <row r="672" spans="2:6" s="6" customFormat="1" x14ac:dyDescent="0.3">
      <c r="B672" s="29"/>
      <c r="C672" s="29"/>
      <c r="D672" s="30"/>
      <c r="E672" s="33"/>
      <c r="F672" s="89"/>
    </row>
    <row r="673" spans="2:6" s="6" customFormat="1" x14ac:dyDescent="0.3">
      <c r="B673" s="29"/>
      <c r="C673" s="29"/>
      <c r="D673" s="30"/>
      <c r="E673" s="33"/>
      <c r="F673" s="89"/>
    </row>
    <row r="674" spans="2:6" s="6" customFormat="1" x14ac:dyDescent="0.3">
      <c r="B674" s="29"/>
      <c r="C674" s="29"/>
      <c r="D674" s="30"/>
      <c r="E674" s="33"/>
      <c r="F674" s="89"/>
    </row>
    <row r="675" spans="2:6" s="6" customFormat="1" x14ac:dyDescent="0.3">
      <c r="B675" s="29"/>
      <c r="C675" s="29"/>
      <c r="D675" s="30"/>
      <c r="E675" s="33"/>
      <c r="F675" s="89"/>
    </row>
    <row r="676" spans="2:6" s="6" customFormat="1" x14ac:dyDescent="0.3">
      <c r="B676" s="29"/>
      <c r="C676" s="29"/>
      <c r="D676" s="30"/>
      <c r="E676" s="33"/>
      <c r="F676" s="89"/>
    </row>
    <row r="677" spans="2:6" s="6" customFormat="1" x14ac:dyDescent="0.3">
      <c r="B677" s="29"/>
      <c r="C677" s="29"/>
      <c r="D677" s="30"/>
      <c r="E677" s="33"/>
      <c r="F677" s="89"/>
    </row>
    <row r="678" spans="2:6" s="6" customFormat="1" x14ac:dyDescent="0.3">
      <c r="B678" s="29"/>
      <c r="C678" s="29"/>
      <c r="D678" s="30"/>
      <c r="E678" s="33"/>
      <c r="F678" s="89"/>
    </row>
    <row r="679" spans="2:6" s="6" customFormat="1" x14ac:dyDescent="0.3">
      <c r="B679" s="29"/>
      <c r="C679" s="29"/>
      <c r="D679" s="30"/>
      <c r="E679" s="33"/>
      <c r="F679" s="89"/>
    </row>
    <row r="680" spans="2:6" s="6" customFormat="1" x14ac:dyDescent="0.3">
      <c r="B680" s="29"/>
      <c r="C680" s="29"/>
      <c r="D680" s="30"/>
      <c r="E680" s="33"/>
      <c r="F680" s="89"/>
    </row>
    <row r="681" spans="2:6" s="6" customFormat="1" x14ac:dyDescent="0.3">
      <c r="B681" s="29"/>
      <c r="C681" s="29"/>
      <c r="D681" s="30"/>
      <c r="E681" s="33"/>
      <c r="F681" s="89"/>
    </row>
    <row r="682" spans="2:6" s="6" customFormat="1" x14ac:dyDescent="0.3">
      <c r="B682" s="29"/>
      <c r="C682" s="29"/>
      <c r="D682" s="30"/>
      <c r="E682" s="33"/>
      <c r="F682" s="89"/>
    </row>
    <row r="683" spans="2:6" s="6" customFormat="1" x14ac:dyDescent="0.3">
      <c r="B683" s="29"/>
      <c r="C683" s="29"/>
      <c r="D683" s="30"/>
      <c r="E683" s="33"/>
      <c r="F683" s="89"/>
    </row>
    <row r="684" spans="2:6" s="6" customFormat="1" x14ac:dyDescent="0.3">
      <c r="B684" s="29"/>
      <c r="C684" s="29"/>
      <c r="D684" s="30"/>
      <c r="E684" s="33"/>
      <c r="F684" s="89"/>
    </row>
    <row r="685" spans="2:6" s="6" customFormat="1" x14ac:dyDescent="0.3">
      <c r="B685" s="29"/>
      <c r="C685" s="29"/>
      <c r="D685" s="30"/>
      <c r="E685" s="33"/>
      <c r="F685" s="89"/>
    </row>
    <row r="686" spans="2:6" s="6" customFormat="1" x14ac:dyDescent="0.3">
      <c r="B686" s="29"/>
      <c r="C686" s="29"/>
      <c r="D686" s="30"/>
      <c r="E686" s="33"/>
      <c r="F686" s="89"/>
    </row>
    <row r="687" spans="2:6" s="6" customFormat="1" x14ac:dyDescent="0.3">
      <c r="B687" s="29"/>
      <c r="C687" s="29"/>
      <c r="D687" s="30"/>
      <c r="E687" s="33"/>
      <c r="F687" s="89"/>
    </row>
    <row r="688" spans="2:6" s="6" customFormat="1" x14ac:dyDescent="0.3">
      <c r="B688" s="29"/>
      <c r="C688" s="29"/>
      <c r="D688" s="30"/>
      <c r="E688" s="33"/>
      <c r="F688" s="89"/>
    </row>
    <row r="689" spans="2:6" s="6" customFormat="1" x14ac:dyDescent="0.3">
      <c r="B689" s="29"/>
      <c r="C689" s="29"/>
      <c r="D689" s="30"/>
      <c r="E689" s="33"/>
      <c r="F689" s="89"/>
    </row>
    <row r="690" spans="2:6" s="6" customFormat="1" x14ac:dyDescent="0.3">
      <c r="B690" s="29"/>
      <c r="C690" s="29"/>
      <c r="D690" s="30"/>
      <c r="E690" s="33"/>
      <c r="F690" s="89"/>
    </row>
    <row r="691" spans="2:6" s="6" customFormat="1" x14ac:dyDescent="0.3">
      <c r="B691" s="29"/>
      <c r="C691" s="29"/>
      <c r="D691" s="30"/>
      <c r="E691" s="33"/>
      <c r="F691" s="89"/>
    </row>
    <row r="692" spans="2:6" s="6" customFormat="1" x14ac:dyDescent="0.3">
      <c r="B692" s="29"/>
      <c r="C692" s="29"/>
      <c r="D692" s="30"/>
      <c r="E692" s="33"/>
      <c r="F692" s="89"/>
    </row>
    <row r="693" spans="2:6" s="6" customFormat="1" x14ac:dyDescent="0.3">
      <c r="B693" s="29"/>
      <c r="C693" s="29"/>
      <c r="D693" s="30"/>
      <c r="E693" s="33"/>
      <c r="F693" s="89"/>
    </row>
    <row r="694" spans="2:6" s="6" customFormat="1" x14ac:dyDescent="0.3">
      <c r="B694" s="29"/>
      <c r="C694" s="29"/>
      <c r="D694" s="30"/>
      <c r="E694" s="33"/>
      <c r="F694" s="89"/>
    </row>
    <row r="695" spans="2:6" s="6" customFormat="1" x14ac:dyDescent="0.3">
      <c r="B695" s="29"/>
      <c r="C695" s="29"/>
      <c r="D695" s="30"/>
      <c r="E695" s="33"/>
      <c r="F695" s="89"/>
    </row>
    <row r="696" spans="2:6" s="6" customFormat="1" x14ac:dyDescent="0.3">
      <c r="B696" s="29"/>
      <c r="C696" s="29"/>
      <c r="D696" s="30"/>
      <c r="E696" s="33"/>
      <c r="F696" s="89"/>
    </row>
    <row r="697" spans="2:6" s="6" customFormat="1" x14ac:dyDescent="0.3">
      <c r="B697" s="29"/>
      <c r="C697" s="29"/>
      <c r="D697" s="30"/>
      <c r="E697" s="33"/>
      <c r="F697" s="89"/>
    </row>
    <row r="698" spans="2:6" s="6" customFormat="1" x14ac:dyDescent="0.3">
      <c r="B698" s="29"/>
      <c r="C698" s="29"/>
      <c r="D698" s="30"/>
      <c r="E698" s="33"/>
      <c r="F698" s="89"/>
    </row>
    <row r="699" spans="2:6" s="6" customFormat="1" x14ac:dyDescent="0.3">
      <c r="B699" s="29"/>
      <c r="C699" s="29"/>
      <c r="D699" s="30"/>
      <c r="E699" s="33"/>
      <c r="F699" s="89"/>
    </row>
    <row r="700" spans="2:6" s="6" customFormat="1" x14ac:dyDescent="0.3">
      <c r="B700" s="29"/>
      <c r="C700" s="29"/>
      <c r="D700" s="30"/>
      <c r="E700" s="33"/>
      <c r="F700" s="89"/>
    </row>
    <row r="701" spans="2:6" s="6" customFormat="1" x14ac:dyDescent="0.3">
      <c r="B701" s="29"/>
      <c r="C701" s="29"/>
      <c r="D701" s="30"/>
      <c r="E701" s="33"/>
      <c r="F701" s="89"/>
    </row>
    <row r="702" spans="2:6" s="6" customFormat="1" x14ac:dyDescent="0.3">
      <c r="B702" s="29"/>
      <c r="C702" s="29"/>
      <c r="D702" s="30"/>
      <c r="E702" s="33"/>
      <c r="F702" s="89"/>
    </row>
    <row r="703" spans="2:6" s="6" customFormat="1" x14ac:dyDescent="0.3">
      <c r="B703" s="29"/>
      <c r="C703" s="29"/>
      <c r="D703" s="30"/>
      <c r="E703" s="33"/>
      <c r="F703" s="89"/>
    </row>
    <row r="704" spans="2:6" s="6" customFormat="1" x14ac:dyDescent="0.3">
      <c r="B704" s="29"/>
      <c r="C704" s="29"/>
      <c r="D704" s="30"/>
      <c r="E704" s="33"/>
      <c r="F704" s="89"/>
    </row>
    <row r="705" spans="2:6" s="6" customFormat="1" x14ac:dyDescent="0.3">
      <c r="B705" s="29"/>
      <c r="C705" s="29"/>
      <c r="D705" s="30"/>
      <c r="E705" s="33"/>
      <c r="F705" s="89"/>
    </row>
    <row r="706" spans="2:6" s="6" customFormat="1" x14ac:dyDescent="0.3">
      <c r="B706" s="29"/>
      <c r="C706" s="29"/>
      <c r="D706" s="30"/>
      <c r="E706" s="33"/>
      <c r="F706" s="89"/>
    </row>
    <row r="707" spans="2:6" s="6" customFormat="1" x14ac:dyDescent="0.3">
      <c r="B707" s="29"/>
      <c r="C707" s="29"/>
      <c r="D707" s="30"/>
      <c r="E707" s="33"/>
      <c r="F707" s="89"/>
    </row>
    <row r="708" spans="2:6" s="6" customFormat="1" x14ac:dyDescent="0.3">
      <c r="B708" s="29"/>
      <c r="C708" s="29"/>
      <c r="D708" s="30"/>
      <c r="E708" s="33"/>
      <c r="F708" s="89"/>
    </row>
    <row r="709" spans="2:6" s="6" customFormat="1" x14ac:dyDescent="0.3">
      <c r="B709" s="29"/>
      <c r="C709" s="29"/>
      <c r="D709" s="30"/>
      <c r="E709" s="33"/>
      <c r="F709" s="89"/>
    </row>
    <row r="710" spans="2:6" s="6" customFormat="1" x14ac:dyDescent="0.3">
      <c r="B710" s="29"/>
      <c r="C710" s="29"/>
      <c r="D710" s="30"/>
      <c r="E710" s="33"/>
      <c r="F710" s="89"/>
    </row>
    <row r="711" spans="2:6" s="6" customFormat="1" x14ac:dyDescent="0.3">
      <c r="B711" s="29"/>
      <c r="C711" s="29"/>
      <c r="D711" s="30"/>
      <c r="E711" s="33"/>
      <c r="F711" s="89"/>
    </row>
    <row r="712" spans="2:6" s="6" customFormat="1" x14ac:dyDescent="0.3">
      <c r="B712" s="29"/>
      <c r="C712" s="29"/>
      <c r="D712" s="30"/>
      <c r="E712" s="33"/>
      <c r="F712" s="89"/>
    </row>
    <row r="713" spans="2:6" s="6" customFormat="1" x14ac:dyDescent="0.3">
      <c r="B713" s="29"/>
      <c r="C713" s="29"/>
      <c r="D713" s="30"/>
      <c r="E713" s="33"/>
      <c r="F713" s="89"/>
    </row>
    <row r="714" spans="2:6" s="6" customFormat="1" x14ac:dyDescent="0.3">
      <c r="B714" s="29"/>
      <c r="C714" s="29"/>
      <c r="D714" s="30"/>
      <c r="E714" s="33"/>
      <c r="F714" s="89"/>
    </row>
    <row r="715" spans="2:6" s="6" customFormat="1" x14ac:dyDescent="0.3">
      <c r="B715" s="29"/>
      <c r="C715" s="29"/>
      <c r="D715" s="30"/>
      <c r="E715" s="33"/>
      <c r="F715" s="89"/>
    </row>
    <row r="716" spans="2:6" s="6" customFormat="1" x14ac:dyDescent="0.3">
      <c r="B716" s="29"/>
      <c r="C716" s="29"/>
      <c r="D716" s="30"/>
      <c r="E716" s="33"/>
      <c r="F716" s="89"/>
    </row>
    <row r="717" spans="2:6" s="6" customFormat="1" x14ac:dyDescent="0.3">
      <c r="B717" s="29"/>
      <c r="C717" s="29"/>
      <c r="D717" s="30"/>
      <c r="E717" s="33"/>
      <c r="F717" s="89"/>
    </row>
    <row r="718" spans="2:6" s="6" customFormat="1" x14ac:dyDescent="0.3">
      <c r="B718" s="29"/>
      <c r="C718" s="29"/>
      <c r="D718" s="30"/>
      <c r="E718" s="33"/>
      <c r="F718" s="89"/>
    </row>
    <row r="719" spans="2:6" s="6" customFormat="1" x14ac:dyDescent="0.3">
      <c r="B719" s="29"/>
      <c r="C719" s="29"/>
      <c r="D719" s="30"/>
      <c r="E719" s="33"/>
      <c r="F719" s="89"/>
    </row>
    <row r="720" spans="2:6" s="6" customFormat="1" x14ac:dyDescent="0.3">
      <c r="B720" s="29"/>
      <c r="C720" s="29"/>
      <c r="D720" s="30"/>
      <c r="E720" s="33"/>
      <c r="F720" s="89"/>
    </row>
    <row r="721" spans="2:6" s="6" customFormat="1" x14ac:dyDescent="0.3">
      <c r="B721" s="29"/>
      <c r="C721" s="29"/>
      <c r="D721" s="30"/>
      <c r="E721" s="33"/>
      <c r="F721" s="89"/>
    </row>
    <row r="722" spans="2:6" s="6" customFormat="1" x14ac:dyDescent="0.3">
      <c r="B722" s="29"/>
      <c r="C722" s="29"/>
      <c r="D722" s="30"/>
      <c r="E722" s="33"/>
      <c r="F722" s="89"/>
    </row>
    <row r="723" spans="2:6" s="6" customFormat="1" x14ac:dyDescent="0.3">
      <c r="B723" s="29"/>
      <c r="C723" s="29"/>
      <c r="D723" s="30"/>
      <c r="E723" s="33"/>
      <c r="F723" s="89"/>
    </row>
    <row r="724" spans="2:6" s="6" customFormat="1" x14ac:dyDescent="0.3">
      <c r="B724" s="29"/>
      <c r="C724" s="29"/>
      <c r="D724" s="30"/>
      <c r="E724" s="33"/>
      <c r="F724" s="89"/>
    </row>
    <row r="725" spans="2:6" s="6" customFormat="1" x14ac:dyDescent="0.3">
      <c r="B725" s="29"/>
      <c r="C725" s="29"/>
      <c r="D725" s="30"/>
      <c r="E725" s="33"/>
      <c r="F725" s="89"/>
    </row>
    <row r="726" spans="2:6" s="6" customFormat="1" x14ac:dyDescent="0.3">
      <c r="B726" s="29"/>
      <c r="C726" s="29"/>
      <c r="D726" s="30"/>
      <c r="E726" s="33"/>
      <c r="F726" s="89"/>
    </row>
    <row r="727" spans="2:6" s="6" customFormat="1" x14ac:dyDescent="0.3">
      <c r="B727" s="29"/>
      <c r="C727" s="29"/>
      <c r="D727" s="30"/>
      <c r="E727" s="33"/>
      <c r="F727" s="89"/>
    </row>
    <row r="728" spans="2:6" s="6" customFormat="1" x14ac:dyDescent="0.3">
      <c r="B728" s="29"/>
      <c r="C728" s="29"/>
      <c r="D728" s="30"/>
      <c r="E728" s="33"/>
      <c r="F728" s="89"/>
    </row>
    <row r="729" spans="2:6" s="6" customFormat="1" x14ac:dyDescent="0.3">
      <c r="B729" s="29"/>
      <c r="C729" s="29"/>
      <c r="D729" s="30"/>
      <c r="E729" s="33"/>
      <c r="F729" s="89"/>
    </row>
    <row r="730" spans="2:6" s="6" customFormat="1" x14ac:dyDescent="0.3">
      <c r="B730" s="29"/>
      <c r="C730" s="29"/>
      <c r="D730" s="30"/>
      <c r="E730" s="33"/>
      <c r="F730" s="89"/>
    </row>
    <row r="731" spans="2:6" s="6" customFormat="1" x14ac:dyDescent="0.3">
      <c r="B731" s="29"/>
      <c r="C731" s="29"/>
      <c r="D731" s="30"/>
      <c r="E731" s="33"/>
      <c r="F731" s="89"/>
    </row>
    <row r="732" spans="2:6" s="6" customFormat="1" x14ac:dyDescent="0.3">
      <c r="B732" s="29"/>
      <c r="C732" s="29"/>
      <c r="D732" s="30"/>
      <c r="E732" s="33"/>
      <c r="F732" s="89"/>
    </row>
    <row r="733" spans="2:6" s="6" customFormat="1" x14ac:dyDescent="0.3">
      <c r="B733" s="29"/>
      <c r="C733" s="29"/>
      <c r="D733" s="30"/>
      <c r="E733" s="33"/>
      <c r="F733" s="89"/>
    </row>
    <row r="734" spans="2:6" s="6" customFormat="1" x14ac:dyDescent="0.3">
      <c r="B734" s="29"/>
      <c r="C734" s="29"/>
      <c r="D734" s="30"/>
      <c r="E734" s="33"/>
      <c r="F734" s="89"/>
    </row>
    <row r="735" spans="2:6" s="6" customFormat="1" x14ac:dyDescent="0.3">
      <c r="B735" s="29"/>
      <c r="C735" s="29"/>
      <c r="D735" s="30"/>
      <c r="E735" s="33"/>
      <c r="F735" s="89"/>
    </row>
    <row r="736" spans="2:6" s="6" customFormat="1" x14ac:dyDescent="0.3">
      <c r="B736" s="29"/>
      <c r="C736" s="29"/>
      <c r="D736" s="30"/>
      <c r="E736" s="33"/>
      <c r="F736" s="89"/>
    </row>
    <row r="737" spans="2:6" s="6" customFormat="1" x14ac:dyDescent="0.3">
      <c r="B737" s="29"/>
      <c r="C737" s="29"/>
      <c r="D737" s="30"/>
      <c r="E737" s="33"/>
      <c r="F737" s="89"/>
    </row>
    <row r="738" spans="2:6" s="6" customFormat="1" x14ac:dyDescent="0.3">
      <c r="B738" s="29"/>
      <c r="C738" s="29"/>
      <c r="D738" s="30"/>
      <c r="E738" s="33"/>
      <c r="F738" s="89"/>
    </row>
    <row r="739" spans="2:6" s="6" customFormat="1" x14ac:dyDescent="0.3">
      <c r="B739" s="29"/>
      <c r="C739" s="29"/>
      <c r="D739" s="30"/>
      <c r="E739" s="33"/>
      <c r="F739" s="89"/>
    </row>
    <row r="740" spans="2:6" s="6" customFormat="1" x14ac:dyDescent="0.3">
      <c r="B740" s="29"/>
      <c r="C740" s="29"/>
      <c r="D740" s="30"/>
      <c r="E740" s="33"/>
      <c r="F740" s="89"/>
    </row>
    <row r="741" spans="2:6" s="6" customFormat="1" x14ac:dyDescent="0.3">
      <c r="B741" s="29"/>
      <c r="C741" s="29"/>
      <c r="D741" s="30"/>
      <c r="E741" s="33"/>
      <c r="F741" s="89"/>
    </row>
    <row r="742" spans="2:6" s="6" customFormat="1" x14ac:dyDescent="0.3">
      <c r="B742" s="29"/>
      <c r="C742" s="29"/>
      <c r="D742" s="30"/>
      <c r="E742" s="33"/>
      <c r="F742" s="89"/>
    </row>
    <row r="743" spans="2:6" s="6" customFormat="1" x14ac:dyDescent="0.3">
      <c r="B743" s="29"/>
      <c r="C743" s="29"/>
      <c r="D743" s="30"/>
      <c r="E743" s="33"/>
      <c r="F743" s="89"/>
    </row>
    <row r="744" spans="2:6" s="6" customFormat="1" x14ac:dyDescent="0.3">
      <c r="B744" s="29"/>
      <c r="C744" s="29"/>
      <c r="D744" s="30"/>
      <c r="E744" s="33"/>
      <c r="F744" s="89"/>
    </row>
    <row r="745" spans="2:6" s="6" customFormat="1" x14ac:dyDescent="0.3">
      <c r="B745" s="29"/>
      <c r="C745" s="29"/>
      <c r="D745" s="30"/>
      <c r="E745" s="33"/>
      <c r="F745" s="89"/>
    </row>
    <row r="746" spans="2:6" s="6" customFormat="1" x14ac:dyDescent="0.3">
      <c r="B746" s="29"/>
      <c r="C746" s="29"/>
      <c r="D746" s="30"/>
      <c r="E746" s="33"/>
      <c r="F746" s="89"/>
    </row>
    <row r="747" spans="2:6" s="6" customFormat="1" x14ac:dyDescent="0.3">
      <c r="B747" s="29"/>
      <c r="C747" s="29"/>
      <c r="D747" s="30"/>
      <c r="E747" s="33"/>
      <c r="F747" s="89"/>
    </row>
    <row r="748" spans="2:6" s="6" customFormat="1" x14ac:dyDescent="0.3">
      <c r="B748" s="29"/>
      <c r="C748" s="29"/>
      <c r="D748" s="30"/>
      <c r="E748" s="33"/>
      <c r="F748" s="89"/>
    </row>
    <row r="749" spans="2:6" s="6" customFormat="1" x14ac:dyDescent="0.3">
      <c r="B749" s="29"/>
      <c r="C749" s="29"/>
      <c r="D749" s="30"/>
      <c r="E749" s="33"/>
      <c r="F749" s="89"/>
    </row>
    <row r="750" spans="2:6" s="6" customFormat="1" x14ac:dyDescent="0.3">
      <c r="B750" s="29"/>
      <c r="C750" s="29"/>
      <c r="D750" s="30"/>
      <c r="E750" s="33"/>
      <c r="F750" s="89"/>
    </row>
    <row r="751" spans="2:6" s="6" customFormat="1" x14ac:dyDescent="0.3">
      <c r="B751" s="29"/>
      <c r="C751" s="29"/>
      <c r="D751" s="30"/>
      <c r="E751" s="33"/>
      <c r="F751" s="89"/>
    </row>
    <row r="752" spans="2:6" s="6" customFormat="1" x14ac:dyDescent="0.3">
      <c r="B752" s="29"/>
      <c r="C752" s="29"/>
      <c r="D752" s="30"/>
      <c r="E752" s="33"/>
      <c r="F752" s="89"/>
    </row>
    <row r="753" spans="2:6" s="6" customFormat="1" x14ac:dyDescent="0.3">
      <c r="B753" s="29"/>
      <c r="C753" s="29"/>
      <c r="D753" s="30"/>
      <c r="E753" s="33"/>
      <c r="F753" s="89"/>
    </row>
    <row r="754" spans="2:6" s="6" customFormat="1" x14ac:dyDescent="0.3">
      <c r="B754" s="29"/>
      <c r="C754" s="29"/>
      <c r="D754" s="30"/>
      <c r="E754" s="33"/>
      <c r="F754" s="89"/>
    </row>
    <row r="755" spans="2:6" s="6" customFormat="1" x14ac:dyDescent="0.3">
      <c r="B755" s="29"/>
      <c r="C755" s="29"/>
      <c r="D755" s="30"/>
      <c r="E755" s="33"/>
      <c r="F755" s="89"/>
    </row>
    <row r="756" spans="2:6" s="6" customFormat="1" x14ac:dyDescent="0.3">
      <c r="B756" s="29"/>
      <c r="C756" s="29"/>
      <c r="D756" s="30"/>
      <c r="E756" s="33"/>
      <c r="F756" s="89"/>
    </row>
    <row r="757" spans="2:6" s="6" customFormat="1" x14ac:dyDescent="0.3">
      <c r="B757" s="29"/>
      <c r="C757" s="29"/>
      <c r="D757" s="30"/>
      <c r="E757" s="33"/>
      <c r="F757" s="89"/>
    </row>
    <row r="758" spans="2:6" s="6" customFormat="1" x14ac:dyDescent="0.3">
      <c r="B758" s="29"/>
      <c r="C758" s="29"/>
      <c r="D758" s="30"/>
      <c r="E758" s="33"/>
      <c r="F758" s="89"/>
    </row>
    <row r="759" spans="2:6" s="6" customFormat="1" x14ac:dyDescent="0.3">
      <c r="B759" s="29"/>
      <c r="C759" s="29"/>
      <c r="D759" s="30"/>
      <c r="E759" s="33"/>
      <c r="F759" s="89"/>
    </row>
    <row r="760" spans="2:6" s="6" customFormat="1" x14ac:dyDescent="0.3">
      <c r="B760" s="29"/>
      <c r="C760" s="29"/>
      <c r="D760" s="30"/>
      <c r="E760" s="33"/>
      <c r="F760" s="89"/>
    </row>
    <row r="761" spans="2:6" s="6" customFormat="1" x14ac:dyDescent="0.3">
      <c r="B761" s="29"/>
      <c r="C761" s="29"/>
      <c r="D761" s="30"/>
      <c r="E761" s="33"/>
      <c r="F761" s="89"/>
    </row>
    <row r="762" spans="2:6" s="6" customFormat="1" x14ac:dyDescent="0.3">
      <c r="B762" s="29"/>
      <c r="C762" s="29"/>
      <c r="D762" s="30"/>
      <c r="E762" s="33"/>
      <c r="F762" s="89"/>
    </row>
    <row r="763" spans="2:6" s="6" customFormat="1" x14ac:dyDescent="0.3">
      <c r="B763" s="29"/>
      <c r="C763" s="29"/>
      <c r="D763" s="30"/>
      <c r="E763" s="33"/>
      <c r="F763" s="89"/>
    </row>
    <row r="764" spans="2:6" s="6" customFormat="1" x14ac:dyDescent="0.3">
      <c r="B764" s="29"/>
      <c r="C764" s="29"/>
      <c r="D764" s="30"/>
      <c r="E764" s="33"/>
      <c r="F764" s="89"/>
    </row>
    <row r="765" spans="2:6" s="6" customFormat="1" x14ac:dyDescent="0.3">
      <c r="B765" s="29"/>
      <c r="C765" s="29"/>
      <c r="D765" s="30"/>
      <c r="E765" s="33"/>
      <c r="F765" s="89"/>
    </row>
    <row r="766" spans="2:6" s="6" customFormat="1" x14ac:dyDescent="0.3">
      <c r="B766" s="29"/>
      <c r="C766" s="29"/>
      <c r="D766" s="30"/>
      <c r="E766" s="33"/>
      <c r="F766" s="89"/>
    </row>
    <row r="767" spans="2:6" s="6" customFormat="1" x14ac:dyDescent="0.3">
      <c r="B767" s="29"/>
      <c r="C767" s="29"/>
      <c r="D767" s="30"/>
      <c r="E767" s="33"/>
      <c r="F767" s="89"/>
    </row>
    <row r="768" spans="2:6" s="6" customFormat="1" x14ac:dyDescent="0.3">
      <c r="B768" s="29"/>
      <c r="C768" s="29"/>
      <c r="D768" s="30"/>
      <c r="E768" s="33"/>
      <c r="F768" s="89"/>
    </row>
    <row r="769" spans="2:6" s="6" customFormat="1" x14ac:dyDescent="0.3">
      <c r="B769" s="29"/>
      <c r="C769" s="29"/>
      <c r="D769" s="30"/>
      <c r="E769" s="33"/>
      <c r="F769" s="89"/>
    </row>
    <row r="770" spans="2:6" s="6" customFormat="1" x14ac:dyDescent="0.3">
      <c r="B770" s="29"/>
      <c r="C770" s="29"/>
      <c r="D770" s="30"/>
      <c r="E770" s="33"/>
      <c r="F770" s="89"/>
    </row>
    <row r="771" spans="2:6" s="6" customFormat="1" x14ac:dyDescent="0.3">
      <c r="B771" s="29"/>
      <c r="C771" s="29"/>
      <c r="D771" s="30"/>
      <c r="E771" s="33"/>
      <c r="F771" s="89"/>
    </row>
    <row r="772" spans="2:6" s="6" customFormat="1" x14ac:dyDescent="0.3">
      <c r="B772" s="29"/>
      <c r="C772" s="29"/>
      <c r="D772" s="30"/>
      <c r="E772" s="33"/>
      <c r="F772" s="89"/>
    </row>
    <row r="773" spans="2:6" s="6" customFormat="1" x14ac:dyDescent="0.3">
      <c r="B773" s="29"/>
      <c r="C773" s="29"/>
      <c r="D773" s="30"/>
      <c r="E773" s="33"/>
      <c r="F773" s="89"/>
    </row>
    <row r="774" spans="2:6" s="6" customFormat="1" x14ac:dyDescent="0.3">
      <c r="B774" s="29"/>
      <c r="C774" s="29"/>
      <c r="D774" s="30"/>
      <c r="E774" s="33"/>
      <c r="F774" s="89"/>
    </row>
    <row r="775" spans="2:6" s="6" customFormat="1" x14ac:dyDescent="0.3">
      <c r="B775" s="29"/>
      <c r="C775" s="29"/>
      <c r="D775" s="30"/>
      <c r="E775" s="33"/>
      <c r="F775" s="89"/>
    </row>
    <row r="776" spans="2:6" s="6" customFormat="1" x14ac:dyDescent="0.3">
      <c r="B776" s="29"/>
      <c r="C776" s="29"/>
      <c r="D776" s="30"/>
      <c r="E776" s="33"/>
      <c r="F776" s="89"/>
    </row>
    <row r="777" spans="2:6" s="6" customFormat="1" x14ac:dyDescent="0.3">
      <c r="B777" s="29"/>
      <c r="C777" s="29"/>
      <c r="D777" s="30"/>
      <c r="E777" s="33"/>
      <c r="F777" s="89"/>
    </row>
    <row r="778" spans="2:6" s="6" customFormat="1" x14ac:dyDescent="0.3">
      <c r="B778" s="29"/>
      <c r="C778" s="29"/>
      <c r="D778" s="30"/>
      <c r="E778" s="33"/>
      <c r="F778" s="89"/>
    </row>
    <row r="779" spans="2:6" s="6" customFormat="1" x14ac:dyDescent="0.3">
      <c r="B779" s="29"/>
      <c r="C779" s="29"/>
      <c r="D779" s="30"/>
      <c r="E779" s="33"/>
      <c r="F779" s="89"/>
    </row>
    <row r="780" spans="2:6" s="6" customFormat="1" x14ac:dyDescent="0.3">
      <c r="B780" s="29"/>
      <c r="C780" s="29"/>
      <c r="D780" s="30"/>
      <c r="E780" s="33"/>
      <c r="F780" s="89"/>
    </row>
    <row r="781" spans="2:6" s="6" customFormat="1" x14ac:dyDescent="0.3">
      <c r="B781" s="29"/>
      <c r="C781" s="29"/>
      <c r="D781" s="30"/>
      <c r="E781" s="33"/>
      <c r="F781" s="89"/>
    </row>
    <row r="782" spans="2:6" s="6" customFormat="1" x14ac:dyDescent="0.3">
      <c r="B782" s="29"/>
      <c r="C782" s="29"/>
      <c r="D782" s="30"/>
      <c r="E782" s="33"/>
      <c r="F782" s="89"/>
    </row>
    <row r="783" spans="2:6" s="6" customFormat="1" x14ac:dyDescent="0.3">
      <c r="B783" s="29"/>
      <c r="C783" s="29"/>
      <c r="D783" s="30"/>
      <c r="E783" s="33"/>
      <c r="F783" s="89"/>
    </row>
    <row r="784" spans="2:6" s="6" customFormat="1" x14ac:dyDescent="0.3">
      <c r="B784" s="29"/>
      <c r="C784" s="29"/>
      <c r="D784" s="30"/>
      <c r="E784" s="33"/>
      <c r="F784" s="89"/>
    </row>
    <row r="785" spans="2:6" s="6" customFormat="1" x14ac:dyDescent="0.3">
      <c r="B785" s="29"/>
      <c r="C785" s="29"/>
      <c r="D785" s="30"/>
      <c r="E785" s="33"/>
      <c r="F785" s="89"/>
    </row>
    <row r="786" spans="2:6" s="6" customFormat="1" x14ac:dyDescent="0.3">
      <c r="B786" s="29"/>
      <c r="C786" s="29"/>
      <c r="D786" s="30"/>
      <c r="E786" s="33"/>
      <c r="F786" s="89"/>
    </row>
    <row r="787" spans="2:6" s="6" customFormat="1" x14ac:dyDescent="0.3">
      <c r="B787" s="29"/>
      <c r="C787" s="29"/>
      <c r="D787" s="30"/>
      <c r="E787" s="33"/>
      <c r="F787" s="89"/>
    </row>
    <row r="788" spans="2:6" s="6" customFormat="1" x14ac:dyDescent="0.3">
      <c r="B788" s="29"/>
      <c r="C788" s="29"/>
      <c r="D788" s="30"/>
      <c r="E788" s="33"/>
      <c r="F788" s="89"/>
    </row>
    <row r="789" spans="2:6" s="6" customFormat="1" x14ac:dyDescent="0.3">
      <c r="B789" s="29"/>
      <c r="C789" s="29"/>
      <c r="D789" s="30"/>
      <c r="E789" s="33"/>
      <c r="F789" s="89"/>
    </row>
    <row r="790" spans="2:6" s="6" customFormat="1" x14ac:dyDescent="0.3">
      <c r="B790" s="29"/>
      <c r="C790" s="29"/>
      <c r="D790" s="30"/>
      <c r="E790" s="33"/>
      <c r="F790" s="89"/>
    </row>
    <row r="791" spans="2:6" s="6" customFormat="1" x14ac:dyDescent="0.3">
      <c r="B791" s="29"/>
      <c r="C791" s="29"/>
      <c r="D791" s="30"/>
      <c r="E791" s="33"/>
      <c r="F791" s="89"/>
    </row>
    <row r="792" spans="2:6" s="6" customFormat="1" x14ac:dyDescent="0.3">
      <c r="B792" s="29"/>
      <c r="C792" s="29"/>
      <c r="D792" s="30"/>
      <c r="E792" s="33"/>
      <c r="F792" s="89"/>
    </row>
    <row r="793" spans="2:6" s="6" customFormat="1" x14ac:dyDescent="0.3">
      <c r="B793" s="29"/>
      <c r="C793" s="29"/>
      <c r="D793" s="30"/>
      <c r="E793" s="33"/>
      <c r="F793" s="89"/>
    </row>
    <row r="794" spans="2:6" s="6" customFormat="1" x14ac:dyDescent="0.3">
      <c r="B794" s="29"/>
      <c r="C794" s="29"/>
      <c r="D794" s="30"/>
      <c r="E794" s="33"/>
      <c r="F794" s="89"/>
    </row>
    <row r="795" spans="2:6" s="6" customFormat="1" x14ac:dyDescent="0.3">
      <c r="B795" s="29"/>
      <c r="C795" s="29"/>
      <c r="D795" s="30"/>
      <c r="E795" s="33"/>
      <c r="F795" s="89"/>
    </row>
    <row r="796" spans="2:6" s="6" customFormat="1" x14ac:dyDescent="0.3">
      <c r="B796" s="29"/>
      <c r="C796" s="29"/>
      <c r="D796" s="30"/>
      <c r="E796" s="33"/>
      <c r="F796" s="89"/>
    </row>
    <row r="797" spans="2:6" s="6" customFormat="1" x14ac:dyDescent="0.3">
      <c r="B797" s="29"/>
      <c r="C797" s="29"/>
      <c r="D797" s="30"/>
      <c r="E797" s="33"/>
      <c r="F797" s="89"/>
    </row>
    <row r="798" spans="2:6" s="6" customFormat="1" x14ac:dyDescent="0.3">
      <c r="B798" s="29"/>
      <c r="C798" s="29"/>
      <c r="D798" s="30"/>
      <c r="E798" s="33"/>
      <c r="F798" s="89"/>
    </row>
    <row r="799" spans="2:6" s="6" customFormat="1" x14ac:dyDescent="0.3">
      <c r="B799" s="29"/>
      <c r="C799" s="29"/>
      <c r="D799" s="30"/>
      <c r="E799" s="33"/>
      <c r="F799" s="89"/>
    </row>
    <row r="800" spans="2:6" s="6" customFormat="1" x14ac:dyDescent="0.3">
      <c r="B800" s="29"/>
      <c r="C800" s="29"/>
      <c r="D800" s="30"/>
      <c r="E800" s="33"/>
      <c r="F800" s="89"/>
    </row>
    <row r="801" spans="2:6" s="6" customFormat="1" x14ac:dyDescent="0.3">
      <c r="B801" s="29"/>
      <c r="C801" s="29"/>
      <c r="D801" s="30"/>
      <c r="E801" s="33"/>
      <c r="F801" s="89"/>
    </row>
    <row r="802" spans="2:6" s="6" customFormat="1" x14ac:dyDescent="0.3">
      <c r="B802" s="29"/>
      <c r="C802" s="29"/>
      <c r="D802" s="30"/>
      <c r="E802" s="33"/>
      <c r="F802" s="89"/>
    </row>
    <row r="803" spans="2:6" s="6" customFormat="1" x14ac:dyDescent="0.3">
      <c r="B803" s="29"/>
      <c r="C803" s="29"/>
      <c r="D803" s="30"/>
      <c r="E803" s="33"/>
      <c r="F803" s="89"/>
    </row>
    <row r="804" spans="2:6" s="6" customFormat="1" x14ac:dyDescent="0.3">
      <c r="B804" s="29"/>
      <c r="C804" s="29"/>
      <c r="D804" s="30"/>
      <c r="E804" s="33"/>
      <c r="F804" s="89"/>
    </row>
    <row r="805" spans="2:6" s="6" customFormat="1" x14ac:dyDescent="0.3">
      <c r="B805" s="29"/>
      <c r="C805" s="29"/>
      <c r="D805" s="30"/>
      <c r="E805" s="33"/>
      <c r="F805" s="89"/>
    </row>
    <row r="806" spans="2:6" s="6" customFormat="1" x14ac:dyDescent="0.3">
      <c r="B806" s="29"/>
      <c r="C806" s="29"/>
      <c r="D806" s="30"/>
      <c r="E806" s="33"/>
      <c r="F806" s="89"/>
    </row>
    <row r="807" spans="2:6" s="6" customFormat="1" x14ac:dyDescent="0.3">
      <c r="B807" s="29"/>
      <c r="C807" s="29"/>
      <c r="D807" s="30"/>
      <c r="E807" s="33"/>
      <c r="F807" s="89"/>
    </row>
    <row r="808" spans="2:6" s="6" customFormat="1" x14ac:dyDescent="0.3">
      <c r="B808" s="29"/>
      <c r="C808" s="29"/>
      <c r="D808" s="30"/>
      <c r="E808" s="33"/>
      <c r="F808" s="89"/>
    </row>
    <row r="809" spans="2:6" s="6" customFormat="1" x14ac:dyDescent="0.3">
      <c r="B809" s="29"/>
      <c r="C809" s="29"/>
      <c r="D809" s="30"/>
      <c r="E809" s="33"/>
      <c r="F809" s="89"/>
    </row>
    <row r="810" spans="2:6" s="6" customFormat="1" x14ac:dyDescent="0.3">
      <c r="B810" s="29"/>
      <c r="C810" s="29"/>
      <c r="D810" s="30"/>
      <c r="E810" s="33"/>
      <c r="F810" s="89"/>
    </row>
    <row r="811" spans="2:6" s="6" customFormat="1" x14ac:dyDescent="0.3">
      <c r="B811" s="29"/>
      <c r="C811" s="29"/>
      <c r="D811" s="30"/>
      <c r="E811" s="33"/>
      <c r="F811" s="89"/>
    </row>
    <row r="812" spans="2:6" s="6" customFormat="1" x14ac:dyDescent="0.3">
      <c r="B812" s="29"/>
      <c r="C812" s="29"/>
      <c r="D812" s="30"/>
      <c r="E812" s="33"/>
      <c r="F812" s="89"/>
    </row>
    <row r="813" spans="2:6" s="6" customFormat="1" x14ac:dyDescent="0.3">
      <c r="B813" s="29"/>
      <c r="C813" s="29"/>
      <c r="D813" s="30"/>
      <c r="E813" s="33"/>
      <c r="F813" s="89"/>
    </row>
    <row r="814" spans="2:6" s="6" customFormat="1" x14ac:dyDescent="0.3">
      <c r="B814" s="29"/>
      <c r="C814" s="29"/>
      <c r="D814" s="30"/>
      <c r="E814" s="33"/>
      <c r="F814" s="89"/>
    </row>
    <row r="815" spans="2:6" s="6" customFormat="1" x14ac:dyDescent="0.3">
      <c r="B815" s="29"/>
      <c r="C815" s="29"/>
      <c r="D815" s="30"/>
      <c r="E815" s="33"/>
      <c r="F815" s="89"/>
    </row>
    <row r="816" spans="2:6" s="6" customFormat="1" x14ac:dyDescent="0.3">
      <c r="B816" s="29"/>
      <c r="C816" s="29"/>
      <c r="D816" s="30"/>
      <c r="E816" s="33"/>
      <c r="F816" s="89"/>
    </row>
    <row r="817" spans="2:6" s="6" customFormat="1" x14ac:dyDescent="0.3">
      <c r="B817" s="29"/>
      <c r="C817" s="29"/>
      <c r="D817" s="30"/>
      <c r="E817" s="33"/>
      <c r="F817" s="89"/>
    </row>
    <row r="818" spans="2:6" s="6" customFormat="1" x14ac:dyDescent="0.3">
      <c r="B818" s="29"/>
      <c r="C818" s="29"/>
      <c r="D818" s="30"/>
      <c r="E818" s="33"/>
      <c r="F818" s="89"/>
    </row>
    <row r="819" spans="2:6" s="6" customFormat="1" x14ac:dyDescent="0.3">
      <c r="B819" s="29"/>
      <c r="C819" s="29"/>
      <c r="D819" s="30"/>
      <c r="E819" s="33"/>
      <c r="F819" s="89"/>
    </row>
    <row r="820" spans="2:6" s="6" customFormat="1" x14ac:dyDescent="0.3">
      <c r="B820" s="29"/>
      <c r="C820" s="29"/>
      <c r="D820" s="30"/>
      <c r="E820" s="33"/>
      <c r="F820" s="89"/>
    </row>
    <row r="821" spans="2:6" s="6" customFormat="1" x14ac:dyDescent="0.3">
      <c r="B821" s="29"/>
      <c r="C821" s="29"/>
      <c r="D821" s="30"/>
      <c r="E821" s="33"/>
      <c r="F821" s="89"/>
    </row>
    <row r="822" spans="2:6" s="6" customFormat="1" x14ac:dyDescent="0.3">
      <c r="B822" s="29"/>
      <c r="C822" s="29"/>
      <c r="D822" s="30"/>
      <c r="E822" s="33"/>
      <c r="F822" s="89"/>
    </row>
    <row r="823" spans="2:6" s="6" customFormat="1" x14ac:dyDescent="0.3">
      <c r="B823" s="29"/>
      <c r="C823" s="29"/>
      <c r="D823" s="30"/>
      <c r="E823" s="33"/>
      <c r="F823" s="89"/>
    </row>
    <row r="824" spans="2:6" s="6" customFormat="1" x14ac:dyDescent="0.3">
      <c r="B824" s="29"/>
      <c r="C824" s="29"/>
      <c r="D824" s="30"/>
      <c r="E824" s="33"/>
      <c r="F824" s="89"/>
    </row>
    <row r="825" spans="2:6" s="6" customFormat="1" x14ac:dyDescent="0.3">
      <c r="B825" s="29"/>
      <c r="C825" s="29"/>
      <c r="D825" s="30"/>
      <c r="E825" s="33"/>
      <c r="F825" s="89"/>
    </row>
    <row r="826" spans="2:6" s="6" customFormat="1" x14ac:dyDescent="0.3">
      <c r="B826" s="29"/>
      <c r="C826" s="29"/>
      <c r="D826" s="30"/>
      <c r="E826" s="33"/>
      <c r="F826" s="89"/>
    </row>
    <row r="827" spans="2:6" s="6" customFormat="1" x14ac:dyDescent="0.3">
      <c r="B827" s="29"/>
      <c r="C827" s="29"/>
      <c r="D827" s="30"/>
      <c r="E827" s="33"/>
      <c r="F827" s="89"/>
    </row>
    <row r="828" spans="2:6" s="6" customFormat="1" x14ac:dyDescent="0.3">
      <c r="B828" s="29"/>
      <c r="C828" s="29"/>
      <c r="D828" s="30"/>
      <c r="E828" s="33"/>
      <c r="F828" s="89"/>
    </row>
    <row r="829" spans="2:6" s="6" customFormat="1" x14ac:dyDescent="0.3">
      <c r="B829" s="29"/>
      <c r="C829" s="29"/>
      <c r="D829" s="30"/>
      <c r="E829" s="33"/>
      <c r="F829" s="89"/>
    </row>
    <row r="830" spans="2:6" s="6" customFormat="1" x14ac:dyDescent="0.3">
      <c r="B830" s="29"/>
      <c r="C830" s="29"/>
      <c r="D830" s="30"/>
      <c r="E830" s="33"/>
      <c r="F830" s="89"/>
    </row>
    <row r="831" spans="2:6" s="6" customFormat="1" x14ac:dyDescent="0.3">
      <c r="B831" s="29"/>
      <c r="C831" s="29"/>
      <c r="D831" s="30"/>
      <c r="E831" s="33"/>
      <c r="F831" s="89"/>
    </row>
    <row r="832" spans="2:6" s="6" customFormat="1" x14ac:dyDescent="0.3">
      <c r="B832" s="29"/>
      <c r="C832" s="29"/>
      <c r="D832" s="30"/>
      <c r="E832" s="33"/>
      <c r="F832" s="89"/>
    </row>
    <row r="833" spans="2:6" s="6" customFormat="1" x14ac:dyDescent="0.3">
      <c r="B833" s="29"/>
      <c r="C833" s="29"/>
      <c r="D833" s="30"/>
      <c r="E833" s="33"/>
      <c r="F833" s="89"/>
    </row>
    <row r="834" spans="2:6" s="6" customFormat="1" x14ac:dyDescent="0.3">
      <c r="B834" s="29"/>
      <c r="C834" s="29"/>
      <c r="D834" s="30"/>
      <c r="E834" s="33"/>
      <c r="F834" s="89"/>
    </row>
    <row r="835" spans="2:6" s="6" customFormat="1" x14ac:dyDescent="0.3">
      <c r="B835" s="29"/>
      <c r="C835" s="29"/>
      <c r="D835" s="30"/>
      <c r="E835" s="33"/>
      <c r="F835" s="89"/>
    </row>
    <row r="836" spans="2:6" s="6" customFormat="1" x14ac:dyDescent="0.3">
      <c r="B836" s="29"/>
      <c r="C836" s="29"/>
      <c r="D836" s="30"/>
      <c r="E836" s="33"/>
      <c r="F836" s="89"/>
    </row>
    <row r="837" spans="2:6" s="6" customFormat="1" x14ac:dyDescent="0.3">
      <c r="B837" s="29"/>
      <c r="C837" s="29"/>
      <c r="D837" s="30"/>
      <c r="E837" s="33"/>
      <c r="F837" s="89"/>
    </row>
    <row r="838" spans="2:6" s="6" customFormat="1" x14ac:dyDescent="0.3">
      <c r="B838" s="29"/>
      <c r="C838" s="29"/>
      <c r="D838" s="30"/>
      <c r="E838" s="33"/>
      <c r="F838" s="89"/>
    </row>
    <row r="839" spans="2:6" s="6" customFormat="1" x14ac:dyDescent="0.3">
      <c r="B839" s="29"/>
      <c r="C839" s="29"/>
      <c r="D839" s="30"/>
      <c r="E839" s="33"/>
      <c r="F839" s="89"/>
    </row>
    <row r="840" spans="2:6" s="6" customFormat="1" x14ac:dyDescent="0.3">
      <c r="B840" s="29"/>
      <c r="C840" s="29"/>
      <c r="D840" s="30"/>
      <c r="E840" s="33"/>
      <c r="F840" s="89"/>
    </row>
    <row r="841" spans="2:6" s="6" customFormat="1" x14ac:dyDescent="0.3">
      <c r="B841" s="29"/>
      <c r="C841" s="29"/>
      <c r="D841" s="30"/>
      <c r="E841" s="33"/>
      <c r="F841" s="89"/>
    </row>
    <row r="842" spans="2:6" s="6" customFormat="1" x14ac:dyDescent="0.3">
      <c r="B842" s="29"/>
      <c r="C842" s="29"/>
      <c r="D842" s="30"/>
      <c r="E842" s="33"/>
      <c r="F842" s="89"/>
    </row>
    <row r="843" spans="2:6" s="6" customFormat="1" x14ac:dyDescent="0.3">
      <c r="B843" s="29"/>
      <c r="C843" s="29"/>
      <c r="D843" s="30"/>
      <c r="E843" s="33"/>
      <c r="F843" s="89"/>
    </row>
    <row r="844" spans="2:6" s="6" customFormat="1" x14ac:dyDescent="0.3">
      <c r="B844" s="29"/>
      <c r="C844" s="29"/>
      <c r="D844" s="30"/>
      <c r="E844" s="33"/>
      <c r="F844" s="89"/>
    </row>
    <row r="845" spans="2:6" s="6" customFormat="1" x14ac:dyDescent="0.3">
      <c r="B845" s="29"/>
      <c r="C845" s="29"/>
      <c r="D845" s="30"/>
      <c r="E845" s="33"/>
      <c r="F845" s="89"/>
    </row>
    <row r="846" spans="2:6" s="6" customFormat="1" x14ac:dyDescent="0.3">
      <c r="B846" s="29"/>
      <c r="C846" s="29"/>
      <c r="D846" s="30"/>
      <c r="E846" s="33"/>
      <c r="F846" s="89"/>
    </row>
    <row r="847" spans="2:6" s="6" customFormat="1" x14ac:dyDescent="0.3">
      <c r="B847" s="29"/>
      <c r="C847" s="29"/>
      <c r="D847" s="30"/>
      <c r="E847" s="33"/>
      <c r="F847" s="89"/>
    </row>
    <row r="848" spans="2:6" s="6" customFormat="1" x14ac:dyDescent="0.3">
      <c r="B848" s="29"/>
      <c r="C848" s="29"/>
      <c r="D848" s="30"/>
      <c r="E848" s="33"/>
      <c r="F848" s="89"/>
    </row>
    <row r="849" spans="2:6" s="6" customFormat="1" x14ac:dyDescent="0.3">
      <c r="B849" s="29"/>
      <c r="C849" s="29"/>
      <c r="D849" s="30"/>
      <c r="E849" s="33"/>
      <c r="F849" s="89"/>
    </row>
    <row r="850" spans="2:6" s="6" customFormat="1" x14ac:dyDescent="0.3">
      <c r="B850" s="29"/>
      <c r="C850" s="29"/>
      <c r="D850" s="30"/>
      <c r="E850" s="33"/>
      <c r="F850" s="89"/>
    </row>
    <row r="851" spans="2:6" s="6" customFormat="1" x14ac:dyDescent="0.3">
      <c r="B851" s="29"/>
      <c r="C851" s="29"/>
      <c r="D851" s="30"/>
      <c r="E851" s="33"/>
      <c r="F851" s="89"/>
    </row>
    <row r="852" spans="2:6" s="6" customFormat="1" x14ac:dyDescent="0.3">
      <c r="B852" s="29"/>
      <c r="C852" s="29"/>
      <c r="D852" s="30"/>
      <c r="E852" s="33"/>
      <c r="F852" s="89"/>
    </row>
    <row r="853" spans="2:6" s="6" customFormat="1" x14ac:dyDescent="0.3">
      <c r="B853" s="29"/>
      <c r="C853" s="29"/>
      <c r="D853" s="30"/>
      <c r="E853" s="33"/>
      <c r="F853" s="89"/>
    </row>
    <row r="854" spans="2:6" s="6" customFormat="1" x14ac:dyDescent="0.3">
      <c r="B854" s="29"/>
      <c r="C854" s="29"/>
      <c r="D854" s="30"/>
      <c r="E854" s="33"/>
      <c r="F854" s="89"/>
    </row>
    <row r="855" spans="2:6" s="6" customFormat="1" x14ac:dyDescent="0.3">
      <c r="B855" s="29"/>
      <c r="C855" s="29"/>
      <c r="D855" s="30"/>
      <c r="E855" s="33"/>
      <c r="F855" s="89"/>
    </row>
    <row r="856" spans="2:6" s="6" customFormat="1" x14ac:dyDescent="0.3">
      <c r="B856" s="29"/>
      <c r="C856" s="29"/>
      <c r="D856" s="30"/>
      <c r="E856" s="33"/>
      <c r="F856" s="89"/>
    </row>
    <row r="857" spans="2:6" s="6" customFormat="1" x14ac:dyDescent="0.3">
      <c r="B857" s="29"/>
      <c r="C857" s="29"/>
      <c r="D857" s="30"/>
      <c r="E857" s="33"/>
      <c r="F857" s="89"/>
    </row>
    <row r="858" spans="2:6" s="6" customFormat="1" x14ac:dyDescent="0.3">
      <c r="B858" s="29"/>
      <c r="C858" s="29"/>
      <c r="D858" s="30"/>
      <c r="E858" s="33"/>
      <c r="F858" s="89"/>
    </row>
    <row r="859" spans="2:6" s="6" customFormat="1" x14ac:dyDescent="0.3">
      <c r="B859" s="29"/>
      <c r="C859" s="29"/>
      <c r="D859" s="30"/>
      <c r="E859" s="33"/>
      <c r="F859" s="89"/>
    </row>
    <row r="860" spans="2:6" s="6" customFormat="1" x14ac:dyDescent="0.3">
      <c r="B860" s="29"/>
      <c r="C860" s="29"/>
      <c r="D860" s="30"/>
      <c r="E860" s="33"/>
      <c r="F860" s="89"/>
    </row>
    <row r="861" spans="2:6" s="6" customFormat="1" x14ac:dyDescent="0.3">
      <c r="B861" s="29"/>
      <c r="C861" s="29"/>
      <c r="D861" s="30"/>
      <c r="E861" s="33"/>
      <c r="F861" s="89"/>
    </row>
    <row r="862" spans="2:6" s="6" customFormat="1" x14ac:dyDescent="0.3">
      <c r="B862" s="29"/>
      <c r="C862" s="29"/>
      <c r="D862" s="30"/>
      <c r="E862" s="33"/>
      <c r="F862" s="89"/>
    </row>
    <row r="863" spans="2:6" s="6" customFormat="1" x14ac:dyDescent="0.3">
      <c r="B863" s="29"/>
      <c r="C863" s="29"/>
      <c r="D863" s="30"/>
      <c r="E863" s="33"/>
      <c r="F863" s="89"/>
    </row>
    <row r="864" spans="2:6" s="6" customFormat="1" x14ac:dyDescent="0.3">
      <c r="B864" s="29"/>
      <c r="C864" s="29"/>
      <c r="D864" s="30"/>
      <c r="E864" s="33"/>
      <c r="F864" s="89"/>
    </row>
    <row r="865" spans="2:6" s="6" customFormat="1" x14ac:dyDescent="0.3">
      <c r="B865" s="29"/>
      <c r="C865" s="29"/>
      <c r="D865" s="30"/>
      <c r="E865" s="33"/>
      <c r="F865" s="89"/>
    </row>
    <row r="866" spans="2:6" s="6" customFormat="1" x14ac:dyDescent="0.3">
      <c r="B866" s="29"/>
      <c r="C866" s="29"/>
      <c r="D866" s="30"/>
      <c r="E866" s="33"/>
      <c r="F866" s="89"/>
    </row>
    <row r="867" spans="2:6" s="6" customFormat="1" x14ac:dyDescent="0.3">
      <c r="B867" s="29"/>
      <c r="C867" s="29"/>
      <c r="D867" s="30"/>
      <c r="E867" s="33"/>
      <c r="F867" s="89"/>
    </row>
    <row r="868" spans="2:6" s="6" customFormat="1" x14ac:dyDescent="0.3">
      <c r="B868" s="29"/>
      <c r="C868" s="29"/>
      <c r="D868" s="30"/>
      <c r="E868" s="33"/>
      <c r="F868" s="89"/>
    </row>
    <row r="869" spans="2:6" s="6" customFormat="1" x14ac:dyDescent="0.3">
      <c r="B869" s="29"/>
      <c r="C869" s="29"/>
      <c r="D869" s="30"/>
      <c r="E869" s="33"/>
      <c r="F869" s="89"/>
    </row>
    <row r="870" spans="2:6" s="6" customFormat="1" x14ac:dyDescent="0.3">
      <c r="B870" s="29"/>
      <c r="C870" s="29"/>
      <c r="D870" s="30"/>
      <c r="E870" s="33"/>
      <c r="F870" s="89"/>
    </row>
    <row r="871" spans="2:6" s="6" customFormat="1" x14ac:dyDescent="0.3">
      <c r="B871" s="29"/>
      <c r="C871" s="29"/>
      <c r="D871" s="30"/>
      <c r="E871" s="33"/>
      <c r="F871" s="89"/>
    </row>
    <row r="872" spans="2:6" s="6" customFormat="1" x14ac:dyDescent="0.3">
      <c r="B872" s="29"/>
      <c r="C872" s="29"/>
      <c r="D872" s="30"/>
      <c r="E872" s="33"/>
      <c r="F872" s="89"/>
    </row>
    <row r="873" spans="2:6" s="6" customFormat="1" x14ac:dyDescent="0.3">
      <c r="B873" s="29"/>
      <c r="C873" s="29"/>
      <c r="D873" s="30"/>
      <c r="E873" s="33"/>
      <c r="F873" s="89"/>
    </row>
    <row r="874" spans="2:6" s="6" customFormat="1" x14ac:dyDescent="0.3">
      <c r="B874" s="29"/>
      <c r="C874" s="29"/>
      <c r="D874" s="30"/>
      <c r="E874" s="33"/>
      <c r="F874" s="89"/>
    </row>
    <row r="875" spans="2:6" s="6" customFormat="1" x14ac:dyDescent="0.3">
      <c r="B875" s="29"/>
      <c r="C875" s="29"/>
      <c r="D875" s="30"/>
      <c r="E875" s="33"/>
      <c r="F875" s="89"/>
    </row>
    <row r="876" spans="2:6" s="6" customFormat="1" x14ac:dyDescent="0.3">
      <c r="B876" s="29"/>
      <c r="C876" s="29"/>
      <c r="D876" s="30"/>
      <c r="E876" s="33"/>
      <c r="F876" s="89"/>
    </row>
    <row r="877" spans="2:6" s="6" customFormat="1" x14ac:dyDescent="0.3">
      <c r="B877" s="29"/>
      <c r="C877" s="29"/>
      <c r="D877" s="30"/>
      <c r="E877" s="33"/>
      <c r="F877" s="89"/>
    </row>
    <row r="878" spans="2:6" s="6" customFormat="1" x14ac:dyDescent="0.3">
      <c r="B878" s="29"/>
      <c r="C878" s="29"/>
      <c r="D878" s="30"/>
      <c r="E878" s="33"/>
      <c r="F878" s="89"/>
    </row>
    <row r="879" spans="2:6" s="6" customFormat="1" x14ac:dyDescent="0.3">
      <c r="B879" s="29"/>
      <c r="C879" s="29"/>
      <c r="D879" s="30"/>
      <c r="E879" s="33"/>
      <c r="F879" s="89"/>
    </row>
    <row r="880" spans="2:6" s="6" customFormat="1" x14ac:dyDescent="0.3">
      <c r="B880" s="29"/>
      <c r="C880" s="29"/>
      <c r="D880" s="30"/>
      <c r="E880" s="33"/>
      <c r="F880" s="89"/>
    </row>
    <row r="881" spans="2:6" s="6" customFormat="1" x14ac:dyDescent="0.3">
      <c r="B881" s="29"/>
      <c r="C881" s="29"/>
      <c r="D881" s="30"/>
      <c r="E881" s="33"/>
      <c r="F881" s="89"/>
    </row>
    <row r="882" spans="2:6" s="6" customFormat="1" x14ac:dyDescent="0.3">
      <c r="B882" s="29"/>
      <c r="C882" s="29"/>
      <c r="D882" s="30"/>
      <c r="E882" s="33"/>
      <c r="F882" s="89"/>
    </row>
    <row r="883" spans="2:6" s="6" customFormat="1" x14ac:dyDescent="0.3">
      <c r="B883" s="29"/>
      <c r="C883" s="29"/>
      <c r="D883" s="30"/>
      <c r="E883" s="33"/>
      <c r="F883" s="89"/>
    </row>
    <row r="884" spans="2:6" s="6" customFormat="1" x14ac:dyDescent="0.3">
      <c r="B884" s="29"/>
      <c r="C884" s="29"/>
      <c r="D884" s="30"/>
      <c r="E884" s="33"/>
      <c r="F884" s="89"/>
    </row>
    <row r="885" spans="2:6" s="6" customFormat="1" x14ac:dyDescent="0.3">
      <c r="B885" s="29"/>
      <c r="C885" s="29"/>
      <c r="D885" s="30"/>
      <c r="E885" s="33"/>
      <c r="F885" s="89"/>
    </row>
    <row r="886" spans="2:6" s="6" customFormat="1" x14ac:dyDescent="0.3">
      <c r="B886" s="29"/>
      <c r="C886" s="29"/>
      <c r="D886" s="30"/>
      <c r="E886" s="33"/>
      <c r="F886" s="89"/>
    </row>
    <row r="887" spans="2:6" s="6" customFormat="1" x14ac:dyDescent="0.3">
      <c r="B887" s="29"/>
      <c r="C887" s="29"/>
      <c r="D887" s="30"/>
      <c r="E887" s="33"/>
      <c r="F887" s="89"/>
    </row>
    <row r="888" spans="2:6" s="6" customFormat="1" x14ac:dyDescent="0.3">
      <c r="B888" s="29"/>
      <c r="C888" s="29"/>
      <c r="D888" s="30"/>
      <c r="E888" s="33"/>
      <c r="F888" s="89"/>
    </row>
    <row r="889" spans="2:6" s="6" customFormat="1" x14ac:dyDescent="0.3">
      <c r="B889" s="29"/>
      <c r="C889" s="29"/>
      <c r="D889" s="30"/>
      <c r="E889" s="33"/>
      <c r="F889" s="89"/>
    </row>
    <row r="890" spans="2:6" s="6" customFormat="1" x14ac:dyDescent="0.3">
      <c r="B890" s="29"/>
      <c r="C890" s="29"/>
      <c r="D890" s="30"/>
      <c r="E890" s="33"/>
      <c r="F890" s="89"/>
    </row>
    <row r="891" spans="2:6" s="6" customFormat="1" x14ac:dyDescent="0.3">
      <c r="B891" s="29"/>
      <c r="C891" s="29"/>
      <c r="D891" s="30"/>
      <c r="E891" s="33"/>
      <c r="F891" s="89"/>
    </row>
    <row r="892" spans="2:6" s="6" customFormat="1" x14ac:dyDescent="0.3">
      <c r="B892" s="29"/>
      <c r="C892" s="29"/>
      <c r="D892" s="30"/>
      <c r="E892" s="33"/>
      <c r="F892" s="89"/>
    </row>
    <row r="893" spans="2:6" s="6" customFormat="1" x14ac:dyDescent="0.3">
      <c r="B893" s="29"/>
      <c r="C893" s="29"/>
      <c r="D893" s="30"/>
      <c r="E893" s="33"/>
      <c r="F893" s="89"/>
    </row>
    <row r="894" spans="2:6" s="6" customFormat="1" x14ac:dyDescent="0.3">
      <c r="B894" s="29"/>
      <c r="C894" s="29"/>
      <c r="D894" s="30"/>
      <c r="E894" s="33"/>
      <c r="F894" s="89"/>
    </row>
    <row r="895" spans="2:6" s="6" customFormat="1" x14ac:dyDescent="0.3">
      <c r="B895" s="29"/>
      <c r="C895" s="29"/>
      <c r="D895" s="30"/>
      <c r="E895" s="33"/>
      <c r="F895" s="89"/>
    </row>
    <row r="896" spans="2:6" s="6" customFormat="1" x14ac:dyDescent="0.3">
      <c r="B896" s="29"/>
      <c r="C896" s="29"/>
      <c r="D896" s="30"/>
      <c r="E896" s="33"/>
      <c r="F896" s="89"/>
    </row>
    <row r="897" spans="2:6" s="6" customFormat="1" x14ac:dyDescent="0.3">
      <c r="B897" s="29"/>
      <c r="C897" s="29"/>
      <c r="D897" s="30"/>
      <c r="E897" s="33"/>
      <c r="F897" s="89"/>
    </row>
    <row r="898" spans="2:6" s="6" customFormat="1" x14ac:dyDescent="0.3">
      <c r="B898" s="29"/>
      <c r="C898" s="29"/>
      <c r="D898" s="30"/>
      <c r="E898" s="33"/>
      <c r="F898" s="89"/>
    </row>
    <row r="899" spans="2:6" s="6" customFormat="1" x14ac:dyDescent="0.3">
      <c r="B899" s="29"/>
      <c r="C899" s="29"/>
      <c r="D899" s="30"/>
      <c r="E899" s="33"/>
      <c r="F899" s="89"/>
    </row>
    <row r="900" spans="2:6" s="6" customFormat="1" x14ac:dyDescent="0.3">
      <c r="B900" s="29"/>
      <c r="C900" s="29"/>
      <c r="D900" s="30"/>
      <c r="E900" s="33"/>
      <c r="F900" s="89"/>
    </row>
    <row r="901" spans="2:6" s="6" customFormat="1" x14ac:dyDescent="0.3">
      <c r="B901" s="29"/>
      <c r="C901" s="29"/>
      <c r="D901" s="30"/>
      <c r="E901" s="33"/>
      <c r="F901" s="89"/>
    </row>
    <row r="902" spans="2:6" s="6" customFormat="1" x14ac:dyDescent="0.3">
      <c r="B902" s="29"/>
      <c r="C902" s="29"/>
      <c r="D902" s="30"/>
      <c r="E902" s="33"/>
      <c r="F902" s="89"/>
    </row>
    <row r="903" spans="2:6" s="6" customFormat="1" x14ac:dyDescent="0.3">
      <c r="B903" s="29"/>
      <c r="C903" s="29"/>
      <c r="D903" s="30"/>
      <c r="E903" s="33"/>
      <c r="F903" s="89"/>
    </row>
    <row r="904" spans="2:6" s="6" customFormat="1" x14ac:dyDescent="0.3">
      <c r="B904" s="29"/>
      <c r="C904" s="29"/>
      <c r="D904" s="30"/>
      <c r="E904" s="33"/>
      <c r="F904" s="89"/>
    </row>
    <row r="905" spans="2:6" s="6" customFormat="1" x14ac:dyDescent="0.3">
      <c r="B905" s="29"/>
      <c r="C905" s="29"/>
      <c r="D905" s="30"/>
      <c r="E905" s="33"/>
      <c r="F905" s="89"/>
    </row>
    <row r="906" spans="2:6" s="6" customFormat="1" x14ac:dyDescent="0.3">
      <c r="B906" s="29"/>
      <c r="C906" s="29"/>
      <c r="D906" s="30"/>
      <c r="E906" s="33"/>
      <c r="F906" s="89"/>
    </row>
    <row r="907" spans="2:6" s="6" customFormat="1" x14ac:dyDescent="0.3">
      <c r="B907" s="29"/>
      <c r="C907" s="29"/>
      <c r="D907" s="30"/>
      <c r="E907" s="33"/>
      <c r="F907" s="89"/>
    </row>
    <row r="908" spans="2:6" s="6" customFormat="1" x14ac:dyDescent="0.3">
      <c r="B908" s="29"/>
      <c r="C908" s="29"/>
      <c r="D908" s="30"/>
      <c r="E908" s="33"/>
      <c r="F908" s="89"/>
    </row>
    <row r="909" spans="2:6" s="6" customFormat="1" x14ac:dyDescent="0.3">
      <c r="B909" s="29"/>
      <c r="C909" s="29"/>
      <c r="D909" s="30"/>
      <c r="E909" s="33"/>
      <c r="F909" s="89"/>
    </row>
    <row r="910" spans="2:6" s="6" customFormat="1" x14ac:dyDescent="0.3">
      <c r="B910" s="29"/>
      <c r="C910" s="29"/>
      <c r="D910" s="30"/>
      <c r="E910" s="33"/>
      <c r="F910" s="89"/>
    </row>
    <row r="911" spans="2:6" s="6" customFormat="1" x14ac:dyDescent="0.3">
      <c r="B911" s="29"/>
      <c r="C911" s="29"/>
      <c r="D911" s="30"/>
      <c r="E911" s="33"/>
      <c r="F911" s="89"/>
    </row>
    <row r="912" spans="2:6" s="6" customFormat="1" x14ac:dyDescent="0.3">
      <c r="B912" s="29"/>
      <c r="C912" s="29"/>
      <c r="D912" s="30"/>
      <c r="E912" s="33"/>
      <c r="F912" s="89"/>
    </row>
    <row r="913" spans="2:6" s="6" customFormat="1" x14ac:dyDescent="0.3">
      <c r="B913" s="29"/>
      <c r="C913" s="29"/>
      <c r="D913" s="30"/>
      <c r="E913" s="33"/>
      <c r="F913" s="89"/>
    </row>
    <row r="914" spans="2:6" s="6" customFormat="1" x14ac:dyDescent="0.3">
      <c r="B914" s="29"/>
      <c r="C914" s="29"/>
      <c r="D914" s="30"/>
      <c r="E914" s="33"/>
      <c r="F914" s="89"/>
    </row>
    <row r="915" spans="2:6" s="6" customFormat="1" x14ac:dyDescent="0.3">
      <c r="B915" s="29"/>
      <c r="C915" s="29"/>
      <c r="D915" s="30"/>
      <c r="E915" s="33"/>
      <c r="F915" s="89"/>
    </row>
    <row r="916" spans="2:6" s="6" customFormat="1" x14ac:dyDescent="0.3">
      <c r="B916" s="29"/>
      <c r="C916" s="29"/>
      <c r="D916" s="30"/>
      <c r="E916" s="33"/>
      <c r="F916" s="89"/>
    </row>
    <row r="917" spans="2:6" s="6" customFormat="1" x14ac:dyDescent="0.3">
      <c r="B917" s="29"/>
      <c r="C917" s="29"/>
      <c r="D917" s="30"/>
      <c r="E917" s="33"/>
      <c r="F917" s="89"/>
    </row>
    <row r="918" spans="2:6" s="6" customFormat="1" x14ac:dyDescent="0.3">
      <c r="B918" s="29"/>
      <c r="C918" s="29"/>
      <c r="D918" s="30"/>
      <c r="E918" s="33"/>
      <c r="F918" s="89"/>
    </row>
    <row r="919" spans="2:6" s="6" customFormat="1" x14ac:dyDescent="0.3">
      <c r="B919" s="29"/>
      <c r="C919" s="29"/>
      <c r="D919" s="30"/>
      <c r="E919" s="33"/>
      <c r="F919" s="89"/>
    </row>
    <row r="920" spans="2:6" s="6" customFormat="1" x14ac:dyDescent="0.3">
      <c r="B920" s="29"/>
      <c r="C920" s="29"/>
      <c r="D920" s="30"/>
      <c r="E920" s="33"/>
      <c r="F920" s="89"/>
    </row>
    <row r="921" spans="2:6" s="6" customFormat="1" x14ac:dyDescent="0.3">
      <c r="B921" s="29"/>
      <c r="C921" s="29"/>
      <c r="D921" s="30"/>
      <c r="E921" s="33"/>
      <c r="F921" s="89"/>
    </row>
    <row r="922" spans="2:6" s="6" customFormat="1" x14ac:dyDescent="0.3">
      <c r="B922" s="29"/>
      <c r="C922" s="29"/>
      <c r="D922" s="30"/>
      <c r="E922" s="33"/>
      <c r="F922" s="89"/>
    </row>
    <row r="923" spans="2:6" s="6" customFormat="1" x14ac:dyDescent="0.3">
      <c r="B923" s="29"/>
      <c r="C923" s="29"/>
      <c r="D923" s="30"/>
      <c r="E923" s="33"/>
      <c r="F923" s="89"/>
    </row>
    <row r="924" spans="2:6" s="6" customFormat="1" x14ac:dyDescent="0.3">
      <c r="B924" s="29"/>
      <c r="C924" s="29"/>
      <c r="D924" s="30"/>
      <c r="E924" s="33"/>
      <c r="F924" s="89"/>
    </row>
    <row r="925" spans="2:6" s="6" customFormat="1" x14ac:dyDescent="0.3">
      <c r="B925" s="29"/>
      <c r="C925" s="29"/>
      <c r="D925" s="30"/>
      <c r="E925" s="33"/>
      <c r="F925" s="89"/>
    </row>
    <row r="926" spans="2:6" s="6" customFormat="1" x14ac:dyDescent="0.3">
      <c r="B926" s="29"/>
      <c r="C926" s="29"/>
      <c r="D926" s="30"/>
      <c r="E926" s="33"/>
      <c r="F926" s="89"/>
    </row>
    <row r="927" spans="2:6" s="6" customFormat="1" x14ac:dyDescent="0.3">
      <c r="B927" s="29"/>
      <c r="C927" s="29"/>
      <c r="D927" s="30"/>
      <c r="E927" s="33"/>
      <c r="F927" s="89"/>
    </row>
    <row r="928" spans="2:6" s="6" customFormat="1" x14ac:dyDescent="0.3">
      <c r="B928" s="29"/>
      <c r="C928" s="29"/>
      <c r="D928" s="30"/>
      <c r="E928" s="33"/>
      <c r="F928" s="89"/>
    </row>
    <row r="929" spans="2:6" s="6" customFormat="1" x14ac:dyDescent="0.3">
      <c r="B929" s="29"/>
      <c r="C929" s="29"/>
      <c r="D929" s="30"/>
      <c r="E929" s="33"/>
      <c r="F929" s="89"/>
    </row>
    <row r="930" spans="2:6" s="6" customFormat="1" x14ac:dyDescent="0.3">
      <c r="B930" s="29"/>
      <c r="C930" s="29"/>
      <c r="D930" s="30"/>
      <c r="E930" s="33"/>
      <c r="F930" s="89"/>
    </row>
    <row r="931" spans="2:6" s="6" customFormat="1" x14ac:dyDescent="0.3">
      <c r="B931" s="29"/>
      <c r="C931" s="29"/>
      <c r="D931" s="30"/>
      <c r="E931" s="33"/>
      <c r="F931" s="89"/>
    </row>
    <row r="932" spans="2:6" s="6" customFormat="1" x14ac:dyDescent="0.3">
      <c r="B932" s="29"/>
      <c r="C932" s="29"/>
      <c r="D932" s="30"/>
      <c r="E932" s="33"/>
      <c r="F932" s="89"/>
    </row>
    <row r="933" spans="2:6" s="6" customFormat="1" x14ac:dyDescent="0.3">
      <c r="B933" s="29"/>
      <c r="C933" s="29"/>
      <c r="D933" s="30"/>
      <c r="E933" s="33"/>
      <c r="F933" s="89"/>
    </row>
    <row r="934" spans="2:6" s="6" customFormat="1" x14ac:dyDescent="0.3">
      <c r="B934" s="29"/>
      <c r="C934" s="29"/>
      <c r="D934" s="30"/>
      <c r="E934" s="33"/>
      <c r="F934" s="89"/>
    </row>
    <row r="935" spans="2:6" s="6" customFormat="1" x14ac:dyDescent="0.3">
      <c r="B935" s="29"/>
      <c r="C935" s="29"/>
      <c r="D935" s="30"/>
      <c r="E935" s="33"/>
      <c r="F935" s="89"/>
    </row>
    <row r="936" spans="2:6" s="6" customFormat="1" x14ac:dyDescent="0.3">
      <c r="B936" s="29"/>
      <c r="C936" s="29"/>
      <c r="D936" s="30"/>
      <c r="E936" s="33"/>
      <c r="F936" s="89"/>
    </row>
    <row r="937" spans="2:6" s="6" customFormat="1" x14ac:dyDescent="0.3">
      <c r="B937" s="29"/>
      <c r="C937" s="29"/>
      <c r="D937" s="30"/>
      <c r="E937" s="33"/>
      <c r="F937" s="89"/>
    </row>
    <row r="938" spans="2:6" s="6" customFormat="1" x14ac:dyDescent="0.3">
      <c r="B938" s="29"/>
      <c r="C938" s="29"/>
      <c r="D938" s="30"/>
      <c r="E938" s="33"/>
      <c r="F938" s="89"/>
    </row>
    <row r="939" spans="2:6" s="6" customFormat="1" x14ac:dyDescent="0.3">
      <c r="B939" s="29"/>
      <c r="C939" s="29"/>
      <c r="D939" s="30"/>
      <c r="E939" s="33"/>
      <c r="F939" s="89"/>
    </row>
    <row r="940" spans="2:6" s="6" customFormat="1" x14ac:dyDescent="0.3">
      <c r="B940" s="29"/>
      <c r="C940" s="29"/>
      <c r="D940" s="30"/>
      <c r="E940" s="33"/>
      <c r="F940" s="89"/>
    </row>
    <row r="941" spans="2:6" s="6" customFormat="1" x14ac:dyDescent="0.3">
      <c r="B941" s="29"/>
      <c r="C941" s="29"/>
      <c r="D941" s="30"/>
      <c r="E941" s="33"/>
      <c r="F941" s="89"/>
    </row>
    <row r="942" spans="2:6" s="6" customFormat="1" x14ac:dyDescent="0.3">
      <c r="B942" s="29"/>
      <c r="C942" s="29"/>
      <c r="D942" s="30"/>
      <c r="E942" s="33"/>
      <c r="F942" s="89"/>
    </row>
    <row r="943" spans="2:6" s="6" customFormat="1" x14ac:dyDescent="0.3">
      <c r="B943" s="29"/>
      <c r="C943" s="29"/>
      <c r="D943" s="30"/>
      <c r="E943" s="33"/>
      <c r="F943" s="89"/>
    </row>
    <row r="944" spans="2:6" s="6" customFormat="1" x14ac:dyDescent="0.3">
      <c r="B944" s="29"/>
      <c r="C944" s="29"/>
      <c r="D944" s="30"/>
      <c r="E944" s="33"/>
      <c r="F944" s="89"/>
    </row>
    <row r="945" spans="2:6" s="6" customFormat="1" x14ac:dyDescent="0.3">
      <c r="B945" s="29"/>
      <c r="C945" s="29"/>
      <c r="D945" s="30"/>
      <c r="E945" s="33"/>
      <c r="F945" s="89"/>
    </row>
    <row r="946" spans="2:6" s="6" customFormat="1" x14ac:dyDescent="0.3">
      <c r="B946" s="29"/>
      <c r="C946" s="29"/>
      <c r="D946" s="30"/>
      <c r="E946" s="33"/>
      <c r="F946" s="89"/>
    </row>
    <row r="947" spans="2:6" s="6" customFormat="1" x14ac:dyDescent="0.3">
      <c r="B947" s="29"/>
      <c r="C947" s="29"/>
      <c r="D947" s="30"/>
      <c r="E947" s="33"/>
      <c r="F947" s="89"/>
    </row>
    <row r="948" spans="2:6" s="6" customFormat="1" x14ac:dyDescent="0.3">
      <c r="B948" s="29"/>
      <c r="C948" s="29"/>
      <c r="D948" s="30"/>
      <c r="E948" s="33"/>
      <c r="F948" s="89"/>
    </row>
    <row r="949" spans="2:6" s="6" customFormat="1" x14ac:dyDescent="0.3">
      <c r="B949" s="29"/>
      <c r="C949" s="29"/>
      <c r="D949" s="30"/>
      <c r="E949" s="33"/>
      <c r="F949" s="89"/>
    </row>
    <row r="950" spans="2:6" s="6" customFormat="1" x14ac:dyDescent="0.3">
      <c r="B950" s="29"/>
      <c r="C950" s="29"/>
      <c r="D950" s="30"/>
      <c r="E950" s="33"/>
      <c r="F950" s="89"/>
    </row>
    <row r="951" spans="2:6" s="6" customFormat="1" x14ac:dyDescent="0.3">
      <c r="B951" s="29"/>
      <c r="C951" s="29"/>
      <c r="D951" s="30"/>
      <c r="E951" s="33"/>
      <c r="F951" s="89"/>
    </row>
    <row r="952" spans="2:6" s="6" customFormat="1" x14ac:dyDescent="0.3">
      <c r="B952" s="29"/>
      <c r="C952" s="29"/>
      <c r="D952" s="30"/>
      <c r="E952" s="33"/>
      <c r="F952" s="89"/>
    </row>
    <row r="953" spans="2:6" s="6" customFormat="1" x14ac:dyDescent="0.3">
      <c r="B953" s="29"/>
      <c r="C953" s="29"/>
      <c r="D953" s="30"/>
      <c r="E953" s="33"/>
      <c r="F953" s="89"/>
    </row>
    <row r="954" spans="2:6" s="6" customFormat="1" x14ac:dyDescent="0.3">
      <c r="B954" s="29"/>
      <c r="C954" s="29"/>
      <c r="D954" s="30"/>
      <c r="E954" s="33"/>
      <c r="F954" s="89"/>
    </row>
    <row r="955" spans="2:6" s="6" customFormat="1" x14ac:dyDescent="0.3">
      <c r="B955" s="29"/>
      <c r="C955" s="29"/>
      <c r="D955" s="30"/>
      <c r="E955" s="33"/>
      <c r="F955" s="89"/>
    </row>
    <row r="956" spans="2:6" s="6" customFormat="1" x14ac:dyDescent="0.3">
      <c r="B956" s="29"/>
      <c r="C956" s="29"/>
      <c r="D956" s="30"/>
      <c r="E956" s="33"/>
      <c r="F956" s="89"/>
    </row>
    <row r="957" spans="2:6" s="6" customFormat="1" x14ac:dyDescent="0.3">
      <c r="B957" s="29"/>
      <c r="C957" s="29"/>
      <c r="D957" s="30"/>
      <c r="E957" s="33"/>
      <c r="F957" s="89"/>
    </row>
    <row r="958" spans="2:6" s="6" customFormat="1" x14ac:dyDescent="0.3">
      <c r="B958" s="29"/>
      <c r="C958" s="29"/>
      <c r="D958" s="30"/>
      <c r="E958" s="33"/>
      <c r="F958" s="89"/>
    </row>
    <row r="959" spans="2:6" s="6" customFormat="1" x14ac:dyDescent="0.3">
      <c r="B959" s="29"/>
      <c r="C959" s="29"/>
      <c r="D959" s="30"/>
      <c r="E959" s="33"/>
      <c r="F959" s="89"/>
    </row>
    <row r="960" spans="2:6" s="6" customFormat="1" x14ac:dyDescent="0.3">
      <c r="B960" s="29"/>
      <c r="C960" s="29"/>
      <c r="D960" s="30"/>
      <c r="E960" s="33"/>
      <c r="F960" s="89"/>
    </row>
    <row r="961" spans="2:6" s="6" customFormat="1" x14ac:dyDescent="0.3">
      <c r="B961" s="29"/>
      <c r="C961" s="29"/>
      <c r="D961" s="30"/>
      <c r="E961" s="33"/>
      <c r="F961" s="89"/>
    </row>
    <row r="962" spans="2:6" s="6" customFormat="1" x14ac:dyDescent="0.3">
      <c r="B962" s="29"/>
      <c r="C962" s="29"/>
      <c r="D962" s="30"/>
      <c r="E962" s="33"/>
      <c r="F962" s="89"/>
    </row>
    <row r="963" spans="2:6" s="6" customFormat="1" x14ac:dyDescent="0.3">
      <c r="B963" s="29"/>
      <c r="C963" s="29"/>
      <c r="D963" s="30"/>
      <c r="E963" s="33"/>
      <c r="F963" s="89"/>
    </row>
    <row r="964" spans="2:6" s="6" customFormat="1" x14ac:dyDescent="0.3">
      <c r="B964" s="29"/>
      <c r="C964" s="29"/>
      <c r="D964" s="30"/>
      <c r="E964" s="33"/>
      <c r="F964" s="89"/>
    </row>
    <row r="965" spans="2:6" s="6" customFormat="1" x14ac:dyDescent="0.3">
      <c r="B965" s="29"/>
      <c r="C965" s="29"/>
      <c r="D965" s="30"/>
      <c r="E965" s="33"/>
      <c r="F965" s="89"/>
    </row>
    <row r="966" spans="2:6" s="6" customFormat="1" x14ac:dyDescent="0.3">
      <c r="B966" s="29"/>
      <c r="C966" s="29"/>
      <c r="D966" s="30"/>
      <c r="E966" s="33"/>
      <c r="F966" s="89"/>
    </row>
    <row r="967" spans="2:6" s="6" customFormat="1" x14ac:dyDescent="0.3">
      <c r="B967" s="29"/>
      <c r="C967" s="29"/>
      <c r="D967" s="30"/>
      <c r="E967" s="33"/>
      <c r="F967" s="89"/>
    </row>
    <row r="968" spans="2:6" s="6" customFormat="1" x14ac:dyDescent="0.3">
      <c r="B968" s="29"/>
      <c r="C968" s="29"/>
      <c r="D968" s="30"/>
      <c r="E968" s="33"/>
      <c r="F968" s="89"/>
    </row>
    <row r="969" spans="2:6" s="6" customFormat="1" x14ac:dyDescent="0.3">
      <c r="B969" s="29"/>
      <c r="C969" s="29"/>
      <c r="D969" s="30"/>
      <c r="E969" s="33"/>
      <c r="F969" s="89"/>
    </row>
    <row r="970" spans="2:6" s="6" customFormat="1" x14ac:dyDescent="0.3">
      <c r="B970" s="29"/>
      <c r="C970" s="29"/>
      <c r="D970" s="30"/>
      <c r="E970" s="33"/>
      <c r="F970" s="89"/>
    </row>
    <row r="971" spans="2:6" s="6" customFormat="1" x14ac:dyDescent="0.3">
      <c r="B971" s="29"/>
      <c r="C971" s="29"/>
      <c r="D971" s="30"/>
      <c r="E971" s="33"/>
      <c r="F971" s="89"/>
    </row>
    <row r="972" spans="2:6" s="6" customFormat="1" x14ac:dyDescent="0.3">
      <c r="B972" s="29"/>
      <c r="C972" s="29"/>
      <c r="D972" s="30"/>
      <c r="E972" s="33"/>
      <c r="F972" s="89"/>
    </row>
    <row r="973" spans="2:6" s="6" customFormat="1" x14ac:dyDescent="0.3">
      <c r="B973" s="29"/>
      <c r="C973" s="29"/>
      <c r="D973" s="30"/>
      <c r="E973" s="33"/>
      <c r="F973" s="89"/>
    </row>
    <row r="974" spans="2:6" s="6" customFormat="1" x14ac:dyDescent="0.3">
      <c r="B974" s="29"/>
      <c r="C974" s="29"/>
      <c r="D974" s="30"/>
      <c r="E974" s="33"/>
      <c r="F974" s="89"/>
    </row>
    <row r="975" spans="2:6" s="6" customFormat="1" x14ac:dyDescent="0.3">
      <c r="B975" s="29"/>
      <c r="C975" s="29"/>
      <c r="D975" s="30"/>
      <c r="E975" s="33"/>
      <c r="F975" s="89"/>
    </row>
    <row r="976" spans="2:6" s="6" customFormat="1" x14ac:dyDescent="0.3">
      <c r="B976" s="29"/>
      <c r="C976" s="29"/>
      <c r="D976" s="30"/>
      <c r="E976" s="33"/>
      <c r="F976" s="89"/>
    </row>
    <row r="977" spans="2:6" s="6" customFormat="1" x14ac:dyDescent="0.3">
      <c r="B977" s="29"/>
      <c r="C977" s="29"/>
      <c r="D977" s="30"/>
      <c r="E977" s="33"/>
      <c r="F977" s="89"/>
    </row>
    <row r="978" spans="2:6" s="6" customFormat="1" x14ac:dyDescent="0.3">
      <c r="B978" s="29"/>
      <c r="C978" s="29"/>
      <c r="D978" s="30"/>
      <c r="E978" s="33"/>
      <c r="F978" s="89"/>
    </row>
    <row r="979" spans="2:6" s="6" customFormat="1" x14ac:dyDescent="0.3">
      <c r="B979" s="29"/>
      <c r="C979" s="29"/>
      <c r="D979" s="30"/>
      <c r="E979" s="33"/>
      <c r="F979" s="89"/>
    </row>
    <row r="980" spans="2:6" s="6" customFormat="1" x14ac:dyDescent="0.3">
      <c r="B980" s="29"/>
      <c r="C980" s="29"/>
      <c r="D980" s="30"/>
      <c r="E980" s="33"/>
      <c r="F980" s="89"/>
    </row>
    <row r="981" spans="2:6" s="6" customFormat="1" x14ac:dyDescent="0.3">
      <c r="B981" s="29"/>
      <c r="C981" s="29"/>
      <c r="D981" s="30"/>
      <c r="E981" s="33"/>
      <c r="F981" s="89"/>
    </row>
    <row r="982" spans="2:6" s="6" customFormat="1" x14ac:dyDescent="0.3">
      <c r="B982" s="29"/>
      <c r="C982" s="29"/>
      <c r="D982" s="30"/>
      <c r="E982" s="33"/>
      <c r="F982" s="89"/>
    </row>
    <row r="983" spans="2:6" s="6" customFormat="1" x14ac:dyDescent="0.3">
      <c r="B983" s="29"/>
      <c r="C983" s="29"/>
      <c r="D983" s="30"/>
      <c r="E983" s="33"/>
      <c r="F983" s="89"/>
    </row>
    <row r="984" spans="2:6" s="6" customFormat="1" x14ac:dyDescent="0.3">
      <c r="B984" s="29"/>
      <c r="C984" s="29"/>
      <c r="D984" s="30"/>
      <c r="E984" s="33"/>
      <c r="F984" s="89"/>
    </row>
    <row r="985" spans="2:6" s="6" customFormat="1" x14ac:dyDescent="0.3">
      <c r="B985" s="29"/>
      <c r="C985" s="29"/>
      <c r="D985" s="30"/>
      <c r="E985" s="33"/>
      <c r="F985" s="89"/>
    </row>
    <row r="986" spans="2:6" s="6" customFormat="1" x14ac:dyDescent="0.3">
      <c r="B986" s="29"/>
      <c r="C986" s="29"/>
      <c r="D986" s="30"/>
      <c r="E986" s="33"/>
      <c r="F986" s="89"/>
    </row>
    <row r="987" spans="2:6" s="6" customFormat="1" x14ac:dyDescent="0.3">
      <c r="B987" s="29"/>
      <c r="C987" s="29"/>
      <c r="D987" s="30"/>
      <c r="E987" s="33"/>
      <c r="F987" s="89"/>
    </row>
    <row r="988" spans="2:6" s="6" customFormat="1" x14ac:dyDescent="0.3">
      <c r="B988" s="29"/>
      <c r="C988" s="29"/>
      <c r="D988" s="30"/>
      <c r="E988" s="33"/>
      <c r="F988" s="89"/>
    </row>
    <row r="989" spans="2:6" s="6" customFormat="1" x14ac:dyDescent="0.3">
      <c r="B989" s="29"/>
      <c r="C989" s="29"/>
      <c r="D989" s="30"/>
      <c r="E989" s="33"/>
      <c r="F989" s="89"/>
    </row>
    <row r="990" spans="2:6" s="6" customFormat="1" x14ac:dyDescent="0.3">
      <c r="B990" s="29"/>
      <c r="C990" s="29"/>
      <c r="D990" s="30"/>
      <c r="E990" s="33"/>
      <c r="F990" s="89"/>
    </row>
    <row r="991" spans="2:6" s="6" customFormat="1" x14ac:dyDescent="0.3">
      <c r="B991" s="29"/>
      <c r="C991" s="29"/>
      <c r="D991" s="30"/>
      <c r="E991" s="33"/>
      <c r="F991" s="89"/>
    </row>
    <row r="992" spans="2:6" s="6" customFormat="1" x14ac:dyDescent="0.3">
      <c r="B992" s="29"/>
      <c r="C992" s="29"/>
      <c r="D992" s="30"/>
      <c r="E992" s="33"/>
      <c r="F992" s="89"/>
    </row>
    <row r="993" spans="2:6" s="6" customFormat="1" x14ac:dyDescent="0.3">
      <c r="B993" s="29"/>
      <c r="C993" s="29"/>
      <c r="D993" s="30"/>
      <c r="E993" s="33"/>
      <c r="F993" s="89"/>
    </row>
    <row r="994" spans="2:6" s="6" customFormat="1" x14ac:dyDescent="0.3">
      <c r="B994" s="29"/>
      <c r="C994" s="29"/>
      <c r="D994" s="30"/>
      <c r="E994" s="33"/>
      <c r="F994" s="89"/>
    </row>
    <row r="995" spans="2:6" s="6" customFormat="1" x14ac:dyDescent="0.3">
      <c r="B995" s="29"/>
      <c r="C995" s="29"/>
      <c r="D995" s="30"/>
      <c r="E995" s="33"/>
      <c r="F995" s="89"/>
    </row>
    <row r="996" spans="2:6" s="6" customFormat="1" x14ac:dyDescent="0.3">
      <c r="B996" s="29"/>
      <c r="C996" s="29"/>
      <c r="D996" s="30"/>
      <c r="E996" s="33"/>
      <c r="F996" s="89"/>
    </row>
    <row r="997" spans="2:6" s="6" customFormat="1" x14ac:dyDescent="0.3">
      <c r="B997" s="29"/>
      <c r="C997" s="29"/>
      <c r="D997" s="30"/>
      <c r="E997" s="33"/>
      <c r="F997" s="89"/>
    </row>
    <row r="998" spans="2:6" s="6" customFormat="1" x14ac:dyDescent="0.3">
      <c r="B998" s="29"/>
      <c r="C998" s="29"/>
      <c r="D998" s="30"/>
      <c r="E998" s="33"/>
      <c r="F998" s="89"/>
    </row>
    <row r="999" spans="2:6" s="6" customFormat="1" x14ac:dyDescent="0.3">
      <c r="B999" s="29"/>
      <c r="C999" s="29"/>
      <c r="D999" s="30"/>
      <c r="E999" s="33"/>
      <c r="F999" s="89"/>
    </row>
    <row r="1000" spans="2:6" s="6" customFormat="1" x14ac:dyDescent="0.3">
      <c r="B1000" s="29"/>
      <c r="C1000" s="29"/>
      <c r="D1000" s="30"/>
      <c r="E1000" s="33"/>
      <c r="F1000" s="89"/>
    </row>
    <row r="1001" spans="2:6" s="6" customFormat="1" x14ac:dyDescent="0.3">
      <c r="B1001" s="29"/>
      <c r="C1001" s="29"/>
      <c r="D1001" s="30"/>
      <c r="E1001" s="33"/>
      <c r="F1001" s="89"/>
    </row>
    <row r="1002" spans="2:6" s="6" customFormat="1" x14ac:dyDescent="0.3">
      <c r="B1002" s="29"/>
      <c r="C1002" s="29"/>
      <c r="D1002" s="30"/>
      <c r="E1002" s="33"/>
      <c r="F1002" s="89"/>
    </row>
    <row r="1003" spans="2:6" s="6" customFormat="1" x14ac:dyDescent="0.3">
      <c r="B1003" s="29"/>
      <c r="C1003" s="29"/>
      <c r="D1003" s="30"/>
      <c r="E1003" s="33"/>
      <c r="F1003" s="89"/>
    </row>
    <row r="1004" spans="2:6" s="6" customFormat="1" x14ac:dyDescent="0.3">
      <c r="B1004" s="29"/>
      <c r="C1004" s="29"/>
      <c r="D1004" s="30"/>
      <c r="E1004" s="33"/>
      <c r="F1004" s="89"/>
    </row>
    <row r="1005" spans="2:6" s="6" customFormat="1" x14ac:dyDescent="0.3">
      <c r="B1005" s="29"/>
      <c r="C1005" s="29"/>
      <c r="D1005" s="30"/>
      <c r="E1005" s="33"/>
      <c r="F1005" s="89"/>
    </row>
    <row r="1006" spans="2:6" s="6" customFormat="1" x14ac:dyDescent="0.3">
      <c r="B1006" s="29"/>
      <c r="C1006" s="29"/>
      <c r="D1006" s="30"/>
      <c r="E1006" s="33"/>
      <c r="F1006" s="89"/>
    </row>
    <row r="1007" spans="2:6" s="6" customFormat="1" x14ac:dyDescent="0.3">
      <c r="B1007" s="29"/>
      <c r="C1007" s="29"/>
      <c r="D1007" s="30"/>
      <c r="E1007" s="33"/>
      <c r="F1007" s="89"/>
    </row>
    <row r="1008" spans="2:6" s="6" customFormat="1" x14ac:dyDescent="0.3">
      <c r="B1008" s="29"/>
      <c r="C1008" s="29"/>
      <c r="D1008" s="30"/>
      <c r="E1008" s="33"/>
      <c r="F1008" s="89"/>
    </row>
    <row r="1009" spans="2:6" s="6" customFormat="1" x14ac:dyDescent="0.3">
      <c r="B1009" s="29"/>
      <c r="C1009" s="29"/>
      <c r="D1009" s="30"/>
      <c r="E1009" s="33"/>
      <c r="F1009" s="89"/>
    </row>
    <row r="1010" spans="2:6" s="6" customFormat="1" x14ac:dyDescent="0.3">
      <c r="B1010" s="29"/>
      <c r="C1010" s="29"/>
      <c r="D1010" s="30"/>
      <c r="E1010" s="33"/>
      <c r="F1010" s="89"/>
    </row>
    <row r="1011" spans="2:6" s="6" customFormat="1" x14ac:dyDescent="0.3">
      <c r="B1011" s="29"/>
      <c r="C1011" s="29"/>
      <c r="D1011" s="30"/>
      <c r="E1011" s="33"/>
      <c r="F1011" s="89"/>
    </row>
    <row r="1012" spans="2:6" s="6" customFormat="1" x14ac:dyDescent="0.3">
      <c r="B1012" s="29"/>
      <c r="C1012" s="29"/>
      <c r="D1012" s="30"/>
      <c r="E1012" s="33"/>
      <c r="F1012" s="89"/>
    </row>
    <row r="1013" spans="2:6" s="6" customFormat="1" x14ac:dyDescent="0.3">
      <c r="B1013" s="29"/>
      <c r="C1013" s="29"/>
      <c r="D1013" s="30"/>
      <c r="E1013" s="33"/>
      <c r="F1013" s="89"/>
    </row>
    <row r="1014" spans="2:6" s="6" customFormat="1" x14ac:dyDescent="0.3">
      <c r="B1014" s="29"/>
      <c r="C1014" s="29"/>
      <c r="D1014" s="30"/>
      <c r="E1014" s="33"/>
      <c r="F1014" s="89"/>
    </row>
    <row r="1015" spans="2:6" s="6" customFormat="1" x14ac:dyDescent="0.3">
      <c r="B1015" s="29"/>
      <c r="C1015" s="29"/>
      <c r="D1015" s="30"/>
      <c r="E1015" s="33"/>
      <c r="F1015" s="89"/>
    </row>
    <row r="1016" spans="2:6" s="6" customFormat="1" x14ac:dyDescent="0.3">
      <c r="B1016" s="29"/>
      <c r="C1016" s="29"/>
      <c r="D1016" s="30"/>
      <c r="E1016" s="33"/>
      <c r="F1016" s="89"/>
    </row>
    <row r="1017" spans="2:6" s="6" customFormat="1" x14ac:dyDescent="0.3">
      <c r="B1017" s="29"/>
      <c r="C1017" s="29"/>
      <c r="D1017" s="30"/>
      <c r="E1017" s="33"/>
      <c r="F1017" s="89"/>
    </row>
    <row r="1018" spans="2:6" s="6" customFormat="1" x14ac:dyDescent="0.3">
      <c r="B1018" s="29"/>
      <c r="C1018" s="29"/>
      <c r="D1018" s="30"/>
      <c r="E1018" s="33"/>
      <c r="F1018" s="89"/>
    </row>
    <row r="1019" spans="2:6" s="6" customFormat="1" x14ac:dyDescent="0.3">
      <c r="B1019" s="29"/>
      <c r="C1019" s="29"/>
      <c r="D1019" s="30"/>
      <c r="E1019" s="33"/>
      <c r="F1019" s="89"/>
    </row>
    <row r="1020" spans="2:6" s="6" customFormat="1" x14ac:dyDescent="0.3">
      <c r="B1020" s="29"/>
      <c r="C1020" s="29"/>
      <c r="D1020" s="30"/>
      <c r="E1020" s="33"/>
      <c r="F1020" s="89"/>
    </row>
    <row r="1021" spans="2:6" s="6" customFormat="1" x14ac:dyDescent="0.3">
      <c r="B1021" s="29"/>
      <c r="C1021" s="29"/>
      <c r="D1021" s="30"/>
      <c r="E1021" s="33"/>
      <c r="F1021" s="89"/>
    </row>
    <row r="1022" spans="2:6" s="6" customFormat="1" x14ac:dyDescent="0.3">
      <c r="B1022" s="29"/>
      <c r="C1022" s="29"/>
      <c r="D1022" s="30"/>
      <c r="E1022" s="33"/>
      <c r="F1022" s="89"/>
    </row>
    <row r="1023" spans="2:6" s="6" customFormat="1" x14ac:dyDescent="0.3">
      <c r="B1023" s="29"/>
      <c r="C1023" s="29"/>
      <c r="D1023" s="30"/>
      <c r="E1023" s="33"/>
      <c r="F1023" s="89"/>
    </row>
    <row r="1024" spans="2:6" s="6" customFormat="1" x14ac:dyDescent="0.3">
      <c r="B1024" s="29"/>
      <c r="C1024" s="29"/>
      <c r="D1024" s="30"/>
      <c r="E1024" s="33"/>
      <c r="F1024" s="89"/>
    </row>
    <row r="1025" spans="2:6" s="6" customFormat="1" x14ac:dyDescent="0.3">
      <c r="B1025" s="29"/>
      <c r="C1025" s="29"/>
      <c r="D1025" s="30"/>
      <c r="E1025" s="33"/>
      <c r="F1025" s="89"/>
    </row>
    <row r="1026" spans="2:6" s="6" customFormat="1" x14ac:dyDescent="0.3">
      <c r="B1026" s="29"/>
      <c r="C1026" s="29"/>
      <c r="D1026" s="30"/>
      <c r="E1026" s="33"/>
      <c r="F1026" s="89"/>
    </row>
    <row r="1027" spans="2:6" s="6" customFormat="1" x14ac:dyDescent="0.3">
      <c r="B1027" s="29"/>
      <c r="C1027" s="29"/>
      <c r="D1027" s="30"/>
      <c r="E1027" s="33"/>
      <c r="F1027" s="89"/>
    </row>
    <row r="1028" spans="2:6" s="6" customFormat="1" x14ac:dyDescent="0.3">
      <c r="B1028" s="29"/>
      <c r="C1028" s="29"/>
      <c r="D1028" s="30"/>
      <c r="E1028" s="33"/>
      <c r="F1028" s="89"/>
    </row>
    <row r="1029" spans="2:6" s="6" customFormat="1" x14ac:dyDescent="0.3">
      <c r="B1029" s="29"/>
      <c r="C1029" s="29"/>
      <c r="D1029" s="30"/>
      <c r="E1029" s="33"/>
      <c r="F1029" s="89"/>
    </row>
    <row r="1030" spans="2:6" s="6" customFormat="1" x14ac:dyDescent="0.3">
      <c r="B1030" s="29"/>
      <c r="C1030" s="29"/>
      <c r="D1030" s="30"/>
      <c r="E1030" s="33"/>
      <c r="F1030" s="89"/>
    </row>
    <row r="1031" spans="2:6" s="6" customFormat="1" x14ac:dyDescent="0.3">
      <c r="B1031" s="29"/>
      <c r="C1031" s="29"/>
      <c r="D1031" s="30"/>
      <c r="E1031" s="33"/>
      <c r="F1031" s="89"/>
    </row>
    <row r="1032" spans="2:6" s="6" customFormat="1" x14ac:dyDescent="0.3">
      <c r="B1032" s="29"/>
      <c r="C1032" s="29"/>
      <c r="D1032" s="30"/>
      <c r="E1032" s="33"/>
      <c r="F1032" s="89"/>
    </row>
    <row r="1033" spans="2:6" s="6" customFormat="1" x14ac:dyDescent="0.3">
      <c r="B1033" s="29"/>
      <c r="C1033" s="29"/>
      <c r="D1033" s="30"/>
      <c r="E1033" s="33"/>
      <c r="F1033" s="89"/>
    </row>
    <row r="1034" spans="2:6" s="6" customFormat="1" x14ac:dyDescent="0.3">
      <c r="B1034" s="29"/>
      <c r="C1034" s="29"/>
      <c r="D1034" s="30"/>
      <c r="E1034" s="33"/>
      <c r="F1034" s="89"/>
    </row>
    <row r="1035" spans="2:6" s="6" customFormat="1" x14ac:dyDescent="0.3">
      <c r="B1035" s="29"/>
      <c r="C1035" s="29"/>
      <c r="D1035" s="30"/>
      <c r="E1035" s="33"/>
      <c r="F1035" s="89"/>
    </row>
    <row r="1036" spans="2:6" s="6" customFormat="1" x14ac:dyDescent="0.3">
      <c r="B1036" s="29"/>
      <c r="C1036" s="29"/>
      <c r="D1036" s="30"/>
      <c r="E1036" s="33"/>
      <c r="F1036" s="89"/>
    </row>
    <row r="1037" spans="2:6" s="6" customFormat="1" x14ac:dyDescent="0.3">
      <c r="B1037" s="29"/>
      <c r="C1037" s="29"/>
      <c r="D1037" s="30"/>
      <c r="E1037" s="33"/>
      <c r="F1037" s="89"/>
    </row>
    <row r="1038" spans="2:6" s="6" customFormat="1" x14ac:dyDescent="0.3">
      <c r="B1038" s="29"/>
      <c r="C1038" s="29"/>
      <c r="D1038" s="30"/>
      <c r="E1038" s="33"/>
      <c r="F1038" s="89"/>
    </row>
    <row r="1039" spans="2:6" s="6" customFormat="1" x14ac:dyDescent="0.3">
      <c r="B1039" s="29"/>
      <c r="C1039" s="29"/>
      <c r="D1039" s="30"/>
      <c r="E1039" s="33"/>
      <c r="F1039" s="89"/>
    </row>
    <row r="1040" spans="2:6" s="6" customFormat="1" x14ac:dyDescent="0.3">
      <c r="B1040" s="29"/>
      <c r="C1040" s="29"/>
      <c r="D1040" s="30"/>
      <c r="E1040" s="33"/>
      <c r="F1040" s="89"/>
    </row>
    <row r="1041" spans="2:6" s="6" customFormat="1" x14ac:dyDescent="0.3">
      <c r="B1041" s="29"/>
      <c r="C1041" s="29"/>
      <c r="D1041" s="30"/>
      <c r="E1041" s="33"/>
      <c r="F1041" s="89"/>
    </row>
    <row r="1042" spans="2:6" s="6" customFormat="1" x14ac:dyDescent="0.3">
      <c r="B1042" s="29"/>
      <c r="C1042" s="29"/>
      <c r="D1042" s="30"/>
      <c r="E1042" s="33"/>
      <c r="F1042" s="89"/>
    </row>
    <row r="1043" spans="2:6" s="6" customFormat="1" x14ac:dyDescent="0.3">
      <c r="B1043" s="29"/>
      <c r="C1043" s="29"/>
      <c r="D1043" s="30"/>
      <c r="E1043" s="33"/>
      <c r="F1043" s="89"/>
    </row>
    <row r="1044" spans="2:6" s="6" customFormat="1" x14ac:dyDescent="0.3">
      <c r="B1044" s="29"/>
      <c r="C1044" s="29"/>
      <c r="D1044" s="30"/>
      <c r="E1044" s="33"/>
      <c r="F1044" s="89"/>
    </row>
    <row r="1045" spans="2:6" s="6" customFormat="1" x14ac:dyDescent="0.3">
      <c r="B1045" s="29"/>
      <c r="C1045" s="29"/>
      <c r="D1045" s="30"/>
      <c r="E1045" s="33"/>
      <c r="F1045" s="89"/>
    </row>
    <row r="1046" spans="2:6" s="6" customFormat="1" x14ac:dyDescent="0.3">
      <c r="B1046" s="29"/>
      <c r="C1046" s="29"/>
      <c r="D1046" s="30"/>
      <c r="E1046" s="33"/>
      <c r="F1046" s="89"/>
    </row>
    <row r="1047" spans="2:6" s="6" customFormat="1" x14ac:dyDescent="0.3">
      <c r="B1047" s="29"/>
      <c r="C1047" s="29"/>
      <c r="D1047" s="30"/>
      <c r="E1047" s="33"/>
      <c r="F1047" s="89"/>
    </row>
    <row r="1048" spans="2:6" s="6" customFormat="1" x14ac:dyDescent="0.3">
      <c r="B1048" s="29"/>
      <c r="C1048" s="29"/>
      <c r="D1048" s="30"/>
      <c r="E1048" s="33"/>
      <c r="F1048" s="89"/>
    </row>
    <row r="1049" spans="2:6" s="6" customFormat="1" x14ac:dyDescent="0.3">
      <c r="B1049" s="29"/>
      <c r="C1049" s="29"/>
      <c r="D1049" s="30"/>
      <c r="E1049" s="33"/>
      <c r="F1049" s="89"/>
    </row>
    <row r="1050" spans="2:6" s="6" customFormat="1" x14ac:dyDescent="0.3">
      <c r="B1050" s="29"/>
      <c r="C1050" s="29"/>
      <c r="D1050" s="30"/>
      <c r="E1050" s="33"/>
      <c r="F1050" s="89"/>
    </row>
    <row r="1051" spans="2:6" s="6" customFormat="1" x14ac:dyDescent="0.3">
      <c r="B1051" s="29"/>
      <c r="C1051" s="29"/>
      <c r="D1051" s="30"/>
      <c r="E1051" s="33"/>
      <c r="F1051" s="89"/>
    </row>
    <row r="1052" spans="2:6" s="6" customFormat="1" x14ac:dyDescent="0.3">
      <c r="B1052" s="29"/>
      <c r="C1052" s="29"/>
      <c r="D1052" s="30"/>
      <c r="E1052" s="33"/>
      <c r="F1052" s="89"/>
    </row>
    <row r="1053" spans="2:6" s="6" customFormat="1" x14ac:dyDescent="0.3">
      <c r="B1053" s="29"/>
      <c r="C1053" s="29"/>
      <c r="D1053" s="30"/>
      <c r="E1053" s="33"/>
      <c r="F1053" s="89"/>
    </row>
    <row r="1054" spans="2:6" s="6" customFormat="1" x14ac:dyDescent="0.3">
      <c r="B1054" s="29"/>
      <c r="C1054" s="29"/>
      <c r="D1054" s="30"/>
      <c r="E1054" s="33"/>
      <c r="F1054" s="89"/>
    </row>
    <row r="1055" spans="2:6" s="6" customFormat="1" x14ac:dyDescent="0.3">
      <c r="B1055" s="29"/>
      <c r="C1055" s="29"/>
      <c r="D1055" s="30"/>
      <c r="E1055" s="33"/>
      <c r="F1055" s="89"/>
    </row>
    <row r="1056" spans="2:6" s="6" customFormat="1" x14ac:dyDescent="0.3">
      <c r="B1056" s="29"/>
      <c r="C1056" s="29"/>
      <c r="D1056" s="30"/>
      <c r="E1056" s="33"/>
      <c r="F1056" s="89"/>
    </row>
    <row r="1057" spans="2:6" s="6" customFormat="1" x14ac:dyDescent="0.3">
      <c r="B1057" s="29"/>
      <c r="C1057" s="29"/>
      <c r="D1057" s="30"/>
      <c r="E1057" s="33"/>
      <c r="F1057" s="89"/>
    </row>
    <row r="1058" spans="2:6" s="6" customFormat="1" x14ac:dyDescent="0.3">
      <c r="B1058" s="29"/>
      <c r="C1058" s="29"/>
      <c r="D1058" s="30"/>
      <c r="E1058" s="33"/>
      <c r="F1058" s="89"/>
    </row>
    <row r="1059" spans="2:6" s="6" customFormat="1" x14ac:dyDescent="0.3">
      <c r="B1059" s="29"/>
      <c r="C1059" s="29"/>
      <c r="D1059" s="30"/>
      <c r="E1059" s="33"/>
      <c r="F1059" s="89"/>
    </row>
    <row r="1060" spans="2:6" s="6" customFormat="1" x14ac:dyDescent="0.3">
      <c r="B1060" s="29"/>
      <c r="C1060" s="29"/>
      <c r="D1060" s="30"/>
      <c r="E1060" s="33"/>
      <c r="F1060" s="89"/>
    </row>
    <row r="1061" spans="2:6" s="6" customFormat="1" x14ac:dyDescent="0.3">
      <c r="B1061" s="29"/>
      <c r="C1061" s="29"/>
      <c r="D1061" s="30"/>
      <c r="E1061" s="33"/>
      <c r="F1061" s="89"/>
    </row>
    <row r="1062" spans="2:6" s="6" customFormat="1" x14ac:dyDescent="0.3">
      <c r="B1062" s="29"/>
      <c r="C1062" s="29"/>
      <c r="D1062" s="30"/>
      <c r="E1062" s="33"/>
      <c r="F1062" s="89"/>
    </row>
    <row r="1063" spans="2:6" s="6" customFormat="1" x14ac:dyDescent="0.3">
      <c r="B1063" s="29"/>
      <c r="C1063" s="29"/>
      <c r="D1063" s="30"/>
      <c r="E1063" s="33"/>
      <c r="F1063" s="89"/>
    </row>
    <row r="1064" spans="2:6" s="6" customFormat="1" x14ac:dyDescent="0.3">
      <c r="B1064" s="29"/>
      <c r="C1064" s="29"/>
      <c r="D1064" s="30"/>
      <c r="E1064" s="33"/>
      <c r="F1064" s="89"/>
    </row>
    <row r="1065" spans="2:6" s="6" customFormat="1" x14ac:dyDescent="0.3">
      <c r="B1065" s="29"/>
      <c r="C1065" s="29"/>
      <c r="D1065" s="30"/>
      <c r="E1065" s="33"/>
      <c r="F1065" s="89"/>
    </row>
    <row r="1066" spans="2:6" s="6" customFormat="1" x14ac:dyDescent="0.3">
      <c r="B1066" s="29"/>
      <c r="C1066" s="29"/>
      <c r="D1066" s="30"/>
      <c r="E1066" s="33"/>
      <c r="F1066" s="89"/>
    </row>
    <row r="1067" spans="2:6" s="6" customFormat="1" x14ac:dyDescent="0.3">
      <c r="B1067" s="29"/>
      <c r="C1067" s="29"/>
      <c r="D1067" s="30"/>
      <c r="E1067" s="33"/>
      <c r="F1067" s="89"/>
    </row>
    <row r="1068" spans="2:6" s="6" customFormat="1" x14ac:dyDescent="0.3">
      <c r="B1068" s="29"/>
      <c r="C1068" s="29"/>
      <c r="D1068" s="30"/>
      <c r="E1068" s="33"/>
      <c r="F1068" s="89"/>
    </row>
    <row r="1069" spans="2:6" s="6" customFormat="1" x14ac:dyDescent="0.3">
      <c r="B1069" s="29"/>
      <c r="C1069" s="29"/>
      <c r="D1069" s="30"/>
      <c r="E1069" s="33"/>
      <c r="F1069" s="89"/>
    </row>
    <row r="1070" spans="2:6" s="6" customFormat="1" x14ac:dyDescent="0.3">
      <c r="B1070" s="29"/>
      <c r="C1070" s="29"/>
      <c r="D1070" s="30"/>
      <c r="E1070" s="33"/>
      <c r="F1070" s="89"/>
    </row>
    <row r="1071" spans="2:6" s="6" customFormat="1" x14ac:dyDescent="0.3">
      <c r="B1071" s="29"/>
      <c r="C1071" s="29"/>
      <c r="D1071" s="30"/>
      <c r="E1071" s="33"/>
      <c r="F1071" s="89"/>
    </row>
    <row r="1072" spans="2:6" s="6" customFormat="1" x14ac:dyDescent="0.3">
      <c r="B1072" s="29"/>
      <c r="C1072" s="29"/>
      <c r="D1072" s="30"/>
      <c r="E1072" s="33"/>
      <c r="F1072" s="89"/>
    </row>
    <row r="1073" spans="2:6" s="6" customFormat="1" x14ac:dyDescent="0.3">
      <c r="B1073" s="29"/>
      <c r="C1073" s="29"/>
      <c r="D1073" s="30"/>
      <c r="E1073" s="33"/>
      <c r="F1073" s="89"/>
    </row>
    <row r="1074" spans="2:6" s="6" customFormat="1" x14ac:dyDescent="0.3">
      <c r="B1074" s="29"/>
      <c r="C1074" s="29"/>
      <c r="D1074" s="30"/>
      <c r="E1074" s="33"/>
      <c r="F1074" s="89"/>
    </row>
    <row r="1075" spans="2:6" s="6" customFormat="1" x14ac:dyDescent="0.3">
      <c r="B1075" s="29"/>
      <c r="C1075" s="29"/>
      <c r="D1075" s="30"/>
      <c r="E1075" s="33"/>
      <c r="F1075" s="89"/>
    </row>
    <row r="1076" spans="2:6" s="6" customFormat="1" x14ac:dyDescent="0.3">
      <c r="B1076" s="29"/>
      <c r="C1076" s="29"/>
      <c r="D1076" s="30"/>
      <c r="E1076" s="33"/>
      <c r="F1076" s="89"/>
    </row>
    <row r="1077" spans="2:6" s="6" customFormat="1" x14ac:dyDescent="0.3">
      <c r="B1077" s="29"/>
      <c r="C1077" s="29"/>
      <c r="D1077" s="30"/>
      <c r="E1077" s="33"/>
      <c r="F1077" s="89"/>
    </row>
    <row r="1078" spans="2:6" s="6" customFormat="1" x14ac:dyDescent="0.3">
      <c r="B1078" s="29"/>
      <c r="C1078" s="29"/>
      <c r="D1078" s="30"/>
      <c r="E1078" s="33"/>
      <c r="F1078" s="89"/>
    </row>
    <row r="1079" spans="2:6" s="6" customFormat="1" x14ac:dyDescent="0.3">
      <c r="B1079" s="29"/>
      <c r="C1079" s="29"/>
      <c r="D1079" s="30"/>
      <c r="E1079" s="33"/>
      <c r="F1079" s="89"/>
    </row>
    <row r="1080" spans="2:6" s="6" customFormat="1" x14ac:dyDescent="0.3">
      <c r="B1080" s="29"/>
      <c r="C1080" s="29"/>
      <c r="D1080" s="30"/>
      <c r="E1080" s="33"/>
      <c r="F1080" s="89"/>
    </row>
    <row r="1081" spans="2:6" s="6" customFormat="1" x14ac:dyDescent="0.3">
      <c r="B1081" s="29"/>
      <c r="C1081" s="29"/>
      <c r="D1081" s="30"/>
      <c r="E1081" s="33"/>
      <c r="F1081" s="89"/>
    </row>
    <row r="1082" spans="2:6" s="6" customFormat="1" x14ac:dyDescent="0.3">
      <c r="B1082" s="29"/>
      <c r="C1082" s="29"/>
      <c r="D1082" s="30"/>
      <c r="E1082" s="33"/>
      <c r="F1082" s="89"/>
    </row>
    <row r="1083" spans="2:6" s="6" customFormat="1" x14ac:dyDescent="0.3">
      <c r="B1083" s="29"/>
      <c r="C1083" s="29"/>
      <c r="D1083" s="30"/>
      <c r="E1083" s="33"/>
      <c r="F1083" s="89"/>
    </row>
    <row r="1084" spans="2:6" s="6" customFormat="1" x14ac:dyDescent="0.3">
      <c r="B1084" s="29"/>
      <c r="C1084" s="29"/>
      <c r="D1084" s="30"/>
      <c r="E1084" s="33"/>
      <c r="F1084" s="89"/>
    </row>
    <row r="1085" spans="2:6" s="6" customFormat="1" x14ac:dyDescent="0.3">
      <c r="B1085" s="29"/>
      <c r="C1085" s="29"/>
      <c r="D1085" s="30"/>
      <c r="E1085" s="33"/>
      <c r="F1085" s="89"/>
    </row>
    <row r="1086" spans="2:6" s="6" customFormat="1" x14ac:dyDescent="0.3">
      <c r="B1086" s="29"/>
      <c r="C1086" s="29"/>
      <c r="D1086" s="30"/>
      <c r="E1086" s="33"/>
      <c r="F1086" s="89"/>
    </row>
    <row r="1087" spans="2:6" s="6" customFormat="1" x14ac:dyDescent="0.3">
      <c r="B1087" s="29"/>
      <c r="C1087" s="29"/>
      <c r="D1087" s="30"/>
      <c r="E1087" s="33"/>
      <c r="F1087" s="89"/>
    </row>
    <row r="1088" spans="2:6" s="6" customFormat="1" x14ac:dyDescent="0.3">
      <c r="B1088" s="29"/>
      <c r="C1088" s="29"/>
      <c r="D1088" s="30"/>
      <c r="E1088" s="33"/>
      <c r="F1088" s="89"/>
    </row>
    <row r="1089" spans="2:6" s="6" customFormat="1" x14ac:dyDescent="0.3">
      <c r="B1089" s="29"/>
      <c r="C1089" s="29"/>
      <c r="D1089" s="30"/>
      <c r="E1089" s="33"/>
      <c r="F1089" s="89"/>
    </row>
    <row r="1090" spans="2:6" s="6" customFormat="1" x14ac:dyDescent="0.3">
      <c r="B1090" s="29"/>
      <c r="C1090" s="29"/>
      <c r="D1090" s="30"/>
      <c r="E1090" s="33"/>
      <c r="F1090" s="89"/>
    </row>
    <row r="1091" spans="2:6" s="6" customFormat="1" x14ac:dyDescent="0.3">
      <c r="B1091" s="29"/>
      <c r="C1091" s="29"/>
      <c r="D1091" s="30"/>
      <c r="E1091" s="33"/>
      <c r="F1091" s="89"/>
    </row>
    <row r="1092" spans="2:6" s="6" customFormat="1" x14ac:dyDescent="0.3">
      <c r="B1092" s="29"/>
      <c r="C1092" s="29"/>
      <c r="D1092" s="30"/>
      <c r="E1092" s="33"/>
      <c r="F1092" s="89"/>
    </row>
    <row r="1093" spans="2:6" s="6" customFormat="1" x14ac:dyDescent="0.3">
      <c r="B1093" s="29"/>
      <c r="C1093" s="29"/>
      <c r="D1093" s="30"/>
      <c r="E1093" s="33"/>
      <c r="F1093" s="89"/>
    </row>
    <row r="1094" spans="2:6" s="6" customFormat="1" x14ac:dyDescent="0.3">
      <c r="B1094" s="29"/>
      <c r="C1094" s="29"/>
      <c r="D1094" s="30"/>
      <c r="E1094" s="33"/>
      <c r="F1094" s="89"/>
    </row>
    <row r="1095" spans="2:6" s="6" customFormat="1" x14ac:dyDescent="0.3">
      <c r="B1095" s="29"/>
      <c r="C1095" s="29"/>
      <c r="D1095" s="30"/>
      <c r="E1095" s="33"/>
      <c r="F1095" s="89"/>
    </row>
    <row r="1096" spans="2:6" s="6" customFormat="1" x14ac:dyDescent="0.3">
      <c r="B1096" s="29"/>
      <c r="C1096" s="29"/>
      <c r="D1096" s="30"/>
      <c r="E1096" s="33"/>
      <c r="F1096" s="89"/>
    </row>
    <row r="1097" spans="2:6" s="6" customFormat="1" x14ac:dyDescent="0.3">
      <c r="B1097" s="29"/>
      <c r="C1097" s="29"/>
      <c r="D1097" s="30"/>
      <c r="E1097" s="33"/>
      <c r="F1097" s="89"/>
    </row>
    <row r="1098" spans="2:6" s="6" customFormat="1" x14ac:dyDescent="0.3">
      <c r="B1098" s="29"/>
      <c r="C1098" s="29"/>
      <c r="D1098" s="30"/>
      <c r="E1098" s="33"/>
      <c r="F1098" s="89"/>
    </row>
    <row r="1099" spans="2:6" s="6" customFormat="1" x14ac:dyDescent="0.3">
      <c r="B1099" s="29"/>
      <c r="C1099" s="29"/>
      <c r="D1099" s="30"/>
      <c r="E1099" s="33"/>
      <c r="F1099" s="89"/>
    </row>
    <row r="1100" spans="2:6" s="6" customFormat="1" x14ac:dyDescent="0.3">
      <c r="B1100" s="29"/>
      <c r="C1100" s="29"/>
      <c r="D1100" s="30"/>
      <c r="E1100" s="33"/>
      <c r="F1100" s="89"/>
    </row>
    <row r="1101" spans="2:6" s="6" customFormat="1" x14ac:dyDescent="0.3">
      <c r="B1101" s="29"/>
      <c r="C1101" s="29"/>
      <c r="D1101" s="30"/>
      <c r="E1101" s="33"/>
      <c r="F1101" s="89"/>
    </row>
    <row r="1102" spans="2:6" s="6" customFormat="1" x14ac:dyDescent="0.3">
      <c r="B1102" s="29"/>
      <c r="C1102" s="29"/>
      <c r="D1102" s="30"/>
      <c r="E1102" s="33"/>
      <c r="F1102" s="89"/>
    </row>
    <row r="1103" spans="2:6" s="6" customFormat="1" x14ac:dyDescent="0.3">
      <c r="B1103" s="29"/>
      <c r="C1103" s="29"/>
      <c r="D1103" s="30"/>
      <c r="E1103" s="33"/>
      <c r="F1103" s="89"/>
    </row>
    <row r="1104" spans="2:6" s="6" customFormat="1" x14ac:dyDescent="0.3">
      <c r="B1104" s="29"/>
      <c r="C1104" s="29"/>
      <c r="D1104" s="30"/>
      <c r="E1104" s="33"/>
      <c r="F1104" s="89"/>
    </row>
    <row r="1105" spans="2:6" s="6" customFormat="1" x14ac:dyDescent="0.3">
      <c r="B1105" s="29"/>
      <c r="C1105" s="29"/>
      <c r="D1105" s="30"/>
      <c r="E1105" s="33"/>
      <c r="F1105" s="89"/>
    </row>
    <row r="1106" spans="2:6" s="6" customFormat="1" x14ac:dyDescent="0.3">
      <c r="B1106" s="29"/>
      <c r="C1106" s="29"/>
      <c r="D1106" s="30"/>
      <c r="E1106" s="33"/>
      <c r="F1106" s="89"/>
    </row>
    <row r="1107" spans="2:6" s="6" customFormat="1" x14ac:dyDescent="0.3">
      <c r="B1107" s="29"/>
      <c r="C1107" s="29"/>
      <c r="D1107" s="30"/>
      <c r="E1107" s="33"/>
      <c r="F1107" s="89"/>
    </row>
    <row r="1108" spans="2:6" s="6" customFormat="1" x14ac:dyDescent="0.3">
      <c r="B1108" s="29"/>
      <c r="C1108" s="29"/>
      <c r="D1108" s="30"/>
      <c r="E1108" s="33"/>
      <c r="F1108" s="89"/>
    </row>
    <row r="1109" spans="2:6" s="6" customFormat="1" x14ac:dyDescent="0.3">
      <c r="B1109" s="29"/>
      <c r="C1109" s="29"/>
      <c r="D1109" s="30"/>
      <c r="E1109" s="33"/>
      <c r="F1109" s="89"/>
    </row>
    <row r="1110" spans="2:6" s="6" customFormat="1" x14ac:dyDescent="0.3">
      <c r="B1110" s="29"/>
      <c r="C1110" s="29"/>
      <c r="D1110" s="30"/>
      <c r="E1110" s="33"/>
      <c r="F1110" s="89"/>
    </row>
    <row r="1111" spans="2:6" s="6" customFormat="1" x14ac:dyDescent="0.3">
      <c r="B1111" s="29"/>
      <c r="C1111" s="29"/>
      <c r="D1111" s="30"/>
      <c r="E1111" s="33"/>
      <c r="F1111" s="89"/>
    </row>
    <row r="1112" spans="2:6" s="6" customFormat="1" x14ac:dyDescent="0.3">
      <c r="B1112" s="29"/>
      <c r="C1112" s="29"/>
      <c r="D1112" s="30"/>
      <c r="E1112" s="33"/>
      <c r="F1112" s="89"/>
    </row>
    <row r="1113" spans="2:6" s="6" customFormat="1" x14ac:dyDescent="0.3">
      <c r="B1113" s="29"/>
      <c r="C1113" s="29"/>
      <c r="D1113" s="30"/>
      <c r="E1113" s="33"/>
      <c r="F1113" s="89"/>
    </row>
    <row r="1114" spans="2:6" s="6" customFormat="1" x14ac:dyDescent="0.3">
      <c r="B1114" s="29"/>
      <c r="C1114" s="29"/>
      <c r="D1114" s="30"/>
      <c r="E1114" s="33"/>
      <c r="F1114" s="89"/>
    </row>
    <row r="1115" spans="2:6" s="6" customFormat="1" x14ac:dyDescent="0.3">
      <c r="B1115" s="29"/>
      <c r="C1115" s="29"/>
      <c r="D1115" s="30"/>
      <c r="E1115" s="33"/>
      <c r="F1115" s="89"/>
    </row>
    <row r="1116" spans="2:6" s="6" customFormat="1" x14ac:dyDescent="0.3">
      <c r="B1116" s="29"/>
      <c r="C1116" s="29"/>
      <c r="D1116" s="30"/>
      <c r="E1116" s="33"/>
      <c r="F1116" s="89"/>
    </row>
    <row r="1117" spans="2:6" s="6" customFormat="1" x14ac:dyDescent="0.3">
      <c r="B1117" s="29"/>
      <c r="C1117" s="29"/>
      <c r="D1117" s="30"/>
      <c r="E1117" s="33"/>
      <c r="F1117" s="89"/>
    </row>
    <row r="1118" spans="2:6" s="6" customFormat="1" x14ac:dyDescent="0.3">
      <c r="B1118" s="29"/>
      <c r="C1118" s="29"/>
      <c r="D1118" s="30"/>
      <c r="E1118" s="33"/>
      <c r="F1118" s="89"/>
    </row>
    <row r="1119" spans="2:6" s="6" customFormat="1" x14ac:dyDescent="0.3">
      <c r="B1119" s="29"/>
      <c r="C1119" s="29"/>
      <c r="D1119" s="30"/>
      <c r="E1119" s="33"/>
      <c r="F1119" s="89"/>
    </row>
    <row r="1120" spans="2:6" s="6" customFormat="1" x14ac:dyDescent="0.3">
      <c r="B1120" s="29"/>
      <c r="C1120" s="29"/>
      <c r="D1120" s="30"/>
      <c r="E1120" s="33"/>
      <c r="F1120" s="89"/>
    </row>
    <row r="1121" spans="2:6" s="6" customFormat="1" x14ac:dyDescent="0.3">
      <c r="B1121" s="29"/>
      <c r="C1121" s="29"/>
      <c r="D1121" s="30"/>
      <c r="E1121" s="33"/>
      <c r="F1121" s="89"/>
    </row>
    <row r="1122" spans="2:6" s="6" customFormat="1" x14ac:dyDescent="0.3">
      <c r="B1122" s="29"/>
      <c r="C1122" s="29"/>
      <c r="D1122" s="30"/>
      <c r="E1122" s="33"/>
      <c r="F1122" s="89"/>
    </row>
    <row r="1123" spans="2:6" s="6" customFormat="1" x14ac:dyDescent="0.3">
      <c r="B1123" s="29"/>
      <c r="C1123" s="29"/>
      <c r="D1123" s="30"/>
      <c r="E1123" s="33"/>
      <c r="F1123" s="89"/>
    </row>
    <row r="1124" spans="2:6" s="6" customFormat="1" x14ac:dyDescent="0.3">
      <c r="B1124" s="29"/>
      <c r="C1124" s="29"/>
      <c r="D1124" s="30"/>
      <c r="E1124" s="33"/>
      <c r="F1124" s="89"/>
    </row>
    <row r="1125" spans="2:6" s="6" customFormat="1" x14ac:dyDescent="0.3">
      <c r="B1125" s="29"/>
      <c r="C1125" s="29"/>
      <c r="D1125" s="30"/>
      <c r="E1125" s="33"/>
      <c r="F1125" s="89"/>
    </row>
    <row r="1126" spans="2:6" s="6" customFormat="1" x14ac:dyDescent="0.3">
      <c r="B1126" s="29"/>
      <c r="C1126" s="29"/>
      <c r="D1126" s="30"/>
      <c r="E1126" s="33"/>
      <c r="F1126" s="89"/>
    </row>
    <row r="1127" spans="2:6" s="6" customFormat="1" x14ac:dyDescent="0.3">
      <c r="B1127" s="29"/>
      <c r="C1127" s="29"/>
      <c r="D1127" s="30"/>
      <c r="E1127" s="33"/>
      <c r="F1127" s="89"/>
    </row>
    <row r="1128" spans="2:6" s="6" customFormat="1" x14ac:dyDescent="0.3">
      <c r="B1128" s="29"/>
      <c r="C1128" s="29"/>
      <c r="D1128" s="30"/>
      <c r="E1128" s="33"/>
      <c r="F1128" s="89"/>
    </row>
    <row r="1129" spans="2:6" s="6" customFormat="1" x14ac:dyDescent="0.3">
      <c r="B1129" s="29"/>
      <c r="C1129" s="29"/>
      <c r="D1129" s="30"/>
      <c r="E1129" s="33"/>
      <c r="F1129" s="89"/>
    </row>
    <row r="1130" spans="2:6" s="6" customFormat="1" x14ac:dyDescent="0.3">
      <c r="B1130" s="29"/>
      <c r="C1130" s="29"/>
      <c r="D1130" s="30"/>
      <c r="E1130" s="33"/>
      <c r="F1130" s="89"/>
    </row>
    <row r="1131" spans="2:6" s="6" customFormat="1" x14ac:dyDescent="0.3">
      <c r="B1131" s="29"/>
      <c r="C1131" s="29"/>
      <c r="D1131" s="30"/>
      <c r="E1131" s="33"/>
      <c r="F1131" s="89"/>
    </row>
    <row r="1132" spans="2:6" s="6" customFormat="1" x14ac:dyDescent="0.3">
      <c r="B1132" s="29"/>
      <c r="C1132" s="29"/>
      <c r="D1132" s="30"/>
      <c r="E1132" s="33"/>
      <c r="F1132" s="89"/>
    </row>
    <row r="1133" spans="2:6" s="6" customFormat="1" x14ac:dyDescent="0.3">
      <c r="B1133" s="29"/>
      <c r="C1133" s="29"/>
      <c r="D1133" s="30"/>
      <c r="E1133" s="33"/>
      <c r="F1133" s="89"/>
    </row>
    <row r="1134" spans="2:6" s="6" customFormat="1" x14ac:dyDescent="0.3">
      <c r="B1134" s="29"/>
      <c r="C1134" s="29"/>
      <c r="D1134" s="30"/>
      <c r="E1134" s="33"/>
      <c r="F1134" s="89"/>
    </row>
    <row r="1135" spans="2:6" s="6" customFormat="1" x14ac:dyDescent="0.3">
      <c r="B1135" s="29"/>
      <c r="C1135" s="29"/>
      <c r="D1135" s="30"/>
      <c r="E1135" s="33"/>
      <c r="F1135" s="89"/>
    </row>
    <row r="1136" spans="2:6" s="6" customFormat="1" x14ac:dyDescent="0.3">
      <c r="B1136" s="29"/>
      <c r="C1136" s="29"/>
      <c r="D1136" s="30"/>
      <c r="E1136" s="33"/>
      <c r="F1136" s="89"/>
    </row>
    <row r="1137" spans="2:6" s="6" customFormat="1" x14ac:dyDescent="0.3">
      <c r="B1137" s="29"/>
      <c r="C1137" s="29"/>
      <c r="D1137" s="30"/>
      <c r="E1137" s="33"/>
      <c r="F1137" s="89"/>
    </row>
    <row r="1138" spans="2:6" s="6" customFormat="1" x14ac:dyDescent="0.3">
      <c r="B1138" s="29"/>
      <c r="C1138" s="29"/>
      <c r="D1138" s="30"/>
      <c r="E1138" s="33"/>
      <c r="F1138" s="89"/>
    </row>
    <row r="1139" spans="2:6" s="6" customFormat="1" x14ac:dyDescent="0.3">
      <c r="B1139" s="29"/>
      <c r="C1139" s="29"/>
      <c r="D1139" s="30"/>
      <c r="E1139" s="33"/>
      <c r="F1139" s="89"/>
    </row>
    <row r="1140" spans="2:6" s="6" customFormat="1" x14ac:dyDescent="0.3">
      <c r="B1140" s="29"/>
      <c r="C1140" s="29"/>
      <c r="D1140" s="30"/>
      <c r="E1140" s="33"/>
      <c r="F1140" s="89"/>
    </row>
    <row r="1141" spans="2:6" s="6" customFormat="1" x14ac:dyDescent="0.3">
      <c r="B1141" s="29"/>
      <c r="C1141" s="29"/>
      <c r="D1141" s="30"/>
      <c r="E1141" s="33"/>
      <c r="F1141" s="89"/>
    </row>
    <row r="1142" spans="2:6" s="6" customFormat="1" x14ac:dyDescent="0.3">
      <c r="B1142" s="29"/>
      <c r="C1142" s="29"/>
      <c r="D1142" s="30"/>
      <c r="E1142" s="33"/>
      <c r="F1142" s="89"/>
    </row>
    <row r="1143" spans="2:6" s="6" customFormat="1" x14ac:dyDescent="0.3">
      <c r="B1143" s="29"/>
      <c r="C1143" s="29"/>
      <c r="D1143" s="30"/>
      <c r="E1143" s="33"/>
      <c r="F1143" s="89"/>
    </row>
    <row r="1144" spans="2:6" s="6" customFormat="1" x14ac:dyDescent="0.3">
      <c r="B1144" s="29"/>
      <c r="C1144" s="29"/>
      <c r="D1144" s="30"/>
      <c r="E1144" s="33"/>
      <c r="F1144" s="89"/>
    </row>
    <row r="1145" spans="2:6" s="6" customFormat="1" x14ac:dyDescent="0.3">
      <c r="B1145" s="29"/>
      <c r="C1145" s="29"/>
      <c r="D1145" s="30"/>
      <c r="E1145" s="33"/>
      <c r="F1145" s="89"/>
    </row>
    <row r="1146" spans="2:6" s="6" customFormat="1" x14ac:dyDescent="0.3">
      <c r="B1146" s="29"/>
      <c r="C1146" s="29"/>
      <c r="D1146" s="30"/>
      <c r="E1146" s="33"/>
      <c r="F1146" s="89"/>
    </row>
    <row r="1147" spans="2:6" s="6" customFormat="1" x14ac:dyDescent="0.3">
      <c r="B1147" s="29"/>
      <c r="C1147" s="29"/>
      <c r="D1147" s="30"/>
      <c r="E1147" s="33"/>
      <c r="F1147" s="89"/>
    </row>
    <row r="1148" spans="2:6" s="6" customFormat="1" x14ac:dyDescent="0.3">
      <c r="B1148" s="29"/>
      <c r="C1148" s="29"/>
      <c r="D1148" s="30"/>
      <c r="E1148" s="33"/>
      <c r="F1148" s="89"/>
    </row>
    <row r="1149" spans="2:6" s="6" customFormat="1" x14ac:dyDescent="0.3">
      <c r="B1149" s="29"/>
      <c r="C1149" s="29"/>
      <c r="D1149" s="30"/>
      <c r="E1149" s="33"/>
      <c r="F1149" s="89"/>
    </row>
    <row r="1150" spans="2:6" s="6" customFormat="1" x14ac:dyDescent="0.3">
      <c r="B1150" s="29"/>
      <c r="C1150" s="29"/>
      <c r="D1150" s="30"/>
      <c r="E1150" s="33"/>
      <c r="F1150" s="89"/>
    </row>
    <row r="1151" spans="2:6" s="6" customFormat="1" x14ac:dyDescent="0.3">
      <c r="B1151" s="29"/>
      <c r="C1151" s="29"/>
      <c r="D1151" s="30"/>
      <c r="E1151" s="33"/>
      <c r="F1151" s="89"/>
    </row>
    <row r="1152" spans="2:6" s="6" customFormat="1" x14ac:dyDescent="0.3">
      <c r="B1152" s="29"/>
      <c r="C1152" s="29"/>
      <c r="D1152" s="30"/>
      <c r="E1152" s="33"/>
      <c r="F1152" s="89"/>
    </row>
    <row r="1153" spans="2:6" s="6" customFormat="1" x14ac:dyDescent="0.3">
      <c r="B1153" s="29"/>
      <c r="C1153" s="29"/>
      <c r="D1153" s="30"/>
      <c r="E1153" s="33"/>
      <c r="F1153" s="89"/>
    </row>
    <row r="1154" spans="2:6" s="6" customFormat="1" x14ac:dyDescent="0.3">
      <c r="B1154" s="29"/>
      <c r="C1154" s="29"/>
      <c r="D1154" s="30"/>
      <c r="E1154" s="33"/>
      <c r="F1154" s="89"/>
    </row>
    <row r="1155" spans="2:6" s="6" customFormat="1" x14ac:dyDescent="0.3">
      <c r="B1155" s="29"/>
      <c r="C1155" s="29"/>
      <c r="D1155" s="30"/>
      <c r="E1155" s="33"/>
      <c r="F1155" s="89"/>
    </row>
    <row r="1156" spans="2:6" s="6" customFormat="1" x14ac:dyDescent="0.3">
      <c r="B1156" s="29"/>
      <c r="C1156" s="29"/>
      <c r="D1156" s="30"/>
      <c r="E1156" s="33"/>
      <c r="F1156" s="89"/>
    </row>
    <row r="1157" spans="2:6" s="6" customFormat="1" x14ac:dyDescent="0.3">
      <c r="B1157" s="29"/>
      <c r="C1157" s="29"/>
      <c r="D1157" s="30"/>
      <c r="E1157" s="33"/>
      <c r="F1157" s="89"/>
    </row>
    <row r="1158" spans="2:6" s="6" customFormat="1" x14ac:dyDescent="0.3">
      <c r="B1158" s="29"/>
      <c r="C1158" s="29"/>
      <c r="D1158" s="30"/>
      <c r="E1158" s="33"/>
      <c r="F1158" s="89"/>
    </row>
    <row r="1159" spans="2:6" s="6" customFormat="1" x14ac:dyDescent="0.3">
      <c r="B1159" s="29"/>
      <c r="C1159" s="29"/>
      <c r="D1159" s="30"/>
      <c r="E1159" s="33"/>
      <c r="F1159" s="89"/>
    </row>
    <row r="1160" spans="2:6" s="6" customFormat="1" x14ac:dyDescent="0.3">
      <c r="B1160" s="29"/>
      <c r="C1160" s="29"/>
      <c r="D1160" s="30"/>
      <c r="E1160" s="33"/>
      <c r="F1160" s="89"/>
    </row>
    <row r="1161" spans="2:6" s="6" customFormat="1" x14ac:dyDescent="0.3">
      <c r="B1161" s="29"/>
      <c r="C1161" s="29"/>
      <c r="D1161" s="30"/>
      <c r="E1161" s="33"/>
      <c r="F1161" s="89"/>
    </row>
    <row r="1162" spans="2:6" s="6" customFormat="1" x14ac:dyDescent="0.3">
      <c r="B1162" s="29"/>
      <c r="C1162" s="29"/>
      <c r="D1162" s="30"/>
      <c r="E1162" s="33"/>
      <c r="F1162" s="89"/>
    </row>
    <row r="1163" spans="2:6" s="6" customFormat="1" x14ac:dyDescent="0.3">
      <c r="B1163" s="29"/>
      <c r="C1163" s="29"/>
      <c r="D1163" s="30"/>
      <c r="E1163" s="33"/>
      <c r="F1163" s="89"/>
    </row>
    <row r="1164" spans="2:6" s="6" customFormat="1" x14ac:dyDescent="0.3">
      <c r="B1164" s="29"/>
      <c r="C1164" s="29"/>
      <c r="D1164" s="30"/>
      <c r="E1164" s="33"/>
      <c r="F1164" s="89"/>
    </row>
    <row r="1165" spans="2:6" s="6" customFormat="1" x14ac:dyDescent="0.3">
      <c r="B1165" s="29"/>
      <c r="C1165" s="29"/>
      <c r="D1165" s="30"/>
      <c r="E1165" s="33"/>
      <c r="F1165" s="89"/>
    </row>
    <row r="1166" spans="2:6" s="6" customFormat="1" x14ac:dyDescent="0.3">
      <c r="B1166" s="29"/>
      <c r="C1166" s="29"/>
      <c r="D1166" s="30"/>
      <c r="E1166" s="33"/>
      <c r="F1166" s="89"/>
    </row>
    <row r="1167" spans="2:6" s="6" customFormat="1" x14ac:dyDescent="0.3">
      <c r="B1167" s="29"/>
      <c r="C1167" s="29"/>
      <c r="D1167" s="30"/>
      <c r="E1167" s="33"/>
      <c r="F1167" s="89"/>
    </row>
    <row r="1168" spans="2:6" s="6" customFormat="1" x14ac:dyDescent="0.3">
      <c r="B1168" s="29"/>
      <c r="C1168" s="29"/>
      <c r="D1168" s="30"/>
      <c r="E1168" s="33"/>
      <c r="F1168" s="89"/>
    </row>
    <row r="1169" spans="2:6" s="6" customFormat="1" x14ac:dyDescent="0.3">
      <c r="B1169" s="29"/>
      <c r="C1169" s="29"/>
      <c r="D1169" s="30"/>
      <c r="E1169" s="33"/>
      <c r="F1169" s="89"/>
    </row>
    <row r="1170" spans="2:6" s="6" customFormat="1" x14ac:dyDescent="0.3">
      <c r="B1170" s="29"/>
      <c r="C1170" s="29"/>
      <c r="D1170" s="30"/>
      <c r="E1170" s="33"/>
      <c r="F1170" s="89"/>
    </row>
    <row r="1171" spans="2:6" s="6" customFormat="1" x14ac:dyDescent="0.3">
      <c r="B1171" s="29"/>
      <c r="C1171" s="29"/>
      <c r="D1171" s="30"/>
      <c r="E1171" s="33"/>
      <c r="F1171" s="89"/>
    </row>
    <row r="1172" spans="2:6" s="6" customFormat="1" x14ac:dyDescent="0.3">
      <c r="B1172" s="29"/>
      <c r="C1172" s="29"/>
      <c r="D1172" s="30"/>
      <c r="E1172" s="33"/>
      <c r="F1172" s="89"/>
    </row>
    <row r="1173" spans="2:6" s="6" customFormat="1" x14ac:dyDescent="0.3">
      <c r="B1173" s="29"/>
      <c r="C1173" s="29"/>
      <c r="D1173" s="30"/>
      <c r="E1173" s="33"/>
      <c r="F1173" s="89"/>
    </row>
    <row r="1174" spans="2:6" s="6" customFormat="1" x14ac:dyDescent="0.3">
      <c r="B1174" s="29"/>
      <c r="C1174" s="29"/>
      <c r="D1174" s="30"/>
      <c r="E1174" s="33"/>
      <c r="F1174" s="89"/>
    </row>
    <row r="1175" spans="2:6" s="6" customFormat="1" x14ac:dyDescent="0.3">
      <c r="B1175" s="29"/>
      <c r="C1175" s="29"/>
      <c r="D1175" s="30"/>
      <c r="E1175" s="33"/>
      <c r="F1175" s="89"/>
    </row>
    <row r="1176" spans="2:6" s="6" customFormat="1" x14ac:dyDescent="0.3">
      <c r="B1176" s="29"/>
      <c r="C1176" s="29"/>
      <c r="D1176" s="30"/>
      <c r="E1176" s="33"/>
      <c r="F1176" s="89"/>
    </row>
    <row r="1177" spans="2:6" s="6" customFormat="1" x14ac:dyDescent="0.3">
      <c r="B1177" s="29"/>
      <c r="C1177" s="29"/>
      <c r="D1177" s="30"/>
      <c r="E1177" s="33"/>
      <c r="F1177" s="89"/>
    </row>
    <row r="1178" spans="2:6" s="6" customFormat="1" x14ac:dyDescent="0.3">
      <c r="B1178" s="29"/>
      <c r="C1178" s="29"/>
      <c r="D1178" s="30"/>
      <c r="E1178" s="33"/>
      <c r="F1178" s="89"/>
    </row>
    <row r="1179" spans="2:6" s="6" customFormat="1" x14ac:dyDescent="0.3">
      <c r="B1179" s="29"/>
      <c r="C1179" s="29"/>
      <c r="D1179" s="30"/>
      <c r="E1179" s="33"/>
      <c r="F1179" s="89"/>
    </row>
    <row r="1180" spans="2:6" s="6" customFormat="1" x14ac:dyDescent="0.3">
      <c r="B1180" s="29"/>
      <c r="C1180" s="29"/>
      <c r="D1180" s="30"/>
      <c r="E1180" s="33"/>
      <c r="F1180" s="89"/>
    </row>
    <row r="1181" spans="2:6" s="6" customFormat="1" x14ac:dyDescent="0.3">
      <c r="B1181" s="29"/>
      <c r="C1181" s="29"/>
      <c r="D1181" s="30"/>
      <c r="E1181" s="33"/>
      <c r="F1181" s="89"/>
    </row>
    <row r="1182" spans="2:6" s="6" customFormat="1" x14ac:dyDescent="0.3">
      <c r="B1182" s="29"/>
      <c r="C1182" s="29"/>
      <c r="D1182" s="30"/>
      <c r="E1182" s="33"/>
      <c r="F1182" s="89"/>
    </row>
    <row r="1183" spans="2:6" s="6" customFormat="1" x14ac:dyDescent="0.3">
      <c r="B1183" s="29"/>
      <c r="C1183" s="29"/>
      <c r="D1183" s="30"/>
      <c r="E1183" s="33"/>
      <c r="F1183" s="89"/>
    </row>
    <row r="1184" spans="2:6" s="6" customFormat="1" x14ac:dyDescent="0.3">
      <c r="B1184" s="29"/>
      <c r="C1184" s="29"/>
      <c r="D1184" s="30"/>
      <c r="E1184" s="33"/>
      <c r="F1184" s="89"/>
    </row>
    <row r="1185" spans="2:6" s="6" customFormat="1" x14ac:dyDescent="0.3">
      <c r="B1185" s="29"/>
      <c r="C1185" s="29"/>
      <c r="D1185" s="30"/>
      <c r="E1185" s="33"/>
      <c r="F1185" s="89"/>
    </row>
    <row r="1186" spans="2:6" s="6" customFormat="1" x14ac:dyDescent="0.3">
      <c r="B1186" s="29"/>
      <c r="C1186" s="29"/>
      <c r="D1186" s="30"/>
      <c r="E1186" s="33"/>
      <c r="F1186" s="89"/>
    </row>
    <row r="1187" spans="2:6" s="6" customFormat="1" x14ac:dyDescent="0.3">
      <c r="B1187" s="29"/>
      <c r="C1187" s="29"/>
      <c r="D1187" s="30"/>
      <c r="E1187" s="33"/>
      <c r="F1187" s="89"/>
    </row>
    <row r="1188" spans="2:6" s="6" customFormat="1" x14ac:dyDescent="0.3">
      <c r="B1188" s="29"/>
      <c r="C1188" s="29"/>
      <c r="D1188" s="30"/>
      <c r="E1188" s="33"/>
      <c r="F1188" s="89"/>
    </row>
    <row r="1189" spans="2:6" s="6" customFormat="1" x14ac:dyDescent="0.3">
      <c r="B1189" s="29"/>
      <c r="C1189" s="29"/>
      <c r="D1189" s="30"/>
      <c r="E1189" s="33"/>
      <c r="F1189" s="89"/>
    </row>
    <row r="1190" spans="2:6" s="6" customFormat="1" x14ac:dyDescent="0.3">
      <c r="B1190" s="29"/>
      <c r="C1190" s="29"/>
      <c r="D1190" s="30"/>
      <c r="E1190" s="33"/>
      <c r="F1190" s="89"/>
    </row>
    <row r="1191" spans="2:6" s="6" customFormat="1" x14ac:dyDescent="0.3">
      <c r="B1191" s="29"/>
      <c r="C1191" s="29"/>
      <c r="D1191" s="30"/>
      <c r="E1191" s="33"/>
      <c r="F1191" s="89"/>
    </row>
    <row r="1192" spans="2:6" s="6" customFormat="1" x14ac:dyDescent="0.3">
      <c r="B1192" s="29"/>
      <c r="C1192" s="29"/>
      <c r="D1192" s="30"/>
      <c r="E1192" s="33"/>
      <c r="F1192" s="89"/>
    </row>
    <row r="1193" spans="2:6" s="6" customFormat="1" x14ac:dyDescent="0.3">
      <c r="B1193" s="29"/>
      <c r="C1193" s="29"/>
      <c r="D1193" s="30"/>
      <c r="E1193" s="33"/>
      <c r="F1193" s="89"/>
    </row>
    <row r="1194" spans="2:6" s="6" customFormat="1" x14ac:dyDescent="0.3">
      <c r="B1194" s="29"/>
      <c r="C1194" s="29"/>
      <c r="D1194" s="30"/>
      <c r="E1194" s="33"/>
      <c r="F1194" s="89"/>
    </row>
    <row r="1195" spans="2:6" s="6" customFormat="1" x14ac:dyDescent="0.3">
      <c r="B1195" s="29"/>
      <c r="C1195" s="29"/>
      <c r="D1195" s="30"/>
      <c r="E1195" s="33"/>
      <c r="F1195" s="89"/>
    </row>
    <row r="1196" spans="2:6" s="6" customFormat="1" x14ac:dyDescent="0.3">
      <c r="B1196" s="29"/>
      <c r="C1196" s="29"/>
      <c r="D1196" s="30"/>
      <c r="E1196" s="33"/>
      <c r="F1196" s="89"/>
    </row>
    <row r="1197" spans="2:6" s="6" customFormat="1" x14ac:dyDescent="0.3">
      <c r="B1197" s="29"/>
      <c r="C1197" s="29"/>
      <c r="D1197" s="30"/>
      <c r="E1197" s="33"/>
      <c r="F1197" s="89"/>
    </row>
    <row r="1198" spans="2:6" s="6" customFormat="1" x14ac:dyDescent="0.3">
      <c r="B1198" s="29"/>
      <c r="C1198" s="29"/>
      <c r="D1198" s="30"/>
      <c r="E1198" s="33"/>
      <c r="F1198" s="89"/>
    </row>
    <row r="1199" spans="2:6" s="6" customFormat="1" x14ac:dyDescent="0.3">
      <c r="B1199" s="29"/>
      <c r="C1199" s="29"/>
      <c r="D1199" s="30"/>
      <c r="E1199" s="33"/>
      <c r="F1199" s="89"/>
    </row>
    <row r="1200" spans="2:6" s="6" customFormat="1" x14ac:dyDescent="0.3">
      <c r="B1200" s="29"/>
      <c r="C1200" s="29"/>
      <c r="D1200" s="30"/>
      <c r="E1200" s="33"/>
      <c r="F1200" s="89"/>
    </row>
    <row r="1201" spans="2:6" s="6" customFormat="1" x14ac:dyDescent="0.3">
      <c r="B1201" s="29"/>
      <c r="C1201" s="29"/>
      <c r="D1201" s="30"/>
      <c r="E1201" s="33"/>
      <c r="F1201" s="89"/>
    </row>
    <row r="1202" spans="2:6" s="6" customFormat="1" x14ac:dyDescent="0.3">
      <c r="B1202" s="29"/>
      <c r="C1202" s="29"/>
      <c r="D1202" s="30"/>
      <c r="E1202" s="33"/>
      <c r="F1202" s="89"/>
    </row>
    <row r="1203" spans="2:6" s="6" customFormat="1" x14ac:dyDescent="0.3">
      <c r="B1203" s="29"/>
      <c r="C1203" s="29"/>
      <c r="D1203" s="30"/>
      <c r="E1203" s="33"/>
      <c r="F1203" s="89"/>
    </row>
    <row r="1204" spans="2:6" s="6" customFormat="1" x14ac:dyDescent="0.3">
      <c r="B1204" s="29"/>
      <c r="C1204" s="29"/>
      <c r="D1204" s="30"/>
      <c r="E1204" s="33"/>
      <c r="F1204" s="89"/>
    </row>
    <row r="1205" spans="2:6" s="6" customFormat="1" x14ac:dyDescent="0.3">
      <c r="B1205" s="29"/>
      <c r="C1205" s="29"/>
      <c r="D1205" s="30"/>
      <c r="E1205" s="33"/>
      <c r="F1205" s="89"/>
    </row>
    <row r="1206" spans="2:6" s="6" customFormat="1" x14ac:dyDescent="0.3">
      <c r="B1206" s="29"/>
      <c r="C1206" s="29"/>
      <c r="D1206" s="30"/>
      <c r="E1206" s="33"/>
      <c r="F1206" s="89"/>
    </row>
    <row r="1207" spans="2:6" s="6" customFormat="1" x14ac:dyDescent="0.3">
      <c r="B1207" s="29"/>
      <c r="C1207" s="29"/>
      <c r="D1207" s="30"/>
      <c r="E1207" s="33"/>
      <c r="F1207" s="89"/>
    </row>
    <row r="1208" spans="2:6" s="6" customFormat="1" x14ac:dyDescent="0.3">
      <c r="B1208" s="29"/>
      <c r="C1208" s="29"/>
      <c r="D1208" s="30"/>
      <c r="E1208" s="33"/>
      <c r="F1208" s="89"/>
    </row>
    <row r="1209" spans="2:6" s="6" customFormat="1" x14ac:dyDescent="0.3">
      <c r="B1209" s="29"/>
      <c r="C1209" s="29"/>
      <c r="D1209" s="30"/>
      <c r="E1209" s="33"/>
      <c r="F1209" s="89"/>
    </row>
    <row r="1210" spans="2:6" s="6" customFormat="1" x14ac:dyDescent="0.3">
      <c r="B1210" s="29"/>
      <c r="C1210" s="29"/>
      <c r="D1210" s="30"/>
      <c r="E1210" s="33"/>
      <c r="F1210" s="89"/>
    </row>
    <row r="1211" spans="2:6" s="6" customFormat="1" x14ac:dyDescent="0.3">
      <c r="B1211" s="29"/>
      <c r="C1211" s="29"/>
      <c r="D1211" s="30"/>
      <c r="E1211" s="33"/>
      <c r="F1211" s="89"/>
    </row>
    <row r="1212" spans="2:6" s="6" customFormat="1" x14ac:dyDescent="0.3">
      <c r="B1212" s="29"/>
      <c r="C1212" s="29"/>
      <c r="D1212" s="30"/>
      <c r="E1212" s="33"/>
      <c r="F1212" s="89"/>
    </row>
    <row r="1213" spans="2:6" s="6" customFormat="1" x14ac:dyDescent="0.3">
      <c r="B1213" s="29"/>
      <c r="C1213" s="29"/>
      <c r="D1213" s="30"/>
      <c r="E1213" s="33"/>
      <c r="F1213" s="89"/>
    </row>
    <row r="1214" spans="2:6" s="6" customFormat="1" x14ac:dyDescent="0.3">
      <c r="B1214" s="29"/>
      <c r="C1214" s="29"/>
      <c r="D1214" s="30"/>
      <c r="E1214" s="33"/>
      <c r="F1214" s="89"/>
    </row>
    <row r="1215" spans="2:6" s="6" customFormat="1" x14ac:dyDescent="0.3">
      <c r="B1215" s="29"/>
      <c r="C1215" s="29"/>
      <c r="D1215" s="30"/>
      <c r="E1215" s="33"/>
      <c r="F1215" s="89"/>
    </row>
    <row r="1216" spans="2:6" s="6" customFormat="1" x14ac:dyDescent="0.3">
      <c r="B1216" s="29"/>
      <c r="C1216" s="29"/>
      <c r="D1216" s="30"/>
      <c r="E1216" s="33"/>
      <c r="F1216" s="89"/>
    </row>
    <row r="1217" spans="2:6" s="6" customFormat="1" x14ac:dyDescent="0.3">
      <c r="B1217" s="29"/>
      <c r="C1217" s="29"/>
      <c r="D1217" s="30"/>
      <c r="E1217" s="33"/>
      <c r="F1217" s="89"/>
    </row>
    <row r="1218" spans="2:6" s="6" customFormat="1" x14ac:dyDescent="0.3">
      <c r="B1218" s="29"/>
      <c r="C1218" s="29"/>
      <c r="D1218" s="30"/>
      <c r="E1218" s="33"/>
      <c r="F1218" s="89"/>
    </row>
    <row r="1219" spans="2:6" s="6" customFormat="1" x14ac:dyDescent="0.3">
      <c r="B1219" s="29"/>
      <c r="C1219" s="29"/>
      <c r="D1219" s="30"/>
      <c r="E1219" s="33"/>
      <c r="F1219" s="89"/>
    </row>
    <row r="1220" spans="2:6" s="6" customFormat="1" x14ac:dyDescent="0.3">
      <c r="B1220" s="29"/>
      <c r="C1220" s="29"/>
      <c r="D1220" s="30"/>
      <c r="E1220" s="33"/>
      <c r="F1220" s="89"/>
    </row>
    <row r="1221" spans="2:6" s="6" customFormat="1" x14ac:dyDescent="0.3">
      <c r="B1221" s="29"/>
      <c r="C1221" s="29"/>
      <c r="D1221" s="30"/>
      <c r="E1221" s="33"/>
      <c r="F1221" s="89"/>
    </row>
    <row r="1222" spans="2:6" s="6" customFormat="1" x14ac:dyDescent="0.3">
      <c r="B1222" s="29"/>
      <c r="C1222" s="29"/>
      <c r="D1222" s="30"/>
      <c r="E1222" s="33"/>
      <c r="F1222" s="89"/>
    </row>
    <row r="1223" spans="2:6" s="6" customFormat="1" x14ac:dyDescent="0.3">
      <c r="B1223" s="29"/>
      <c r="C1223" s="29"/>
      <c r="D1223" s="30"/>
      <c r="E1223" s="33"/>
      <c r="F1223" s="89"/>
    </row>
    <row r="1224" spans="2:6" s="6" customFormat="1" x14ac:dyDescent="0.3">
      <c r="B1224" s="29"/>
      <c r="C1224" s="29"/>
      <c r="D1224" s="30"/>
      <c r="E1224" s="33"/>
      <c r="F1224" s="89"/>
    </row>
    <row r="1225" spans="2:6" s="6" customFormat="1" x14ac:dyDescent="0.3">
      <c r="B1225" s="29"/>
      <c r="C1225" s="29"/>
      <c r="D1225" s="30"/>
      <c r="E1225" s="33"/>
      <c r="F1225" s="89"/>
    </row>
    <row r="1226" spans="2:6" s="6" customFormat="1" x14ac:dyDescent="0.3">
      <c r="B1226" s="29"/>
      <c r="C1226" s="29"/>
      <c r="D1226" s="30"/>
      <c r="E1226" s="33"/>
      <c r="F1226" s="89"/>
    </row>
    <row r="1227" spans="2:6" s="6" customFormat="1" x14ac:dyDescent="0.3">
      <c r="B1227" s="29"/>
      <c r="C1227" s="29"/>
      <c r="D1227" s="30"/>
      <c r="E1227" s="33"/>
      <c r="F1227" s="89"/>
    </row>
    <row r="1228" spans="2:6" s="6" customFormat="1" x14ac:dyDescent="0.3">
      <c r="B1228" s="29"/>
      <c r="C1228" s="29"/>
      <c r="D1228" s="30"/>
      <c r="E1228" s="33"/>
      <c r="F1228" s="89"/>
    </row>
    <row r="1229" spans="2:6" s="6" customFormat="1" x14ac:dyDescent="0.3">
      <c r="B1229" s="29"/>
      <c r="C1229" s="29"/>
      <c r="D1229" s="30"/>
      <c r="E1229" s="33"/>
      <c r="F1229" s="89"/>
    </row>
    <row r="1230" spans="2:6" s="6" customFormat="1" x14ac:dyDescent="0.3">
      <c r="B1230" s="29"/>
      <c r="C1230" s="29"/>
      <c r="D1230" s="30"/>
      <c r="E1230" s="33"/>
      <c r="F1230" s="89"/>
    </row>
    <row r="1231" spans="2:6" s="6" customFormat="1" x14ac:dyDescent="0.3">
      <c r="B1231" s="29"/>
      <c r="C1231" s="29"/>
      <c r="D1231" s="30"/>
      <c r="E1231" s="33"/>
      <c r="F1231" s="89"/>
    </row>
    <row r="1232" spans="2:6" s="6" customFormat="1" x14ac:dyDescent="0.3">
      <c r="B1232" s="29"/>
      <c r="C1232" s="29"/>
      <c r="D1232" s="30"/>
      <c r="E1232" s="33"/>
      <c r="F1232" s="89"/>
    </row>
    <row r="1233" spans="2:6" s="6" customFormat="1" x14ac:dyDescent="0.3">
      <c r="B1233" s="29"/>
      <c r="C1233" s="29"/>
      <c r="D1233" s="30"/>
      <c r="E1233" s="33"/>
      <c r="F1233" s="89"/>
    </row>
    <row r="1234" spans="2:6" s="6" customFormat="1" x14ac:dyDescent="0.3">
      <c r="B1234" s="29"/>
      <c r="C1234" s="29"/>
      <c r="D1234" s="30"/>
      <c r="E1234" s="33"/>
      <c r="F1234" s="89"/>
    </row>
    <row r="1235" spans="2:6" s="6" customFormat="1" x14ac:dyDescent="0.3">
      <c r="B1235" s="29"/>
      <c r="C1235" s="29"/>
      <c r="D1235" s="30"/>
      <c r="E1235" s="33"/>
      <c r="F1235" s="89"/>
    </row>
    <row r="1236" spans="2:6" s="6" customFormat="1" x14ac:dyDescent="0.3">
      <c r="B1236" s="29"/>
      <c r="C1236" s="29"/>
      <c r="D1236" s="30"/>
      <c r="E1236" s="33"/>
      <c r="F1236" s="89"/>
    </row>
    <row r="1237" spans="2:6" s="6" customFormat="1" x14ac:dyDescent="0.3">
      <c r="B1237" s="29"/>
      <c r="C1237" s="29"/>
      <c r="D1237" s="30"/>
      <c r="E1237" s="33"/>
      <c r="F1237" s="89"/>
    </row>
    <row r="1238" spans="2:6" s="6" customFormat="1" x14ac:dyDescent="0.3">
      <c r="B1238" s="29"/>
      <c r="C1238" s="29"/>
      <c r="D1238" s="30"/>
      <c r="E1238" s="33"/>
      <c r="F1238" s="89"/>
    </row>
    <row r="1239" spans="2:6" s="6" customFormat="1" x14ac:dyDescent="0.3">
      <c r="B1239" s="29"/>
      <c r="C1239" s="29"/>
      <c r="D1239" s="30"/>
      <c r="E1239" s="33"/>
      <c r="F1239" s="89"/>
    </row>
    <row r="1240" spans="2:6" s="6" customFormat="1" x14ac:dyDescent="0.3">
      <c r="B1240" s="29"/>
      <c r="C1240" s="29"/>
      <c r="D1240" s="30"/>
      <c r="E1240" s="33"/>
      <c r="F1240" s="89"/>
    </row>
    <row r="1241" spans="2:6" s="6" customFormat="1" x14ac:dyDescent="0.3">
      <c r="B1241" s="29"/>
      <c r="C1241" s="29"/>
      <c r="D1241" s="30"/>
      <c r="E1241" s="33"/>
      <c r="F1241" s="89"/>
    </row>
    <row r="1242" spans="2:6" s="6" customFormat="1" x14ac:dyDescent="0.3">
      <c r="B1242" s="29"/>
      <c r="C1242" s="29"/>
      <c r="D1242" s="30"/>
      <c r="E1242" s="33"/>
      <c r="F1242" s="89"/>
    </row>
    <row r="1243" spans="2:6" s="6" customFormat="1" x14ac:dyDescent="0.3">
      <c r="B1243" s="29"/>
      <c r="C1243" s="29"/>
      <c r="D1243" s="30"/>
      <c r="E1243" s="33"/>
      <c r="F1243" s="89"/>
    </row>
    <row r="1244" spans="2:6" s="6" customFormat="1" x14ac:dyDescent="0.3">
      <c r="B1244" s="29"/>
      <c r="C1244" s="29"/>
      <c r="D1244" s="30"/>
      <c r="E1244" s="33"/>
      <c r="F1244" s="89"/>
    </row>
    <row r="1245" spans="2:6" s="6" customFormat="1" x14ac:dyDescent="0.3">
      <c r="B1245" s="29"/>
      <c r="C1245" s="29"/>
      <c r="D1245" s="30"/>
      <c r="E1245" s="33"/>
      <c r="F1245" s="89"/>
    </row>
    <row r="1246" spans="2:6" s="6" customFormat="1" x14ac:dyDescent="0.3">
      <c r="B1246" s="29"/>
      <c r="C1246" s="29"/>
      <c r="D1246" s="30"/>
      <c r="E1246" s="33"/>
      <c r="F1246" s="89"/>
    </row>
    <row r="1247" spans="2:6" s="6" customFormat="1" x14ac:dyDescent="0.3">
      <c r="B1247" s="29"/>
      <c r="C1247" s="29"/>
      <c r="D1247" s="30"/>
      <c r="E1247" s="33"/>
      <c r="F1247" s="89"/>
    </row>
    <row r="1248" spans="2:6" s="6" customFormat="1" x14ac:dyDescent="0.3">
      <c r="B1248" s="29"/>
      <c r="C1248" s="29"/>
      <c r="D1248" s="30"/>
      <c r="E1248" s="33"/>
      <c r="F1248" s="89"/>
    </row>
    <row r="1249" spans="2:6" s="6" customFormat="1" x14ac:dyDescent="0.3">
      <c r="B1249" s="29"/>
      <c r="C1249" s="29"/>
      <c r="D1249" s="30"/>
      <c r="E1249" s="33"/>
      <c r="F1249" s="89"/>
    </row>
    <row r="1250" spans="2:6" s="6" customFormat="1" x14ac:dyDescent="0.3">
      <c r="B1250" s="29"/>
      <c r="C1250" s="29"/>
      <c r="D1250" s="30"/>
      <c r="E1250" s="33"/>
      <c r="F1250" s="89"/>
    </row>
    <row r="1251" spans="2:6" s="6" customFormat="1" x14ac:dyDescent="0.3">
      <c r="B1251" s="29"/>
      <c r="C1251" s="29"/>
      <c r="D1251" s="30"/>
      <c r="E1251" s="33"/>
      <c r="F1251" s="89"/>
    </row>
    <row r="1252" spans="2:6" s="6" customFormat="1" x14ac:dyDescent="0.3">
      <c r="B1252" s="29"/>
      <c r="C1252" s="29"/>
      <c r="D1252" s="30"/>
      <c r="E1252" s="33"/>
      <c r="F1252" s="89"/>
    </row>
    <row r="1253" spans="2:6" s="6" customFormat="1" x14ac:dyDescent="0.3">
      <c r="B1253" s="29"/>
      <c r="C1253" s="29"/>
      <c r="D1253" s="30"/>
      <c r="E1253" s="33"/>
      <c r="F1253" s="89"/>
    </row>
    <row r="1254" spans="2:6" s="6" customFormat="1" x14ac:dyDescent="0.3">
      <c r="B1254" s="29"/>
      <c r="C1254" s="29"/>
      <c r="D1254" s="30"/>
      <c r="E1254" s="33"/>
      <c r="F1254" s="89"/>
    </row>
    <row r="1255" spans="2:6" s="6" customFormat="1" x14ac:dyDescent="0.3">
      <c r="B1255" s="29"/>
      <c r="C1255" s="29"/>
      <c r="D1255" s="30"/>
      <c r="E1255" s="33"/>
      <c r="F1255" s="89"/>
    </row>
    <row r="1256" spans="2:6" s="6" customFormat="1" x14ac:dyDescent="0.3">
      <c r="B1256" s="29"/>
      <c r="C1256" s="29"/>
      <c r="D1256" s="30"/>
      <c r="E1256" s="33"/>
      <c r="F1256" s="89"/>
    </row>
    <row r="1257" spans="2:6" s="6" customFormat="1" x14ac:dyDescent="0.3">
      <c r="B1257" s="29"/>
      <c r="C1257" s="29"/>
      <c r="D1257" s="30"/>
      <c r="E1257" s="33"/>
      <c r="F1257" s="89"/>
    </row>
    <row r="1258" spans="2:6" s="6" customFormat="1" x14ac:dyDescent="0.3">
      <c r="B1258" s="29"/>
      <c r="C1258" s="29"/>
      <c r="D1258" s="30"/>
      <c r="E1258" s="33"/>
      <c r="F1258" s="89"/>
    </row>
    <row r="1259" spans="2:6" s="6" customFormat="1" x14ac:dyDescent="0.3">
      <c r="B1259" s="29"/>
      <c r="C1259" s="29"/>
      <c r="D1259" s="30"/>
      <c r="E1259" s="33"/>
      <c r="F1259" s="89"/>
    </row>
    <row r="1260" spans="2:6" s="6" customFormat="1" x14ac:dyDescent="0.3">
      <c r="B1260" s="29"/>
      <c r="C1260" s="29"/>
      <c r="D1260" s="30"/>
      <c r="E1260" s="33"/>
      <c r="F1260" s="89"/>
    </row>
    <row r="1261" spans="2:6" s="6" customFormat="1" x14ac:dyDescent="0.3">
      <c r="B1261" s="29"/>
      <c r="C1261" s="29"/>
      <c r="D1261" s="30"/>
      <c r="E1261" s="33"/>
      <c r="F1261" s="89"/>
    </row>
    <row r="1262" spans="2:6" s="6" customFormat="1" x14ac:dyDescent="0.3">
      <c r="B1262" s="29"/>
      <c r="C1262" s="29"/>
      <c r="D1262" s="30"/>
      <c r="E1262" s="33"/>
      <c r="F1262" s="89"/>
    </row>
    <row r="1263" spans="2:6" s="6" customFormat="1" x14ac:dyDescent="0.3">
      <c r="B1263" s="29"/>
      <c r="C1263" s="29"/>
      <c r="D1263" s="30"/>
      <c r="E1263" s="33"/>
      <c r="F1263" s="89"/>
    </row>
    <row r="1264" spans="2:6" s="6" customFormat="1" x14ac:dyDescent="0.3">
      <c r="B1264" s="29"/>
      <c r="C1264" s="29"/>
      <c r="D1264" s="30"/>
      <c r="E1264" s="33"/>
      <c r="F1264" s="89"/>
    </row>
    <row r="1265" spans="2:6" s="6" customFormat="1" x14ac:dyDescent="0.3">
      <c r="B1265" s="29"/>
      <c r="C1265" s="29"/>
      <c r="D1265" s="30"/>
      <c r="E1265" s="33"/>
      <c r="F1265" s="89"/>
    </row>
    <row r="1266" spans="2:6" s="6" customFormat="1" x14ac:dyDescent="0.3">
      <c r="B1266" s="29"/>
      <c r="C1266" s="29"/>
      <c r="D1266" s="30"/>
      <c r="E1266" s="33"/>
      <c r="F1266" s="89"/>
    </row>
    <row r="1267" spans="2:6" s="6" customFormat="1" x14ac:dyDescent="0.3">
      <c r="B1267" s="29"/>
      <c r="C1267" s="29"/>
      <c r="D1267" s="30"/>
      <c r="E1267" s="33"/>
      <c r="F1267" s="89"/>
    </row>
    <row r="1268" spans="2:6" s="6" customFormat="1" x14ac:dyDescent="0.3">
      <c r="B1268" s="29"/>
      <c r="C1268" s="29"/>
      <c r="D1268" s="30"/>
      <c r="E1268" s="33"/>
      <c r="F1268" s="89"/>
    </row>
    <row r="1269" spans="2:6" s="6" customFormat="1" x14ac:dyDescent="0.3">
      <c r="B1269" s="29"/>
      <c r="C1269" s="29"/>
      <c r="D1269" s="30"/>
      <c r="E1269" s="33"/>
      <c r="F1269" s="89"/>
    </row>
    <row r="1270" spans="2:6" s="6" customFormat="1" x14ac:dyDescent="0.3">
      <c r="B1270" s="29"/>
      <c r="C1270" s="29"/>
      <c r="D1270" s="30"/>
      <c r="E1270" s="33"/>
      <c r="F1270" s="89"/>
    </row>
    <row r="1271" spans="2:6" s="6" customFormat="1" x14ac:dyDescent="0.3">
      <c r="B1271" s="29"/>
      <c r="C1271" s="29"/>
      <c r="D1271" s="30"/>
      <c r="E1271" s="33"/>
      <c r="F1271" s="89"/>
    </row>
    <row r="1272" spans="2:6" s="6" customFormat="1" x14ac:dyDescent="0.3">
      <c r="B1272" s="29"/>
      <c r="C1272" s="29"/>
      <c r="D1272" s="30"/>
      <c r="E1272" s="33"/>
      <c r="F1272" s="89"/>
    </row>
    <row r="1273" spans="2:6" s="6" customFormat="1" x14ac:dyDescent="0.3">
      <c r="B1273" s="29"/>
      <c r="C1273" s="29"/>
      <c r="D1273" s="30"/>
      <c r="E1273" s="33"/>
      <c r="F1273" s="89"/>
    </row>
    <row r="1274" spans="2:6" s="6" customFormat="1" x14ac:dyDescent="0.3">
      <c r="B1274" s="29"/>
      <c r="C1274" s="29"/>
      <c r="D1274" s="30"/>
      <c r="E1274" s="33"/>
      <c r="F1274" s="89"/>
    </row>
    <row r="1275" spans="2:6" s="6" customFormat="1" x14ac:dyDescent="0.3">
      <c r="B1275" s="29"/>
      <c r="C1275" s="29"/>
      <c r="D1275" s="30"/>
      <c r="E1275" s="33"/>
      <c r="F1275" s="89"/>
    </row>
    <row r="1276" spans="2:6" s="6" customFormat="1" x14ac:dyDescent="0.3">
      <c r="B1276" s="29"/>
      <c r="C1276" s="29"/>
      <c r="D1276" s="30"/>
      <c r="E1276" s="33"/>
      <c r="F1276" s="89"/>
    </row>
    <row r="1277" spans="2:6" s="6" customFormat="1" x14ac:dyDescent="0.3">
      <c r="B1277" s="29"/>
      <c r="C1277" s="29"/>
      <c r="D1277" s="30"/>
      <c r="E1277" s="33"/>
      <c r="F1277" s="89"/>
    </row>
    <row r="1278" spans="2:6" s="6" customFormat="1" x14ac:dyDescent="0.3">
      <c r="B1278" s="29"/>
      <c r="C1278" s="29"/>
      <c r="D1278" s="30"/>
      <c r="E1278" s="33"/>
      <c r="F1278" s="89"/>
    </row>
    <row r="1279" spans="2:6" s="6" customFormat="1" x14ac:dyDescent="0.3">
      <c r="B1279" s="29"/>
      <c r="C1279" s="29"/>
      <c r="D1279" s="30"/>
      <c r="E1279" s="33"/>
      <c r="F1279" s="89"/>
    </row>
    <row r="1280" spans="2:6" s="6" customFormat="1" x14ac:dyDescent="0.3">
      <c r="B1280" s="29"/>
      <c r="C1280" s="29"/>
      <c r="D1280" s="30"/>
      <c r="E1280" s="33"/>
      <c r="F1280" s="89"/>
    </row>
    <row r="1281" spans="2:6" s="6" customFormat="1" x14ac:dyDescent="0.3">
      <c r="B1281" s="29"/>
      <c r="C1281" s="29"/>
      <c r="D1281" s="30"/>
      <c r="E1281" s="33"/>
      <c r="F1281" s="89"/>
    </row>
    <row r="1282" spans="2:6" s="6" customFormat="1" x14ac:dyDescent="0.3">
      <c r="B1282" s="29"/>
      <c r="C1282" s="29"/>
      <c r="D1282" s="30"/>
      <c r="E1282" s="33"/>
      <c r="F1282" s="89"/>
    </row>
    <row r="1283" spans="2:6" s="6" customFormat="1" x14ac:dyDescent="0.3">
      <c r="B1283" s="29"/>
      <c r="C1283" s="29"/>
      <c r="D1283" s="30"/>
      <c r="E1283" s="33"/>
      <c r="F1283" s="89"/>
    </row>
    <row r="1284" spans="2:6" s="6" customFormat="1" x14ac:dyDescent="0.3">
      <c r="B1284" s="29"/>
      <c r="C1284" s="29"/>
      <c r="D1284" s="30"/>
      <c r="E1284" s="33"/>
      <c r="F1284" s="89"/>
    </row>
    <row r="1285" spans="2:6" s="6" customFormat="1" x14ac:dyDescent="0.3">
      <c r="B1285" s="29"/>
      <c r="C1285" s="29"/>
      <c r="D1285" s="30"/>
      <c r="E1285" s="33"/>
      <c r="F1285" s="89"/>
    </row>
    <row r="1286" spans="2:6" s="6" customFormat="1" x14ac:dyDescent="0.3">
      <c r="B1286" s="29"/>
      <c r="C1286" s="29"/>
      <c r="D1286" s="30"/>
      <c r="E1286" s="33"/>
      <c r="F1286" s="89"/>
    </row>
    <row r="1287" spans="2:6" s="6" customFormat="1" x14ac:dyDescent="0.3">
      <c r="B1287" s="29"/>
      <c r="C1287" s="29"/>
      <c r="D1287" s="30"/>
      <c r="E1287" s="33"/>
      <c r="F1287" s="89"/>
    </row>
    <row r="1288" spans="2:6" s="6" customFormat="1" x14ac:dyDescent="0.3">
      <c r="B1288" s="29"/>
      <c r="C1288" s="29"/>
      <c r="D1288" s="30"/>
      <c r="E1288" s="33"/>
      <c r="F1288" s="89"/>
    </row>
    <row r="1289" spans="2:6" s="6" customFormat="1" x14ac:dyDescent="0.3">
      <c r="B1289" s="29"/>
      <c r="C1289" s="29"/>
      <c r="D1289" s="30"/>
      <c r="E1289" s="33"/>
      <c r="F1289" s="89"/>
    </row>
    <row r="1290" spans="2:6" s="6" customFormat="1" x14ac:dyDescent="0.3">
      <c r="B1290" s="29"/>
      <c r="C1290" s="29"/>
      <c r="D1290" s="30"/>
      <c r="E1290" s="33"/>
      <c r="F1290" s="89"/>
    </row>
    <row r="1291" spans="2:6" s="6" customFormat="1" x14ac:dyDescent="0.3">
      <c r="B1291" s="29"/>
      <c r="C1291" s="29"/>
      <c r="D1291" s="30"/>
      <c r="E1291" s="33"/>
      <c r="F1291" s="89"/>
    </row>
    <row r="1292" spans="2:6" s="6" customFormat="1" x14ac:dyDescent="0.3">
      <c r="B1292" s="29"/>
      <c r="C1292" s="29"/>
      <c r="D1292" s="30"/>
      <c r="E1292" s="33"/>
      <c r="F1292" s="89"/>
    </row>
    <row r="1293" spans="2:6" s="6" customFormat="1" x14ac:dyDescent="0.3">
      <c r="B1293" s="29"/>
      <c r="C1293" s="29"/>
      <c r="D1293" s="30"/>
      <c r="E1293" s="33"/>
      <c r="F1293" s="89"/>
    </row>
    <row r="1294" spans="2:6" s="6" customFormat="1" x14ac:dyDescent="0.3">
      <c r="B1294" s="29"/>
      <c r="C1294" s="29"/>
      <c r="D1294" s="30"/>
      <c r="E1294" s="33"/>
      <c r="F1294" s="89"/>
    </row>
    <row r="1295" spans="2:6" s="6" customFormat="1" x14ac:dyDescent="0.3">
      <c r="B1295" s="29"/>
      <c r="C1295" s="29"/>
      <c r="D1295" s="30"/>
      <c r="E1295" s="33"/>
      <c r="F1295" s="89"/>
    </row>
    <row r="1296" spans="2:6" s="6" customFormat="1" x14ac:dyDescent="0.3">
      <c r="B1296" s="29"/>
      <c r="C1296" s="29"/>
      <c r="D1296" s="30"/>
      <c r="E1296" s="33"/>
      <c r="F1296" s="89"/>
    </row>
    <row r="1297" spans="2:6" s="6" customFormat="1" x14ac:dyDescent="0.3">
      <c r="B1297" s="29"/>
      <c r="C1297" s="29"/>
      <c r="D1297" s="30"/>
      <c r="E1297" s="33"/>
      <c r="F1297" s="89"/>
    </row>
    <row r="1298" spans="2:6" s="6" customFormat="1" x14ac:dyDescent="0.3">
      <c r="B1298" s="29"/>
      <c r="C1298" s="29"/>
      <c r="D1298" s="30"/>
      <c r="E1298" s="33"/>
      <c r="F1298" s="89"/>
    </row>
    <row r="1299" spans="2:6" s="6" customFormat="1" x14ac:dyDescent="0.3">
      <c r="B1299" s="29"/>
      <c r="C1299" s="29"/>
      <c r="D1299" s="30"/>
      <c r="E1299" s="33"/>
      <c r="F1299" s="89"/>
    </row>
    <row r="1300" spans="2:6" s="6" customFormat="1" x14ac:dyDescent="0.3">
      <c r="B1300" s="29"/>
      <c r="C1300" s="29"/>
      <c r="D1300" s="30"/>
      <c r="E1300" s="33"/>
      <c r="F1300" s="89"/>
    </row>
    <row r="1301" spans="2:6" s="6" customFormat="1" x14ac:dyDescent="0.3">
      <c r="B1301" s="29"/>
      <c r="C1301" s="29"/>
      <c r="D1301" s="30"/>
      <c r="E1301" s="33"/>
      <c r="F1301" s="89"/>
    </row>
    <row r="1302" spans="2:6" s="6" customFormat="1" x14ac:dyDescent="0.3">
      <c r="B1302" s="29"/>
      <c r="C1302" s="29"/>
      <c r="D1302" s="30"/>
      <c r="E1302" s="33"/>
      <c r="F1302" s="89"/>
    </row>
    <row r="1303" spans="2:6" s="6" customFormat="1" x14ac:dyDescent="0.3">
      <c r="B1303" s="29"/>
      <c r="C1303" s="29"/>
      <c r="D1303" s="30"/>
      <c r="E1303" s="33"/>
      <c r="F1303" s="89"/>
    </row>
    <row r="1304" spans="2:6" s="6" customFormat="1" x14ac:dyDescent="0.3">
      <c r="B1304" s="29"/>
      <c r="C1304" s="29"/>
      <c r="D1304" s="30"/>
      <c r="E1304" s="33"/>
      <c r="F1304" s="89"/>
    </row>
    <row r="1305" spans="2:6" s="6" customFormat="1" x14ac:dyDescent="0.3">
      <c r="B1305" s="29"/>
      <c r="C1305" s="29"/>
      <c r="D1305" s="30"/>
      <c r="E1305" s="33"/>
      <c r="F1305" s="89"/>
    </row>
    <row r="1306" spans="2:6" s="6" customFormat="1" x14ac:dyDescent="0.3">
      <c r="B1306" s="29"/>
      <c r="C1306" s="29"/>
      <c r="D1306" s="30"/>
      <c r="E1306" s="33"/>
      <c r="F1306" s="89"/>
    </row>
    <row r="1307" spans="2:6" s="6" customFormat="1" x14ac:dyDescent="0.3">
      <c r="B1307" s="29"/>
      <c r="C1307" s="29"/>
      <c r="D1307" s="30"/>
      <c r="E1307" s="33"/>
      <c r="F1307" s="89"/>
    </row>
    <row r="1308" spans="2:6" s="6" customFormat="1" x14ac:dyDescent="0.3">
      <c r="B1308" s="29"/>
      <c r="C1308" s="29"/>
      <c r="D1308" s="30"/>
      <c r="E1308" s="33"/>
      <c r="F1308" s="89"/>
    </row>
    <row r="1309" spans="2:6" s="6" customFormat="1" x14ac:dyDescent="0.3">
      <c r="B1309" s="29"/>
      <c r="C1309" s="29"/>
      <c r="D1309" s="30"/>
      <c r="E1309" s="33"/>
      <c r="F1309" s="89"/>
    </row>
    <row r="1310" spans="2:6" s="6" customFormat="1" x14ac:dyDescent="0.3">
      <c r="B1310" s="29"/>
      <c r="C1310" s="29"/>
      <c r="D1310" s="30"/>
      <c r="E1310" s="33"/>
      <c r="F1310" s="89"/>
    </row>
    <row r="1311" spans="2:6" s="6" customFormat="1" x14ac:dyDescent="0.3">
      <c r="B1311" s="29"/>
      <c r="C1311" s="29"/>
      <c r="D1311" s="30"/>
      <c r="E1311" s="33"/>
      <c r="F1311" s="89"/>
    </row>
    <row r="1312" spans="2:6" s="6" customFormat="1" x14ac:dyDescent="0.3">
      <c r="B1312" s="29"/>
      <c r="C1312" s="29"/>
      <c r="D1312" s="30"/>
      <c r="E1312" s="33"/>
      <c r="F1312" s="89"/>
    </row>
    <row r="1313" spans="2:6" s="6" customFormat="1" x14ac:dyDescent="0.3">
      <c r="B1313" s="29"/>
      <c r="C1313" s="29"/>
      <c r="D1313" s="30"/>
      <c r="E1313" s="33"/>
      <c r="F1313" s="89"/>
    </row>
    <row r="1314" spans="2:6" s="6" customFormat="1" x14ac:dyDescent="0.3">
      <c r="B1314" s="29"/>
      <c r="C1314" s="29"/>
      <c r="D1314" s="30"/>
      <c r="E1314" s="33"/>
      <c r="F1314" s="89"/>
    </row>
    <row r="1315" spans="2:6" s="6" customFormat="1" x14ac:dyDescent="0.3">
      <c r="B1315" s="29"/>
      <c r="C1315" s="29"/>
      <c r="D1315" s="30"/>
      <c r="E1315" s="33"/>
      <c r="F1315" s="89"/>
    </row>
    <row r="1316" spans="2:6" s="6" customFormat="1" x14ac:dyDescent="0.3">
      <c r="B1316" s="29"/>
      <c r="C1316" s="29"/>
      <c r="D1316" s="30"/>
      <c r="E1316" s="33"/>
      <c r="F1316" s="89"/>
    </row>
    <row r="1317" spans="2:6" s="6" customFormat="1" x14ac:dyDescent="0.3">
      <c r="B1317" s="29"/>
      <c r="C1317" s="29"/>
      <c r="D1317" s="30"/>
      <c r="E1317" s="33"/>
      <c r="F1317" s="89"/>
    </row>
    <row r="1318" spans="2:6" s="6" customFormat="1" x14ac:dyDescent="0.3">
      <c r="B1318" s="29"/>
      <c r="C1318" s="29"/>
      <c r="D1318" s="30"/>
      <c r="E1318" s="33"/>
      <c r="F1318" s="89"/>
    </row>
    <row r="1319" spans="2:6" s="6" customFormat="1" x14ac:dyDescent="0.3">
      <c r="B1319" s="29"/>
      <c r="C1319" s="29"/>
      <c r="D1319" s="30"/>
      <c r="E1319" s="33"/>
      <c r="F1319" s="89"/>
    </row>
    <row r="1320" spans="2:6" s="6" customFormat="1" x14ac:dyDescent="0.3">
      <c r="B1320" s="29"/>
      <c r="C1320" s="29"/>
      <c r="D1320" s="30"/>
      <c r="E1320" s="33"/>
      <c r="F1320" s="89"/>
    </row>
    <row r="1321" spans="2:6" s="6" customFormat="1" x14ac:dyDescent="0.3">
      <c r="B1321" s="29"/>
      <c r="C1321" s="29"/>
      <c r="D1321" s="30"/>
      <c r="E1321" s="33"/>
      <c r="F1321" s="89"/>
    </row>
    <row r="1322" spans="2:6" s="6" customFormat="1" x14ac:dyDescent="0.3">
      <c r="B1322" s="29"/>
      <c r="C1322" s="29"/>
      <c r="D1322" s="30"/>
      <c r="E1322" s="33"/>
      <c r="F1322" s="89"/>
    </row>
    <row r="1323" spans="2:6" s="6" customFormat="1" x14ac:dyDescent="0.3">
      <c r="B1323" s="29"/>
      <c r="C1323" s="29"/>
      <c r="D1323" s="30"/>
      <c r="E1323" s="33"/>
      <c r="F1323" s="89"/>
    </row>
    <row r="1324" spans="2:6" s="6" customFormat="1" x14ac:dyDescent="0.3">
      <c r="B1324" s="29"/>
      <c r="C1324" s="29"/>
      <c r="D1324" s="30"/>
      <c r="E1324" s="33"/>
      <c r="F1324" s="89"/>
    </row>
    <row r="1325" spans="2:6" s="6" customFormat="1" x14ac:dyDescent="0.3">
      <c r="B1325" s="29"/>
      <c r="C1325" s="29"/>
      <c r="D1325" s="30"/>
      <c r="E1325" s="33"/>
      <c r="F1325" s="89"/>
    </row>
    <row r="1326" spans="2:6" s="6" customFormat="1" x14ac:dyDescent="0.3">
      <c r="B1326" s="29"/>
      <c r="C1326" s="29"/>
      <c r="D1326" s="30"/>
      <c r="E1326" s="33"/>
      <c r="F1326" s="89"/>
    </row>
    <row r="1327" spans="2:6" s="6" customFormat="1" x14ac:dyDescent="0.3">
      <c r="B1327" s="29"/>
      <c r="C1327" s="29"/>
      <c r="D1327" s="30"/>
      <c r="E1327" s="33"/>
      <c r="F1327" s="89"/>
    </row>
    <row r="1328" spans="2:6" s="6" customFormat="1" x14ac:dyDescent="0.3">
      <c r="B1328" s="29"/>
      <c r="C1328" s="29"/>
      <c r="D1328" s="30"/>
      <c r="E1328" s="33"/>
      <c r="F1328" s="89"/>
    </row>
    <row r="1329" spans="2:6" s="6" customFormat="1" x14ac:dyDescent="0.3">
      <c r="B1329" s="29"/>
      <c r="C1329" s="29"/>
      <c r="D1329" s="30"/>
      <c r="E1329" s="33"/>
      <c r="F1329" s="89"/>
    </row>
    <row r="1330" spans="2:6" s="6" customFormat="1" x14ac:dyDescent="0.3">
      <c r="B1330" s="29"/>
      <c r="C1330" s="29"/>
      <c r="D1330" s="30"/>
      <c r="E1330" s="33"/>
      <c r="F1330" s="89"/>
    </row>
    <row r="1331" spans="2:6" s="6" customFormat="1" x14ac:dyDescent="0.3">
      <c r="B1331" s="29"/>
      <c r="C1331" s="29"/>
      <c r="D1331" s="30"/>
      <c r="E1331" s="33"/>
      <c r="F1331" s="89"/>
    </row>
    <row r="1332" spans="2:6" s="6" customFormat="1" x14ac:dyDescent="0.3">
      <c r="B1332" s="29"/>
      <c r="C1332" s="29"/>
      <c r="D1332" s="30"/>
      <c r="E1332" s="33"/>
      <c r="F1332" s="89"/>
    </row>
    <row r="1333" spans="2:6" s="6" customFormat="1" x14ac:dyDescent="0.3">
      <c r="B1333" s="29"/>
      <c r="C1333" s="29"/>
      <c r="D1333" s="30"/>
      <c r="E1333" s="33"/>
      <c r="F1333" s="89"/>
    </row>
    <row r="1334" spans="2:6" s="6" customFormat="1" x14ac:dyDescent="0.3">
      <c r="B1334" s="29"/>
      <c r="C1334" s="29"/>
      <c r="D1334" s="30"/>
      <c r="E1334" s="33"/>
      <c r="F1334" s="89"/>
    </row>
    <row r="1335" spans="2:6" s="6" customFormat="1" x14ac:dyDescent="0.3">
      <c r="B1335" s="29"/>
      <c r="C1335" s="29"/>
      <c r="D1335" s="30"/>
      <c r="E1335" s="33"/>
      <c r="F1335" s="89"/>
    </row>
    <row r="1336" spans="2:6" s="6" customFormat="1" x14ac:dyDescent="0.3">
      <c r="B1336" s="29"/>
      <c r="C1336" s="29"/>
      <c r="D1336" s="30"/>
      <c r="E1336" s="33"/>
      <c r="F1336" s="89"/>
    </row>
    <row r="1337" spans="2:6" s="6" customFormat="1" x14ac:dyDescent="0.3">
      <c r="B1337" s="29"/>
      <c r="C1337" s="29"/>
      <c r="D1337" s="30"/>
      <c r="E1337" s="33"/>
      <c r="F1337" s="89"/>
    </row>
    <row r="1338" spans="2:6" s="6" customFormat="1" x14ac:dyDescent="0.3">
      <c r="B1338" s="29"/>
      <c r="C1338" s="29"/>
      <c r="D1338" s="30"/>
      <c r="E1338" s="33"/>
      <c r="F1338" s="89"/>
    </row>
    <row r="1339" spans="2:6" s="6" customFormat="1" x14ac:dyDescent="0.3">
      <c r="B1339" s="29"/>
      <c r="C1339" s="29"/>
      <c r="D1339" s="30"/>
      <c r="E1339" s="33"/>
      <c r="F1339" s="89"/>
    </row>
    <row r="1340" spans="2:6" s="6" customFormat="1" x14ac:dyDescent="0.3">
      <c r="B1340" s="29"/>
      <c r="C1340" s="29"/>
      <c r="D1340" s="30"/>
      <c r="E1340" s="33"/>
      <c r="F1340" s="89"/>
    </row>
    <row r="1341" spans="2:6" s="6" customFormat="1" x14ac:dyDescent="0.3">
      <c r="B1341" s="29"/>
      <c r="C1341" s="29"/>
      <c r="D1341" s="30"/>
      <c r="E1341" s="33"/>
      <c r="F1341" s="89"/>
    </row>
    <row r="1342" spans="2:6" s="6" customFormat="1" x14ac:dyDescent="0.3">
      <c r="B1342" s="29"/>
      <c r="C1342" s="29"/>
      <c r="D1342" s="30"/>
      <c r="E1342" s="33"/>
      <c r="F1342" s="89"/>
    </row>
    <row r="1343" spans="2:6" s="6" customFormat="1" x14ac:dyDescent="0.3">
      <c r="B1343" s="29"/>
      <c r="C1343" s="29"/>
      <c r="D1343" s="30"/>
      <c r="E1343" s="33"/>
      <c r="F1343" s="89"/>
    </row>
    <row r="1344" spans="2:6" s="6" customFormat="1" x14ac:dyDescent="0.3">
      <c r="B1344" s="29"/>
      <c r="C1344" s="29"/>
      <c r="D1344" s="30"/>
      <c r="E1344" s="33"/>
      <c r="F1344" s="89"/>
    </row>
    <row r="1345" spans="2:6" s="6" customFormat="1" x14ac:dyDescent="0.3">
      <c r="B1345" s="29"/>
      <c r="C1345" s="29"/>
      <c r="D1345" s="30"/>
      <c r="E1345" s="33"/>
      <c r="F1345" s="89"/>
    </row>
    <row r="1346" spans="2:6" s="6" customFormat="1" x14ac:dyDescent="0.3">
      <c r="B1346" s="29"/>
      <c r="C1346" s="29"/>
      <c r="D1346" s="30"/>
      <c r="E1346" s="33"/>
      <c r="F1346" s="89"/>
    </row>
    <row r="1347" spans="2:6" s="6" customFormat="1" x14ac:dyDescent="0.3">
      <c r="B1347" s="29"/>
      <c r="C1347" s="29"/>
      <c r="D1347" s="30"/>
      <c r="E1347" s="33"/>
      <c r="F1347" s="89"/>
    </row>
    <row r="1348" spans="2:6" s="6" customFormat="1" x14ac:dyDescent="0.3">
      <c r="B1348" s="29"/>
      <c r="C1348" s="29"/>
      <c r="D1348" s="30"/>
      <c r="E1348" s="33"/>
      <c r="F1348" s="89"/>
    </row>
    <row r="1349" spans="2:6" s="6" customFormat="1" x14ac:dyDescent="0.3">
      <c r="B1349" s="29"/>
      <c r="C1349" s="29"/>
      <c r="D1349" s="30"/>
      <c r="E1349" s="33"/>
      <c r="F1349" s="89"/>
    </row>
    <row r="1350" spans="2:6" s="6" customFormat="1" x14ac:dyDescent="0.3">
      <c r="B1350" s="29"/>
      <c r="C1350" s="29"/>
      <c r="D1350" s="30"/>
      <c r="E1350" s="33"/>
      <c r="F1350" s="89"/>
    </row>
    <row r="1351" spans="2:6" s="6" customFormat="1" x14ac:dyDescent="0.3">
      <c r="B1351" s="29"/>
      <c r="C1351" s="29"/>
      <c r="D1351" s="30"/>
      <c r="E1351" s="33"/>
      <c r="F1351" s="89"/>
    </row>
    <row r="1352" spans="2:6" s="6" customFormat="1" x14ac:dyDescent="0.3">
      <c r="B1352" s="29"/>
      <c r="C1352" s="29"/>
      <c r="D1352" s="30"/>
      <c r="E1352" s="33"/>
      <c r="F1352" s="89"/>
    </row>
    <row r="1353" spans="2:6" s="6" customFormat="1" x14ac:dyDescent="0.3">
      <c r="B1353" s="29"/>
      <c r="C1353" s="29"/>
      <c r="D1353" s="30"/>
      <c r="E1353" s="33"/>
      <c r="F1353" s="89"/>
    </row>
    <row r="1354" spans="2:6" s="6" customFormat="1" x14ac:dyDescent="0.3">
      <c r="B1354" s="29"/>
      <c r="C1354" s="29"/>
      <c r="D1354" s="30"/>
      <c r="E1354" s="33"/>
      <c r="F1354" s="89"/>
    </row>
    <row r="1355" spans="2:6" s="6" customFormat="1" x14ac:dyDescent="0.3">
      <c r="B1355" s="29"/>
      <c r="C1355" s="29"/>
      <c r="D1355" s="30"/>
      <c r="E1355" s="33"/>
      <c r="F1355" s="89"/>
    </row>
    <row r="1356" spans="2:6" s="6" customFormat="1" x14ac:dyDescent="0.3">
      <c r="B1356" s="29"/>
      <c r="C1356" s="29"/>
      <c r="D1356" s="30"/>
      <c r="E1356" s="33"/>
      <c r="F1356" s="89"/>
    </row>
    <row r="1357" spans="2:6" s="6" customFormat="1" x14ac:dyDescent="0.3">
      <c r="B1357" s="29"/>
      <c r="C1357" s="29"/>
      <c r="D1357" s="30"/>
      <c r="E1357" s="33"/>
      <c r="F1357" s="89"/>
    </row>
    <row r="1358" spans="2:6" s="6" customFormat="1" x14ac:dyDescent="0.3">
      <c r="B1358" s="29"/>
      <c r="C1358" s="29"/>
      <c r="D1358" s="30"/>
      <c r="E1358" s="33"/>
      <c r="F1358" s="89"/>
    </row>
    <row r="1359" spans="2:6" s="6" customFormat="1" x14ac:dyDescent="0.3">
      <c r="B1359" s="29"/>
      <c r="C1359" s="29"/>
      <c r="D1359" s="30"/>
      <c r="E1359" s="33"/>
      <c r="F1359" s="89"/>
    </row>
    <row r="1360" spans="2:6" s="6" customFormat="1" x14ac:dyDescent="0.3">
      <c r="B1360" s="29"/>
      <c r="C1360" s="29"/>
      <c r="D1360" s="30"/>
      <c r="E1360" s="33"/>
      <c r="F1360" s="89"/>
    </row>
    <row r="1361" spans="2:6" s="6" customFormat="1" x14ac:dyDescent="0.3">
      <c r="B1361" s="29"/>
      <c r="C1361" s="29"/>
      <c r="D1361" s="30"/>
      <c r="E1361" s="33"/>
      <c r="F1361" s="89"/>
    </row>
    <row r="1362" spans="2:6" s="6" customFormat="1" x14ac:dyDescent="0.3">
      <c r="B1362" s="29"/>
      <c r="C1362" s="29"/>
      <c r="D1362" s="30"/>
      <c r="E1362" s="33"/>
      <c r="F1362" s="89"/>
    </row>
    <row r="1363" spans="2:6" s="6" customFormat="1" x14ac:dyDescent="0.3">
      <c r="B1363" s="29"/>
      <c r="C1363" s="29"/>
      <c r="D1363" s="30"/>
      <c r="E1363" s="33"/>
      <c r="F1363" s="89"/>
    </row>
    <row r="1364" spans="2:6" s="6" customFormat="1" x14ac:dyDescent="0.3">
      <c r="B1364" s="29"/>
      <c r="C1364" s="29"/>
      <c r="D1364" s="30"/>
      <c r="E1364" s="33"/>
      <c r="F1364" s="89"/>
    </row>
    <row r="1365" spans="2:6" s="6" customFormat="1" x14ac:dyDescent="0.3">
      <c r="B1365" s="29"/>
      <c r="C1365" s="29"/>
      <c r="D1365" s="30"/>
      <c r="E1365" s="33"/>
      <c r="F1365" s="89"/>
    </row>
    <row r="1366" spans="2:6" s="6" customFormat="1" x14ac:dyDescent="0.3">
      <c r="B1366" s="29"/>
      <c r="C1366" s="29"/>
      <c r="D1366" s="30"/>
      <c r="E1366" s="33"/>
      <c r="F1366" s="89"/>
    </row>
    <row r="1367" spans="2:6" s="6" customFormat="1" x14ac:dyDescent="0.3">
      <c r="B1367" s="29"/>
      <c r="C1367" s="29"/>
      <c r="D1367" s="30"/>
      <c r="E1367" s="33"/>
      <c r="F1367" s="89"/>
    </row>
    <row r="1368" spans="2:6" s="6" customFormat="1" x14ac:dyDescent="0.3">
      <c r="B1368" s="29"/>
      <c r="C1368" s="29"/>
      <c r="D1368" s="30"/>
      <c r="E1368" s="33"/>
      <c r="F1368" s="89"/>
    </row>
    <row r="1369" spans="2:6" s="6" customFormat="1" x14ac:dyDescent="0.3">
      <c r="B1369" s="29"/>
      <c r="C1369" s="29"/>
      <c r="D1369" s="30"/>
      <c r="E1369" s="33"/>
      <c r="F1369" s="89"/>
    </row>
    <row r="1370" spans="2:6" s="6" customFormat="1" x14ac:dyDescent="0.3">
      <c r="B1370" s="29"/>
      <c r="C1370" s="29"/>
      <c r="D1370" s="30"/>
      <c r="E1370" s="33"/>
      <c r="F1370" s="89"/>
    </row>
    <row r="1371" spans="2:6" s="6" customFormat="1" x14ac:dyDescent="0.3">
      <c r="B1371" s="29"/>
      <c r="C1371" s="29"/>
      <c r="D1371" s="30"/>
      <c r="E1371" s="33"/>
      <c r="F1371" s="89"/>
    </row>
    <row r="1372" spans="2:6" s="6" customFormat="1" x14ac:dyDescent="0.3">
      <c r="B1372" s="29"/>
      <c r="C1372" s="29"/>
      <c r="D1372" s="30"/>
      <c r="E1372" s="33"/>
      <c r="F1372" s="89"/>
    </row>
    <row r="1373" spans="2:6" s="6" customFormat="1" x14ac:dyDescent="0.3">
      <c r="B1373" s="29"/>
      <c r="C1373" s="29"/>
      <c r="D1373" s="30"/>
      <c r="E1373" s="33"/>
      <c r="F1373" s="89"/>
    </row>
    <row r="1374" spans="2:6" s="6" customFormat="1" x14ac:dyDescent="0.3">
      <c r="B1374" s="29"/>
      <c r="C1374" s="29"/>
      <c r="D1374" s="30"/>
      <c r="E1374" s="33"/>
      <c r="F1374" s="89"/>
    </row>
    <row r="1375" spans="2:6" s="6" customFormat="1" x14ac:dyDescent="0.3">
      <c r="B1375" s="29"/>
      <c r="C1375" s="29"/>
      <c r="D1375" s="30"/>
      <c r="E1375" s="33"/>
      <c r="F1375" s="89"/>
    </row>
    <row r="1376" spans="2:6" s="6" customFormat="1" x14ac:dyDescent="0.3">
      <c r="B1376" s="29"/>
      <c r="C1376" s="29"/>
      <c r="D1376" s="30"/>
      <c r="E1376" s="33"/>
      <c r="F1376" s="89"/>
    </row>
    <row r="1377" spans="2:6" s="6" customFormat="1" x14ac:dyDescent="0.3">
      <c r="B1377" s="29"/>
      <c r="C1377" s="29"/>
      <c r="D1377" s="30"/>
      <c r="E1377" s="33"/>
      <c r="F1377" s="89"/>
    </row>
    <row r="1378" spans="2:6" s="6" customFormat="1" x14ac:dyDescent="0.3">
      <c r="B1378" s="29"/>
      <c r="C1378" s="29"/>
      <c r="D1378" s="30"/>
      <c r="E1378" s="33"/>
      <c r="F1378" s="89"/>
    </row>
    <row r="1379" spans="2:6" s="6" customFormat="1" x14ac:dyDescent="0.3">
      <c r="B1379" s="29"/>
      <c r="C1379" s="29"/>
      <c r="D1379" s="30"/>
      <c r="E1379" s="33"/>
      <c r="F1379" s="89"/>
    </row>
    <row r="1380" spans="2:6" s="6" customFormat="1" x14ac:dyDescent="0.3">
      <c r="B1380" s="29"/>
      <c r="C1380" s="29"/>
      <c r="D1380" s="30"/>
      <c r="E1380" s="33"/>
      <c r="F1380" s="89"/>
    </row>
    <row r="1381" spans="2:6" s="6" customFormat="1" x14ac:dyDescent="0.3">
      <c r="B1381" s="29"/>
      <c r="C1381" s="29"/>
      <c r="D1381" s="30"/>
      <c r="E1381" s="33"/>
      <c r="F1381" s="89"/>
    </row>
    <row r="1382" spans="2:6" s="6" customFormat="1" x14ac:dyDescent="0.3">
      <c r="B1382" s="29"/>
      <c r="C1382" s="29"/>
      <c r="D1382" s="30"/>
      <c r="E1382" s="33"/>
      <c r="F1382" s="89"/>
    </row>
    <row r="1383" spans="2:6" s="6" customFormat="1" x14ac:dyDescent="0.3">
      <c r="B1383" s="29"/>
      <c r="C1383" s="29"/>
      <c r="D1383" s="30"/>
      <c r="E1383" s="33"/>
      <c r="F1383" s="89"/>
    </row>
    <row r="1384" spans="2:6" s="6" customFormat="1" x14ac:dyDescent="0.3">
      <c r="B1384" s="29"/>
      <c r="C1384" s="29"/>
      <c r="D1384" s="30"/>
      <c r="E1384" s="33"/>
      <c r="F1384" s="89"/>
    </row>
    <row r="1385" spans="2:6" s="6" customFormat="1" x14ac:dyDescent="0.3">
      <c r="B1385" s="29"/>
      <c r="C1385" s="29"/>
      <c r="D1385" s="30"/>
      <c r="E1385" s="33"/>
      <c r="F1385" s="89"/>
    </row>
    <row r="1386" spans="2:6" s="6" customFormat="1" x14ac:dyDescent="0.3">
      <c r="B1386" s="29"/>
      <c r="C1386" s="29"/>
      <c r="D1386" s="30"/>
      <c r="E1386" s="33"/>
      <c r="F1386" s="89"/>
    </row>
    <row r="1387" spans="2:6" s="6" customFormat="1" x14ac:dyDescent="0.3">
      <c r="B1387" s="29"/>
      <c r="C1387" s="29"/>
      <c r="D1387" s="30"/>
      <c r="E1387" s="33"/>
      <c r="F1387" s="89"/>
    </row>
    <row r="1388" spans="2:6" s="6" customFormat="1" x14ac:dyDescent="0.3">
      <c r="B1388" s="29"/>
      <c r="C1388" s="29"/>
      <c r="D1388" s="30"/>
      <c r="E1388" s="33"/>
      <c r="F1388" s="89"/>
    </row>
    <row r="1389" spans="2:6" s="6" customFormat="1" x14ac:dyDescent="0.3">
      <c r="B1389" s="29"/>
      <c r="C1389" s="29"/>
      <c r="D1389" s="30"/>
      <c r="E1389" s="33"/>
      <c r="F1389" s="89"/>
    </row>
    <row r="1390" spans="2:6" s="6" customFormat="1" x14ac:dyDescent="0.3">
      <c r="B1390" s="29"/>
      <c r="C1390" s="29"/>
      <c r="D1390" s="30"/>
      <c r="E1390" s="33"/>
      <c r="F1390" s="89"/>
    </row>
    <row r="1391" spans="2:6" s="6" customFormat="1" x14ac:dyDescent="0.3">
      <c r="B1391" s="29"/>
      <c r="C1391" s="29"/>
      <c r="D1391" s="30"/>
      <c r="E1391" s="33"/>
      <c r="F1391" s="89"/>
    </row>
    <row r="1392" spans="2:6" s="6" customFormat="1" x14ac:dyDescent="0.3">
      <c r="B1392" s="29"/>
      <c r="C1392" s="29"/>
      <c r="D1392" s="30"/>
      <c r="E1392" s="33"/>
      <c r="F1392" s="89"/>
    </row>
    <row r="1393" spans="2:6" s="6" customFormat="1" x14ac:dyDescent="0.3">
      <c r="B1393" s="29"/>
      <c r="C1393" s="29"/>
      <c r="D1393" s="30"/>
      <c r="E1393" s="33"/>
      <c r="F1393" s="89"/>
    </row>
    <row r="1394" spans="2:6" s="6" customFormat="1" x14ac:dyDescent="0.3">
      <c r="B1394" s="29"/>
      <c r="C1394" s="29"/>
      <c r="D1394" s="30"/>
      <c r="E1394" s="33"/>
      <c r="F1394" s="89"/>
    </row>
    <row r="1395" spans="2:6" s="6" customFormat="1" x14ac:dyDescent="0.3">
      <c r="B1395" s="29"/>
      <c r="C1395" s="29"/>
      <c r="D1395" s="30"/>
      <c r="E1395" s="33"/>
      <c r="F1395" s="89"/>
    </row>
    <row r="1396" spans="2:6" s="6" customFormat="1" x14ac:dyDescent="0.3">
      <c r="B1396" s="29"/>
      <c r="C1396" s="29"/>
      <c r="D1396" s="30"/>
      <c r="E1396" s="33"/>
      <c r="F1396" s="89"/>
    </row>
    <row r="1397" spans="2:6" s="6" customFormat="1" x14ac:dyDescent="0.3">
      <c r="B1397" s="29"/>
      <c r="C1397" s="29"/>
      <c r="D1397" s="30"/>
      <c r="E1397" s="33"/>
      <c r="F1397" s="89"/>
    </row>
    <row r="1398" spans="2:6" s="6" customFormat="1" x14ac:dyDescent="0.3">
      <c r="B1398" s="29"/>
      <c r="C1398" s="29"/>
      <c r="D1398" s="30"/>
      <c r="E1398" s="33"/>
      <c r="F1398" s="89"/>
    </row>
    <row r="1399" spans="2:6" s="6" customFormat="1" x14ac:dyDescent="0.3">
      <c r="B1399" s="29"/>
      <c r="C1399" s="29"/>
      <c r="D1399" s="30"/>
      <c r="E1399" s="33"/>
      <c r="F1399" s="89"/>
    </row>
    <row r="1400" spans="2:6" s="6" customFormat="1" x14ac:dyDescent="0.3">
      <c r="B1400" s="29"/>
      <c r="C1400" s="29"/>
      <c r="D1400" s="30"/>
      <c r="E1400" s="33"/>
      <c r="F1400" s="89"/>
    </row>
    <row r="1401" spans="2:6" s="6" customFormat="1" x14ac:dyDescent="0.3">
      <c r="B1401" s="29"/>
      <c r="C1401" s="29"/>
      <c r="D1401" s="30"/>
      <c r="E1401" s="33"/>
      <c r="F1401" s="89"/>
    </row>
    <row r="1402" spans="2:6" s="6" customFormat="1" x14ac:dyDescent="0.3">
      <c r="B1402" s="29"/>
      <c r="C1402" s="29"/>
      <c r="D1402" s="30"/>
      <c r="E1402" s="33"/>
      <c r="F1402" s="89"/>
    </row>
    <row r="1403" spans="2:6" s="6" customFormat="1" x14ac:dyDescent="0.3">
      <c r="B1403" s="29"/>
      <c r="C1403" s="29"/>
      <c r="D1403" s="30"/>
      <c r="E1403" s="33"/>
      <c r="F1403" s="89"/>
    </row>
    <row r="1404" spans="2:6" s="6" customFormat="1" x14ac:dyDescent="0.3">
      <c r="B1404" s="29"/>
      <c r="C1404" s="29"/>
      <c r="D1404" s="30"/>
      <c r="E1404" s="33"/>
      <c r="F1404" s="89"/>
    </row>
    <row r="1405" spans="2:6" s="6" customFormat="1" x14ac:dyDescent="0.3">
      <c r="B1405" s="29"/>
      <c r="C1405" s="29"/>
      <c r="D1405" s="30"/>
      <c r="E1405" s="33"/>
      <c r="F1405" s="89"/>
    </row>
    <row r="1406" spans="2:6" s="6" customFormat="1" x14ac:dyDescent="0.3">
      <c r="B1406" s="29"/>
      <c r="C1406" s="29"/>
      <c r="D1406" s="30"/>
      <c r="E1406" s="33"/>
      <c r="F1406" s="89"/>
    </row>
    <row r="1407" spans="2:6" s="6" customFormat="1" x14ac:dyDescent="0.3">
      <c r="B1407" s="29"/>
      <c r="C1407" s="29"/>
      <c r="D1407" s="30"/>
      <c r="E1407" s="33"/>
      <c r="F1407" s="89"/>
    </row>
    <row r="1408" spans="2:6" s="6" customFormat="1" x14ac:dyDescent="0.3">
      <c r="B1408" s="29"/>
      <c r="C1408" s="29"/>
      <c r="D1408" s="30"/>
      <c r="E1408" s="33"/>
      <c r="F1408" s="89"/>
    </row>
    <row r="1409" spans="2:6" s="6" customFormat="1" x14ac:dyDescent="0.3">
      <c r="B1409" s="29"/>
      <c r="C1409" s="29"/>
      <c r="D1409" s="30"/>
      <c r="E1409" s="33"/>
      <c r="F1409" s="89"/>
    </row>
    <row r="1410" spans="2:6" s="6" customFormat="1" x14ac:dyDescent="0.3">
      <c r="B1410" s="29"/>
      <c r="C1410" s="29"/>
      <c r="D1410" s="30"/>
      <c r="E1410" s="33"/>
      <c r="F1410" s="89"/>
    </row>
    <row r="1411" spans="2:6" s="6" customFormat="1" x14ac:dyDescent="0.3">
      <c r="B1411" s="29"/>
      <c r="C1411" s="29"/>
      <c r="D1411" s="30"/>
      <c r="E1411" s="33"/>
      <c r="F1411" s="89"/>
    </row>
    <row r="1412" spans="2:6" s="6" customFormat="1" x14ac:dyDescent="0.3">
      <c r="B1412" s="29"/>
      <c r="C1412" s="29"/>
      <c r="D1412" s="30"/>
      <c r="E1412" s="33"/>
      <c r="F1412" s="89"/>
    </row>
    <row r="1413" spans="2:6" s="6" customFormat="1" x14ac:dyDescent="0.3">
      <c r="B1413" s="29"/>
      <c r="C1413" s="29"/>
      <c r="D1413" s="30"/>
      <c r="E1413" s="33"/>
      <c r="F1413" s="89"/>
    </row>
    <row r="1414" spans="2:6" s="6" customFormat="1" x14ac:dyDescent="0.3">
      <c r="B1414" s="29"/>
      <c r="C1414" s="29"/>
      <c r="D1414" s="30"/>
      <c r="E1414" s="33"/>
      <c r="F1414" s="89"/>
    </row>
    <row r="1415" spans="2:6" s="6" customFormat="1" x14ac:dyDescent="0.3">
      <c r="B1415" s="29"/>
      <c r="C1415" s="29"/>
      <c r="D1415" s="30"/>
      <c r="E1415" s="33"/>
      <c r="F1415" s="89"/>
    </row>
    <row r="1416" spans="2:6" s="6" customFormat="1" x14ac:dyDescent="0.3">
      <c r="B1416" s="29"/>
      <c r="C1416" s="29"/>
      <c r="D1416" s="30"/>
      <c r="E1416" s="33"/>
      <c r="F1416" s="89"/>
    </row>
    <row r="1417" spans="2:6" s="6" customFormat="1" x14ac:dyDescent="0.3">
      <c r="B1417" s="29"/>
      <c r="C1417" s="29"/>
      <c r="D1417" s="30"/>
      <c r="E1417" s="33"/>
      <c r="F1417" s="89"/>
    </row>
    <row r="1418" spans="2:6" s="6" customFormat="1" x14ac:dyDescent="0.3">
      <c r="B1418" s="29"/>
      <c r="C1418" s="29"/>
      <c r="D1418" s="30"/>
      <c r="E1418" s="33"/>
      <c r="F1418" s="89"/>
    </row>
    <row r="1419" spans="2:6" s="6" customFormat="1" x14ac:dyDescent="0.3">
      <c r="B1419" s="29"/>
      <c r="C1419" s="29"/>
      <c r="D1419" s="30"/>
      <c r="E1419" s="33"/>
      <c r="F1419" s="89"/>
    </row>
    <row r="1420" spans="2:6" s="6" customFormat="1" x14ac:dyDescent="0.3">
      <c r="B1420" s="29"/>
      <c r="C1420" s="29"/>
      <c r="D1420" s="30"/>
      <c r="E1420" s="33"/>
      <c r="F1420" s="89"/>
    </row>
    <row r="1421" spans="2:6" s="6" customFormat="1" x14ac:dyDescent="0.3">
      <c r="B1421" s="29"/>
      <c r="C1421" s="29"/>
      <c r="D1421" s="30"/>
      <c r="E1421" s="33"/>
      <c r="F1421" s="89"/>
    </row>
    <row r="1422" spans="2:6" s="6" customFormat="1" x14ac:dyDescent="0.3">
      <c r="B1422" s="29"/>
      <c r="C1422" s="29"/>
      <c r="D1422" s="30"/>
      <c r="E1422" s="33"/>
      <c r="F1422" s="89"/>
    </row>
    <row r="1423" spans="2:6" s="6" customFormat="1" x14ac:dyDescent="0.3">
      <c r="B1423" s="29"/>
      <c r="C1423" s="29"/>
      <c r="D1423" s="30"/>
      <c r="E1423" s="33"/>
      <c r="F1423" s="89"/>
    </row>
    <row r="1424" spans="2:6" s="6" customFormat="1" x14ac:dyDescent="0.3">
      <c r="B1424" s="29"/>
      <c r="C1424" s="29"/>
      <c r="D1424" s="30"/>
      <c r="E1424" s="33"/>
      <c r="F1424" s="89"/>
    </row>
    <row r="1425" spans="2:6" s="6" customFormat="1" x14ac:dyDescent="0.3">
      <c r="B1425" s="29"/>
      <c r="C1425" s="29"/>
      <c r="D1425" s="30"/>
      <c r="E1425" s="33"/>
      <c r="F1425" s="89"/>
    </row>
    <row r="1426" spans="2:6" s="6" customFormat="1" x14ac:dyDescent="0.3">
      <c r="B1426" s="29"/>
      <c r="C1426" s="29"/>
      <c r="D1426" s="30"/>
      <c r="E1426" s="33"/>
      <c r="F1426" s="89"/>
    </row>
    <row r="1427" spans="2:6" s="6" customFormat="1" x14ac:dyDescent="0.3">
      <c r="B1427" s="29"/>
      <c r="C1427" s="29"/>
      <c r="D1427" s="30"/>
      <c r="E1427" s="33"/>
      <c r="F1427" s="89"/>
    </row>
    <row r="1428" spans="2:6" s="6" customFormat="1" x14ac:dyDescent="0.3">
      <c r="B1428" s="29"/>
      <c r="C1428" s="29"/>
      <c r="D1428" s="30"/>
      <c r="E1428" s="33"/>
      <c r="F1428" s="89"/>
    </row>
    <row r="1429" spans="2:6" s="6" customFormat="1" x14ac:dyDescent="0.3">
      <c r="B1429" s="29"/>
      <c r="C1429" s="29"/>
      <c r="D1429" s="30"/>
      <c r="E1429" s="33"/>
      <c r="F1429" s="89"/>
    </row>
    <row r="1430" spans="2:6" s="6" customFormat="1" x14ac:dyDescent="0.3">
      <c r="B1430" s="29"/>
      <c r="C1430" s="29"/>
      <c r="D1430" s="30"/>
      <c r="E1430" s="33"/>
      <c r="F1430" s="89"/>
    </row>
    <row r="1431" spans="2:6" s="6" customFormat="1" x14ac:dyDescent="0.3">
      <c r="B1431" s="29"/>
      <c r="C1431" s="29"/>
      <c r="D1431" s="30"/>
      <c r="E1431" s="33"/>
      <c r="F1431" s="89"/>
    </row>
    <row r="1432" spans="2:6" s="6" customFormat="1" x14ac:dyDescent="0.3">
      <c r="B1432" s="29"/>
      <c r="C1432" s="29"/>
      <c r="D1432" s="30"/>
      <c r="E1432" s="33"/>
      <c r="F1432" s="89"/>
    </row>
    <row r="1433" spans="2:6" s="6" customFormat="1" x14ac:dyDescent="0.3">
      <c r="B1433" s="29"/>
      <c r="C1433" s="29"/>
      <c r="D1433" s="30"/>
      <c r="E1433" s="33"/>
      <c r="F1433" s="89"/>
    </row>
    <row r="1434" spans="2:6" s="6" customFormat="1" x14ac:dyDescent="0.3">
      <c r="B1434" s="29"/>
      <c r="C1434" s="29"/>
      <c r="D1434" s="30"/>
      <c r="E1434" s="33"/>
      <c r="F1434" s="89"/>
    </row>
    <row r="1435" spans="2:6" s="6" customFormat="1" x14ac:dyDescent="0.3">
      <c r="B1435" s="29"/>
      <c r="C1435" s="29"/>
      <c r="D1435" s="30"/>
      <c r="E1435" s="33"/>
      <c r="F1435" s="89"/>
    </row>
    <row r="1436" spans="2:6" s="6" customFormat="1" x14ac:dyDescent="0.3">
      <c r="B1436" s="29"/>
      <c r="C1436" s="29"/>
      <c r="D1436" s="30"/>
      <c r="E1436" s="33"/>
      <c r="F1436" s="89"/>
    </row>
    <row r="1437" spans="2:6" s="6" customFormat="1" x14ac:dyDescent="0.3">
      <c r="B1437" s="29"/>
      <c r="C1437" s="29"/>
      <c r="D1437" s="30"/>
      <c r="E1437" s="33"/>
      <c r="F1437" s="89"/>
    </row>
    <row r="1438" spans="2:6" s="6" customFormat="1" x14ac:dyDescent="0.3">
      <c r="B1438" s="29"/>
      <c r="C1438" s="29"/>
      <c r="D1438" s="30"/>
      <c r="E1438" s="33"/>
      <c r="F1438" s="89"/>
    </row>
    <row r="1439" spans="2:6" s="6" customFormat="1" x14ac:dyDescent="0.3">
      <c r="B1439" s="29"/>
      <c r="C1439" s="29"/>
      <c r="D1439" s="30"/>
      <c r="E1439" s="33"/>
      <c r="F1439" s="89"/>
    </row>
    <row r="1440" spans="2:6" s="6" customFormat="1" x14ac:dyDescent="0.3">
      <c r="B1440" s="29"/>
      <c r="C1440" s="29"/>
      <c r="D1440" s="30"/>
      <c r="E1440" s="33"/>
      <c r="F1440" s="89"/>
    </row>
    <row r="1441" spans="2:6" s="6" customFormat="1" x14ac:dyDescent="0.3">
      <c r="B1441" s="29"/>
      <c r="C1441" s="29"/>
      <c r="D1441" s="30"/>
      <c r="E1441" s="33"/>
      <c r="F1441" s="89"/>
    </row>
    <row r="1442" spans="2:6" s="6" customFormat="1" x14ac:dyDescent="0.3">
      <c r="B1442" s="29"/>
      <c r="C1442" s="29"/>
      <c r="D1442" s="30"/>
      <c r="E1442" s="33"/>
      <c r="F1442" s="89"/>
    </row>
    <row r="1443" spans="2:6" s="6" customFormat="1" x14ac:dyDescent="0.3">
      <c r="B1443" s="29"/>
      <c r="C1443" s="29"/>
      <c r="D1443" s="30"/>
      <c r="E1443" s="33"/>
      <c r="F1443" s="89"/>
    </row>
    <row r="1444" spans="2:6" s="6" customFormat="1" x14ac:dyDescent="0.3">
      <c r="B1444" s="29"/>
      <c r="C1444" s="29"/>
      <c r="D1444" s="30"/>
      <c r="E1444" s="33"/>
      <c r="F1444" s="89"/>
    </row>
    <row r="1445" spans="2:6" s="6" customFormat="1" x14ac:dyDescent="0.3">
      <c r="B1445" s="29"/>
      <c r="C1445" s="29"/>
      <c r="D1445" s="30"/>
      <c r="E1445" s="33"/>
      <c r="F1445" s="89"/>
    </row>
    <row r="1446" spans="2:6" s="6" customFormat="1" x14ac:dyDescent="0.3">
      <c r="B1446" s="29"/>
      <c r="C1446" s="29"/>
      <c r="D1446" s="30"/>
      <c r="E1446" s="33"/>
      <c r="F1446" s="89"/>
    </row>
    <row r="1447" spans="2:6" s="6" customFormat="1" x14ac:dyDescent="0.3">
      <c r="B1447" s="29"/>
      <c r="C1447" s="29"/>
      <c r="D1447" s="30"/>
      <c r="E1447" s="33"/>
      <c r="F1447" s="89"/>
    </row>
    <row r="1448" spans="2:6" s="6" customFormat="1" x14ac:dyDescent="0.3">
      <c r="B1448" s="29"/>
      <c r="C1448" s="29"/>
      <c r="D1448" s="30"/>
      <c r="E1448" s="33"/>
      <c r="F1448" s="89"/>
    </row>
    <row r="1449" spans="2:6" s="6" customFormat="1" x14ac:dyDescent="0.3">
      <c r="B1449" s="29"/>
      <c r="C1449" s="29"/>
      <c r="D1449" s="30"/>
      <c r="E1449" s="33"/>
      <c r="F1449" s="89"/>
    </row>
    <row r="1450" spans="2:6" s="6" customFormat="1" x14ac:dyDescent="0.3">
      <c r="B1450" s="29"/>
      <c r="C1450" s="29"/>
      <c r="D1450" s="30"/>
      <c r="E1450" s="33"/>
      <c r="F1450" s="89"/>
    </row>
    <row r="1451" spans="2:6" s="6" customFormat="1" x14ac:dyDescent="0.3">
      <c r="B1451" s="29"/>
      <c r="C1451" s="29"/>
      <c r="D1451" s="30"/>
      <c r="E1451" s="33"/>
      <c r="F1451" s="89"/>
    </row>
    <row r="1452" spans="2:6" s="6" customFormat="1" x14ac:dyDescent="0.3">
      <c r="B1452" s="29"/>
      <c r="C1452" s="29"/>
      <c r="D1452" s="30"/>
      <c r="E1452" s="33"/>
      <c r="F1452" s="89"/>
    </row>
    <row r="1453" spans="2:6" s="6" customFormat="1" x14ac:dyDescent="0.3">
      <c r="B1453" s="29"/>
      <c r="C1453" s="29"/>
      <c r="D1453" s="30"/>
      <c r="E1453" s="33"/>
      <c r="F1453" s="89"/>
    </row>
    <row r="1454" spans="2:6" s="6" customFormat="1" x14ac:dyDescent="0.3">
      <c r="B1454" s="29"/>
      <c r="C1454" s="29"/>
      <c r="D1454" s="30"/>
      <c r="E1454" s="33"/>
      <c r="F1454" s="89"/>
    </row>
    <row r="1455" spans="2:6" s="6" customFormat="1" x14ac:dyDescent="0.3">
      <c r="B1455" s="29"/>
      <c r="C1455" s="29"/>
      <c r="D1455" s="30"/>
      <c r="E1455" s="33"/>
      <c r="F1455" s="89"/>
    </row>
    <row r="1456" spans="2:6" s="6" customFormat="1" x14ac:dyDescent="0.3">
      <c r="B1456" s="29"/>
      <c r="C1456" s="29"/>
      <c r="D1456" s="30"/>
      <c r="E1456" s="33"/>
      <c r="F1456" s="89"/>
    </row>
    <row r="1457" spans="2:6" s="6" customFormat="1" x14ac:dyDescent="0.3">
      <c r="B1457" s="29"/>
      <c r="C1457" s="29"/>
      <c r="D1457" s="30"/>
      <c r="E1457" s="33"/>
      <c r="F1457" s="89"/>
    </row>
    <row r="1458" spans="2:6" s="6" customFormat="1" x14ac:dyDescent="0.3">
      <c r="B1458" s="29"/>
      <c r="C1458" s="29"/>
      <c r="D1458" s="30"/>
      <c r="E1458" s="33"/>
      <c r="F1458" s="89"/>
    </row>
    <row r="1459" spans="2:6" s="6" customFormat="1" x14ac:dyDescent="0.3">
      <c r="B1459" s="29"/>
      <c r="C1459" s="29"/>
      <c r="D1459" s="30"/>
      <c r="E1459" s="33"/>
      <c r="F1459" s="89"/>
    </row>
    <row r="1460" spans="2:6" s="6" customFormat="1" x14ac:dyDescent="0.3">
      <c r="B1460" s="29"/>
      <c r="C1460" s="29"/>
      <c r="D1460" s="30"/>
      <c r="E1460" s="33"/>
      <c r="F1460" s="89"/>
    </row>
    <row r="1461" spans="2:6" s="6" customFormat="1" x14ac:dyDescent="0.3">
      <c r="B1461" s="29"/>
      <c r="C1461" s="29"/>
      <c r="D1461" s="30"/>
      <c r="E1461" s="33"/>
      <c r="F1461" s="89"/>
    </row>
    <row r="1462" spans="2:6" s="6" customFormat="1" x14ac:dyDescent="0.3">
      <c r="B1462" s="29"/>
      <c r="C1462" s="29"/>
      <c r="D1462" s="30"/>
      <c r="E1462" s="33"/>
      <c r="F1462" s="89"/>
    </row>
    <row r="1463" spans="2:6" s="6" customFormat="1" x14ac:dyDescent="0.3">
      <c r="B1463" s="29"/>
      <c r="C1463" s="29"/>
      <c r="D1463" s="30"/>
      <c r="E1463" s="33"/>
      <c r="F1463" s="89"/>
    </row>
    <row r="1464" spans="2:6" s="6" customFormat="1" x14ac:dyDescent="0.3">
      <c r="B1464" s="29"/>
      <c r="C1464" s="29"/>
      <c r="D1464" s="30"/>
      <c r="E1464" s="33"/>
      <c r="F1464" s="89"/>
    </row>
    <row r="1465" spans="2:6" s="6" customFormat="1" x14ac:dyDescent="0.3">
      <c r="B1465" s="29"/>
      <c r="C1465" s="29"/>
      <c r="D1465" s="30"/>
      <c r="E1465" s="33"/>
      <c r="F1465" s="89"/>
    </row>
    <row r="1466" spans="2:6" s="6" customFormat="1" x14ac:dyDescent="0.3">
      <c r="B1466" s="29"/>
      <c r="C1466" s="29"/>
      <c r="D1466" s="30"/>
      <c r="E1466" s="33"/>
      <c r="F1466" s="89"/>
    </row>
    <row r="1467" spans="2:6" s="6" customFormat="1" x14ac:dyDescent="0.3">
      <c r="B1467" s="29"/>
      <c r="C1467" s="29"/>
      <c r="D1467" s="30"/>
      <c r="E1467" s="33"/>
      <c r="F1467" s="89"/>
    </row>
    <row r="1468" spans="2:6" s="6" customFormat="1" x14ac:dyDescent="0.3">
      <c r="B1468" s="29"/>
      <c r="C1468" s="29"/>
      <c r="D1468" s="30"/>
      <c r="E1468" s="33"/>
      <c r="F1468" s="89"/>
    </row>
    <row r="1469" spans="2:6" s="6" customFormat="1" x14ac:dyDescent="0.3">
      <c r="B1469" s="29"/>
      <c r="C1469" s="29"/>
      <c r="D1469" s="30"/>
      <c r="E1469" s="33"/>
      <c r="F1469" s="89"/>
    </row>
    <row r="1470" spans="2:6" s="6" customFormat="1" x14ac:dyDescent="0.3">
      <c r="B1470" s="29"/>
      <c r="C1470" s="29"/>
      <c r="D1470" s="30"/>
      <c r="E1470" s="33"/>
      <c r="F1470" s="89"/>
    </row>
    <row r="1471" spans="2:6" s="6" customFormat="1" x14ac:dyDescent="0.3">
      <c r="B1471" s="29"/>
      <c r="C1471" s="29"/>
      <c r="D1471" s="30"/>
      <c r="E1471" s="33"/>
      <c r="F1471" s="89"/>
    </row>
    <row r="1472" spans="2:6" s="6" customFormat="1" x14ac:dyDescent="0.3">
      <c r="B1472" s="29"/>
      <c r="C1472" s="29"/>
      <c r="D1472" s="30"/>
      <c r="E1472" s="33"/>
      <c r="F1472" s="89"/>
    </row>
    <row r="1473" spans="2:6" s="6" customFormat="1" x14ac:dyDescent="0.3">
      <c r="B1473" s="29"/>
      <c r="C1473" s="29"/>
      <c r="D1473" s="30"/>
      <c r="E1473" s="33"/>
      <c r="F1473" s="89"/>
    </row>
    <row r="1474" spans="2:6" s="6" customFormat="1" x14ac:dyDescent="0.3">
      <c r="B1474" s="29"/>
      <c r="C1474" s="29"/>
      <c r="D1474" s="30"/>
      <c r="E1474" s="33"/>
      <c r="F1474" s="89"/>
    </row>
    <row r="1475" spans="2:6" s="6" customFormat="1" x14ac:dyDescent="0.3">
      <c r="B1475" s="29"/>
      <c r="C1475" s="29"/>
      <c r="D1475" s="30"/>
      <c r="E1475" s="33"/>
      <c r="F1475" s="89"/>
    </row>
    <row r="1476" spans="2:6" s="6" customFormat="1" x14ac:dyDescent="0.3">
      <c r="B1476" s="29"/>
      <c r="C1476" s="29"/>
      <c r="D1476" s="30"/>
      <c r="E1476" s="33"/>
      <c r="F1476" s="89"/>
    </row>
    <row r="1477" spans="2:6" s="6" customFormat="1" x14ac:dyDescent="0.3">
      <c r="B1477" s="29"/>
      <c r="C1477" s="29"/>
      <c r="D1477" s="30"/>
      <c r="E1477" s="33"/>
      <c r="F1477" s="89"/>
    </row>
    <row r="1478" spans="2:6" s="6" customFormat="1" x14ac:dyDescent="0.3">
      <c r="B1478" s="29"/>
      <c r="C1478" s="29"/>
      <c r="D1478" s="30"/>
      <c r="E1478" s="33"/>
      <c r="F1478" s="89"/>
    </row>
    <row r="1479" spans="2:6" s="6" customFormat="1" x14ac:dyDescent="0.3">
      <c r="B1479" s="29"/>
      <c r="C1479" s="29"/>
      <c r="D1479" s="30"/>
      <c r="E1479" s="33"/>
      <c r="F1479" s="89"/>
    </row>
    <row r="1480" spans="2:6" s="6" customFormat="1" x14ac:dyDescent="0.3">
      <c r="B1480" s="29"/>
      <c r="C1480" s="29"/>
      <c r="D1480" s="30"/>
      <c r="E1480" s="33"/>
      <c r="F1480" s="89"/>
    </row>
    <row r="1481" spans="2:6" s="6" customFormat="1" x14ac:dyDescent="0.3">
      <c r="B1481" s="29"/>
      <c r="C1481" s="29"/>
      <c r="D1481" s="30"/>
      <c r="E1481" s="33"/>
      <c r="F1481" s="89"/>
    </row>
    <row r="1482" spans="2:6" s="6" customFormat="1" x14ac:dyDescent="0.3">
      <c r="B1482" s="29"/>
      <c r="C1482" s="29"/>
      <c r="D1482" s="30"/>
      <c r="E1482" s="33"/>
      <c r="F1482" s="89"/>
    </row>
    <row r="1483" spans="2:6" s="6" customFormat="1" x14ac:dyDescent="0.3">
      <c r="B1483" s="29"/>
      <c r="C1483" s="29"/>
      <c r="D1483" s="30"/>
      <c r="E1483" s="33"/>
      <c r="F1483" s="89"/>
    </row>
    <row r="1484" spans="2:6" s="6" customFormat="1" x14ac:dyDescent="0.3">
      <c r="B1484" s="29"/>
      <c r="C1484" s="29"/>
      <c r="D1484" s="30"/>
      <c r="E1484" s="33"/>
      <c r="F1484" s="89"/>
    </row>
    <row r="1485" spans="2:6" s="6" customFormat="1" x14ac:dyDescent="0.3">
      <c r="B1485" s="29"/>
      <c r="C1485" s="29"/>
      <c r="D1485" s="30"/>
      <c r="E1485" s="33"/>
      <c r="F1485" s="89"/>
    </row>
    <row r="1486" spans="2:6" s="6" customFormat="1" x14ac:dyDescent="0.3">
      <c r="B1486" s="29"/>
      <c r="C1486" s="29"/>
      <c r="D1486" s="30"/>
      <c r="E1486" s="33"/>
      <c r="F1486" s="89"/>
    </row>
    <row r="1487" spans="2:6" s="6" customFormat="1" x14ac:dyDescent="0.3">
      <c r="B1487" s="29"/>
      <c r="C1487" s="29"/>
      <c r="D1487" s="30"/>
      <c r="E1487" s="33"/>
      <c r="F1487" s="89"/>
    </row>
    <row r="1488" spans="2:6" s="6" customFormat="1" x14ac:dyDescent="0.3">
      <c r="B1488" s="29"/>
      <c r="C1488" s="29"/>
      <c r="D1488" s="30"/>
      <c r="E1488" s="33"/>
      <c r="F1488" s="89"/>
    </row>
    <row r="1489" spans="2:6" s="6" customFormat="1" x14ac:dyDescent="0.3">
      <c r="B1489" s="29"/>
      <c r="C1489" s="29"/>
      <c r="D1489" s="30"/>
      <c r="E1489" s="33"/>
      <c r="F1489" s="89"/>
    </row>
    <row r="1490" spans="2:6" s="6" customFormat="1" x14ac:dyDescent="0.3">
      <c r="B1490" s="29"/>
      <c r="C1490" s="29"/>
      <c r="D1490" s="30"/>
      <c r="E1490" s="33"/>
      <c r="F1490" s="89"/>
    </row>
    <row r="1491" spans="2:6" s="6" customFormat="1" x14ac:dyDescent="0.3">
      <c r="B1491" s="29"/>
      <c r="C1491" s="29"/>
      <c r="D1491" s="30"/>
      <c r="E1491" s="33"/>
      <c r="F1491" s="89"/>
    </row>
    <row r="1492" spans="2:6" s="6" customFormat="1" x14ac:dyDescent="0.3">
      <c r="B1492" s="29"/>
      <c r="C1492" s="29"/>
      <c r="D1492" s="30"/>
      <c r="E1492" s="33"/>
      <c r="F1492" s="89"/>
    </row>
    <row r="1493" spans="2:6" s="6" customFormat="1" x14ac:dyDescent="0.3">
      <c r="B1493" s="29"/>
      <c r="C1493" s="29"/>
      <c r="D1493" s="30"/>
      <c r="E1493" s="33"/>
      <c r="F1493" s="89"/>
    </row>
    <row r="1494" spans="2:6" s="6" customFormat="1" x14ac:dyDescent="0.3">
      <c r="B1494" s="29"/>
      <c r="C1494" s="29"/>
      <c r="D1494" s="30"/>
      <c r="E1494" s="33"/>
      <c r="F1494" s="89"/>
    </row>
    <row r="1495" spans="2:6" s="6" customFormat="1" x14ac:dyDescent="0.3">
      <c r="B1495" s="29"/>
      <c r="C1495" s="29"/>
      <c r="D1495" s="30"/>
      <c r="E1495" s="33"/>
      <c r="F1495" s="89"/>
    </row>
    <row r="1496" spans="2:6" s="6" customFormat="1" x14ac:dyDescent="0.3">
      <c r="B1496" s="29"/>
      <c r="C1496" s="29"/>
      <c r="D1496" s="30"/>
      <c r="E1496" s="33"/>
      <c r="F1496" s="89"/>
    </row>
    <row r="1497" spans="2:6" s="6" customFormat="1" x14ac:dyDescent="0.3">
      <c r="B1497" s="29"/>
      <c r="C1497" s="29"/>
      <c r="D1497" s="30"/>
      <c r="E1497" s="33"/>
      <c r="F1497" s="89"/>
    </row>
    <row r="1498" spans="2:6" s="6" customFormat="1" x14ac:dyDescent="0.3">
      <c r="B1498" s="29"/>
      <c r="C1498" s="29"/>
      <c r="D1498" s="30"/>
      <c r="E1498" s="33"/>
      <c r="F1498" s="89"/>
    </row>
    <row r="1499" spans="2:6" s="6" customFormat="1" x14ac:dyDescent="0.3">
      <c r="B1499" s="29"/>
      <c r="C1499" s="29"/>
      <c r="D1499" s="30"/>
      <c r="E1499" s="33"/>
      <c r="F1499" s="89"/>
    </row>
    <row r="1500" spans="2:6" s="6" customFormat="1" x14ac:dyDescent="0.3">
      <c r="B1500" s="29"/>
      <c r="C1500" s="29"/>
      <c r="D1500" s="30"/>
      <c r="E1500" s="33"/>
      <c r="F1500" s="89"/>
    </row>
    <row r="1501" spans="2:6" s="6" customFormat="1" x14ac:dyDescent="0.3">
      <c r="B1501" s="29"/>
      <c r="C1501" s="29"/>
      <c r="D1501" s="30"/>
      <c r="E1501" s="33"/>
      <c r="F1501" s="89"/>
    </row>
    <row r="1502" spans="2:6" s="6" customFormat="1" x14ac:dyDescent="0.3">
      <c r="B1502" s="29"/>
      <c r="C1502" s="29"/>
      <c r="D1502" s="30"/>
      <c r="E1502" s="33"/>
      <c r="F1502" s="89"/>
    </row>
    <row r="1503" spans="2:6" s="6" customFormat="1" x14ac:dyDescent="0.3">
      <c r="B1503" s="29"/>
      <c r="C1503" s="29"/>
      <c r="D1503" s="30"/>
      <c r="E1503" s="33"/>
      <c r="F1503" s="89"/>
    </row>
    <row r="1504" spans="2:6" s="6" customFormat="1" x14ac:dyDescent="0.3">
      <c r="B1504" s="29"/>
      <c r="C1504" s="29"/>
      <c r="D1504" s="30"/>
      <c r="E1504" s="33"/>
      <c r="F1504" s="89"/>
    </row>
    <row r="1505" spans="2:6" s="6" customFormat="1" x14ac:dyDescent="0.3">
      <c r="B1505" s="29"/>
      <c r="C1505" s="29"/>
      <c r="D1505" s="30"/>
      <c r="E1505" s="33"/>
      <c r="F1505" s="89"/>
    </row>
    <row r="1506" spans="2:6" s="6" customFormat="1" x14ac:dyDescent="0.3">
      <c r="B1506" s="29"/>
      <c r="C1506" s="29"/>
      <c r="D1506" s="30"/>
      <c r="E1506" s="33"/>
      <c r="F1506" s="89"/>
    </row>
    <row r="1507" spans="2:6" s="6" customFormat="1" x14ac:dyDescent="0.3">
      <c r="B1507" s="29"/>
      <c r="C1507" s="29"/>
      <c r="D1507" s="30"/>
      <c r="E1507" s="33"/>
      <c r="F1507" s="89"/>
    </row>
    <row r="1508" spans="2:6" s="6" customFormat="1" x14ac:dyDescent="0.3">
      <c r="B1508" s="29"/>
      <c r="C1508" s="29"/>
      <c r="D1508" s="30"/>
      <c r="E1508" s="33"/>
      <c r="F1508" s="89"/>
    </row>
    <row r="1509" spans="2:6" s="6" customFormat="1" x14ac:dyDescent="0.3">
      <c r="B1509" s="29"/>
      <c r="C1509" s="29"/>
      <c r="D1509" s="30"/>
      <c r="E1509" s="33"/>
      <c r="F1509" s="89"/>
    </row>
    <row r="1510" spans="2:6" s="6" customFormat="1" x14ac:dyDescent="0.3">
      <c r="B1510" s="29"/>
      <c r="C1510" s="29"/>
      <c r="D1510" s="30"/>
      <c r="E1510" s="33"/>
      <c r="F1510" s="89"/>
    </row>
    <row r="1511" spans="2:6" s="6" customFormat="1" x14ac:dyDescent="0.3">
      <c r="B1511" s="29"/>
      <c r="C1511" s="29"/>
      <c r="D1511" s="30"/>
      <c r="E1511" s="33"/>
      <c r="F1511" s="89"/>
    </row>
    <row r="1512" spans="2:6" s="6" customFormat="1" x14ac:dyDescent="0.3">
      <c r="B1512" s="29"/>
      <c r="C1512" s="29"/>
      <c r="D1512" s="30"/>
      <c r="E1512" s="33"/>
      <c r="F1512" s="89"/>
    </row>
    <row r="1513" spans="2:6" s="6" customFormat="1" x14ac:dyDescent="0.3">
      <c r="B1513" s="29"/>
      <c r="C1513" s="29"/>
      <c r="D1513" s="30"/>
      <c r="E1513" s="33"/>
      <c r="F1513" s="89"/>
    </row>
    <row r="1514" spans="2:6" s="6" customFormat="1" x14ac:dyDescent="0.3">
      <c r="B1514" s="29"/>
      <c r="C1514" s="29"/>
      <c r="D1514" s="30"/>
      <c r="E1514" s="33"/>
      <c r="F1514" s="89"/>
    </row>
    <row r="1515" spans="2:6" s="6" customFormat="1" x14ac:dyDescent="0.3">
      <c r="B1515" s="29"/>
      <c r="C1515" s="29"/>
      <c r="D1515" s="30"/>
      <c r="E1515" s="33"/>
      <c r="F1515" s="89"/>
    </row>
    <row r="1516" spans="2:6" s="6" customFormat="1" x14ac:dyDescent="0.3">
      <c r="B1516" s="29"/>
      <c r="C1516" s="29"/>
      <c r="D1516" s="30"/>
      <c r="E1516" s="33"/>
      <c r="F1516" s="89"/>
    </row>
    <row r="1517" spans="2:6" s="6" customFormat="1" x14ac:dyDescent="0.3">
      <c r="B1517" s="29"/>
      <c r="C1517" s="29"/>
      <c r="D1517" s="30"/>
      <c r="E1517" s="33"/>
      <c r="F1517" s="89"/>
    </row>
    <row r="1518" spans="2:6" s="6" customFormat="1" x14ac:dyDescent="0.3">
      <c r="B1518" s="29"/>
      <c r="C1518" s="29"/>
      <c r="D1518" s="30"/>
      <c r="E1518" s="33"/>
      <c r="F1518" s="89"/>
    </row>
    <row r="1519" spans="2:6" s="6" customFormat="1" x14ac:dyDescent="0.3">
      <c r="B1519" s="29"/>
      <c r="C1519" s="29"/>
      <c r="D1519" s="30"/>
      <c r="E1519" s="33"/>
      <c r="F1519" s="89"/>
    </row>
    <row r="1520" spans="2:6" s="6" customFormat="1" x14ac:dyDescent="0.3">
      <c r="B1520" s="29"/>
      <c r="C1520" s="29"/>
      <c r="D1520" s="30"/>
      <c r="E1520" s="33"/>
      <c r="F1520" s="89"/>
    </row>
    <row r="1521" spans="2:6" s="6" customFormat="1" x14ac:dyDescent="0.3">
      <c r="B1521" s="29"/>
      <c r="C1521" s="29"/>
      <c r="D1521" s="30"/>
      <c r="E1521" s="33"/>
      <c r="F1521" s="89"/>
    </row>
    <row r="1522" spans="2:6" s="6" customFormat="1" x14ac:dyDescent="0.3">
      <c r="B1522" s="29"/>
      <c r="C1522" s="29"/>
      <c r="D1522" s="30"/>
      <c r="E1522" s="33"/>
      <c r="F1522" s="89"/>
    </row>
    <row r="1523" spans="2:6" s="6" customFormat="1" x14ac:dyDescent="0.3">
      <c r="B1523" s="29"/>
      <c r="C1523" s="29"/>
      <c r="D1523" s="30"/>
      <c r="E1523" s="33"/>
      <c r="F1523" s="89"/>
    </row>
    <row r="1524" spans="2:6" s="6" customFormat="1" x14ac:dyDescent="0.3">
      <c r="B1524" s="29"/>
      <c r="C1524" s="29"/>
      <c r="D1524" s="30"/>
      <c r="E1524" s="33"/>
      <c r="F1524" s="89"/>
    </row>
    <row r="1525" spans="2:6" s="6" customFormat="1" x14ac:dyDescent="0.3">
      <c r="B1525" s="29"/>
      <c r="C1525" s="29"/>
      <c r="D1525" s="30"/>
      <c r="E1525" s="33"/>
      <c r="F1525" s="89"/>
    </row>
    <row r="1526" spans="2:6" s="6" customFormat="1" x14ac:dyDescent="0.3">
      <c r="B1526" s="29"/>
      <c r="C1526" s="29"/>
      <c r="D1526" s="30"/>
      <c r="E1526" s="33"/>
      <c r="F1526" s="89"/>
    </row>
    <row r="1527" spans="2:6" s="6" customFormat="1" x14ac:dyDescent="0.3">
      <c r="B1527" s="29"/>
      <c r="C1527" s="29"/>
      <c r="D1527" s="30"/>
      <c r="E1527" s="33"/>
      <c r="F1527" s="89"/>
    </row>
    <row r="1528" spans="2:6" s="6" customFormat="1" x14ac:dyDescent="0.3">
      <c r="B1528" s="29"/>
      <c r="C1528" s="29"/>
      <c r="D1528" s="30"/>
      <c r="E1528" s="33"/>
      <c r="F1528" s="89"/>
    </row>
    <row r="1529" spans="2:6" s="6" customFormat="1" x14ac:dyDescent="0.3">
      <c r="B1529" s="29"/>
      <c r="C1529" s="29"/>
      <c r="D1529" s="30"/>
      <c r="E1529" s="33"/>
      <c r="F1529" s="89"/>
    </row>
    <row r="1530" spans="2:6" s="6" customFormat="1" x14ac:dyDescent="0.3">
      <c r="B1530" s="29"/>
      <c r="C1530" s="29"/>
      <c r="D1530" s="30"/>
      <c r="E1530" s="33"/>
      <c r="F1530" s="89"/>
    </row>
    <row r="1531" spans="2:6" s="6" customFormat="1" x14ac:dyDescent="0.3">
      <c r="B1531" s="29"/>
      <c r="C1531" s="29"/>
      <c r="D1531" s="30"/>
      <c r="E1531" s="33"/>
      <c r="F1531" s="89"/>
    </row>
    <row r="1532" spans="2:6" s="6" customFormat="1" x14ac:dyDescent="0.3">
      <c r="B1532" s="29"/>
      <c r="C1532" s="29"/>
      <c r="D1532" s="30"/>
      <c r="E1532" s="33"/>
      <c r="F1532" s="89"/>
    </row>
    <row r="1533" spans="2:6" s="6" customFormat="1" x14ac:dyDescent="0.3">
      <c r="B1533" s="29"/>
      <c r="C1533" s="29"/>
      <c r="D1533" s="30"/>
      <c r="E1533" s="33"/>
      <c r="F1533" s="89"/>
    </row>
    <row r="1534" spans="2:6" s="6" customFormat="1" x14ac:dyDescent="0.3">
      <c r="B1534" s="29"/>
      <c r="C1534" s="29"/>
      <c r="D1534" s="30"/>
      <c r="E1534" s="33"/>
      <c r="F1534" s="89"/>
    </row>
    <row r="1535" spans="2:6" s="6" customFormat="1" x14ac:dyDescent="0.3">
      <c r="B1535" s="29"/>
      <c r="C1535" s="29"/>
      <c r="D1535" s="30"/>
      <c r="E1535" s="33"/>
      <c r="F1535" s="89"/>
    </row>
    <row r="1536" spans="2:6" s="6" customFormat="1" x14ac:dyDescent="0.3">
      <c r="B1536" s="29"/>
      <c r="C1536" s="29"/>
      <c r="D1536" s="30"/>
      <c r="E1536" s="33"/>
      <c r="F1536" s="89"/>
    </row>
    <row r="1537" spans="2:6" s="6" customFormat="1" x14ac:dyDescent="0.3">
      <c r="B1537" s="29"/>
      <c r="C1537" s="29"/>
      <c r="D1537" s="30"/>
      <c r="E1537" s="33"/>
      <c r="F1537" s="89"/>
    </row>
    <row r="1538" spans="2:6" s="6" customFormat="1" x14ac:dyDescent="0.3">
      <c r="B1538" s="29"/>
      <c r="C1538" s="29"/>
      <c r="D1538" s="30"/>
      <c r="E1538" s="33"/>
      <c r="F1538" s="89"/>
    </row>
    <row r="1539" spans="2:6" s="6" customFormat="1" x14ac:dyDescent="0.3">
      <c r="B1539" s="29"/>
      <c r="C1539" s="29"/>
      <c r="D1539" s="30"/>
      <c r="E1539" s="33"/>
      <c r="F1539" s="89"/>
    </row>
    <row r="1540" spans="2:6" s="6" customFormat="1" x14ac:dyDescent="0.3">
      <c r="B1540" s="29"/>
      <c r="C1540" s="29"/>
      <c r="D1540" s="30"/>
      <c r="E1540" s="33"/>
      <c r="F1540" s="89"/>
    </row>
    <row r="1541" spans="2:6" s="6" customFormat="1" x14ac:dyDescent="0.3">
      <c r="B1541" s="29"/>
      <c r="C1541" s="29"/>
      <c r="D1541" s="30"/>
      <c r="E1541" s="33"/>
      <c r="F1541" s="89"/>
    </row>
    <row r="1542" spans="2:6" s="6" customFormat="1" x14ac:dyDescent="0.3">
      <c r="B1542" s="29"/>
      <c r="C1542" s="29"/>
      <c r="D1542" s="30"/>
      <c r="E1542" s="33"/>
      <c r="F1542" s="89"/>
    </row>
    <row r="1543" spans="2:6" s="6" customFormat="1" x14ac:dyDescent="0.3">
      <c r="B1543" s="29"/>
      <c r="C1543" s="29"/>
      <c r="D1543" s="30"/>
      <c r="E1543" s="33"/>
      <c r="F1543" s="89"/>
    </row>
    <row r="1544" spans="2:6" s="6" customFormat="1" x14ac:dyDescent="0.3">
      <c r="B1544" s="29"/>
      <c r="C1544" s="29"/>
      <c r="D1544" s="30"/>
      <c r="E1544" s="33"/>
      <c r="F1544" s="89"/>
    </row>
    <row r="1545" spans="2:6" s="6" customFormat="1" x14ac:dyDescent="0.3">
      <c r="B1545" s="29"/>
      <c r="C1545" s="29"/>
      <c r="D1545" s="30"/>
      <c r="E1545" s="33"/>
      <c r="F1545" s="89"/>
    </row>
    <row r="1546" spans="2:6" s="6" customFormat="1" x14ac:dyDescent="0.3">
      <c r="B1546" s="29"/>
      <c r="C1546" s="29"/>
      <c r="D1546" s="30"/>
      <c r="E1546" s="33"/>
      <c r="F1546" s="89"/>
    </row>
    <row r="1547" spans="2:6" s="6" customFormat="1" x14ac:dyDescent="0.3">
      <c r="B1547" s="29"/>
      <c r="C1547" s="29"/>
      <c r="D1547" s="30"/>
      <c r="E1547" s="33"/>
      <c r="F1547" s="89"/>
    </row>
    <row r="1548" spans="2:6" s="6" customFormat="1" x14ac:dyDescent="0.3">
      <c r="B1548" s="29"/>
      <c r="C1548" s="29"/>
      <c r="D1548" s="30"/>
      <c r="E1548" s="33"/>
      <c r="F1548" s="89"/>
    </row>
    <row r="1549" spans="2:6" s="6" customFormat="1" x14ac:dyDescent="0.3">
      <c r="B1549" s="29"/>
      <c r="C1549" s="29"/>
      <c r="D1549" s="30"/>
      <c r="E1549" s="33"/>
      <c r="F1549" s="89"/>
    </row>
    <row r="1550" spans="2:6" s="6" customFormat="1" x14ac:dyDescent="0.3">
      <c r="B1550" s="29"/>
      <c r="C1550" s="29"/>
      <c r="D1550" s="30"/>
      <c r="E1550" s="33"/>
      <c r="F1550" s="89"/>
    </row>
    <row r="1551" spans="2:6" s="6" customFormat="1" x14ac:dyDescent="0.3">
      <c r="B1551" s="29"/>
      <c r="C1551" s="29"/>
      <c r="D1551" s="30"/>
      <c r="E1551" s="33"/>
      <c r="F1551" s="89"/>
    </row>
    <row r="1552" spans="2:6" s="6" customFormat="1" x14ac:dyDescent="0.3">
      <c r="B1552" s="29"/>
      <c r="C1552" s="29"/>
      <c r="D1552" s="30"/>
      <c r="E1552" s="33"/>
      <c r="F1552" s="89"/>
    </row>
    <row r="1553" spans="2:6" s="6" customFormat="1" x14ac:dyDescent="0.3">
      <c r="B1553" s="29"/>
      <c r="C1553" s="29"/>
      <c r="D1553" s="30"/>
      <c r="E1553" s="33"/>
      <c r="F1553" s="89"/>
    </row>
    <row r="1554" spans="2:6" s="6" customFormat="1" x14ac:dyDescent="0.3">
      <c r="B1554" s="29"/>
      <c r="C1554" s="29"/>
      <c r="D1554" s="30"/>
      <c r="E1554" s="33"/>
      <c r="F1554" s="89"/>
    </row>
    <row r="1555" spans="2:6" s="6" customFormat="1" x14ac:dyDescent="0.3">
      <c r="B1555" s="29"/>
      <c r="C1555" s="29"/>
      <c r="D1555" s="30"/>
      <c r="E1555" s="33"/>
      <c r="F1555" s="89"/>
    </row>
    <row r="1556" spans="2:6" s="6" customFormat="1" x14ac:dyDescent="0.3">
      <c r="B1556" s="29"/>
      <c r="C1556" s="29"/>
      <c r="D1556" s="30"/>
      <c r="E1556" s="33"/>
      <c r="F1556" s="89"/>
    </row>
    <row r="1557" spans="2:6" s="6" customFormat="1" x14ac:dyDescent="0.3">
      <c r="B1557" s="29"/>
      <c r="C1557" s="29"/>
      <c r="D1557" s="30"/>
      <c r="E1557" s="33"/>
      <c r="F1557" s="89"/>
    </row>
    <row r="1558" spans="2:6" s="6" customFormat="1" x14ac:dyDescent="0.3">
      <c r="B1558" s="29"/>
      <c r="C1558" s="29"/>
      <c r="D1558" s="30"/>
      <c r="E1558" s="33"/>
      <c r="F1558" s="89"/>
    </row>
    <row r="1559" spans="2:6" s="6" customFormat="1" x14ac:dyDescent="0.3">
      <c r="B1559" s="29"/>
      <c r="C1559" s="29"/>
      <c r="D1559" s="30"/>
      <c r="E1559" s="33"/>
      <c r="F1559" s="89"/>
    </row>
    <row r="1560" spans="2:6" s="6" customFormat="1" x14ac:dyDescent="0.3">
      <c r="B1560" s="29"/>
      <c r="C1560" s="29"/>
      <c r="D1560" s="30"/>
      <c r="E1560" s="33"/>
      <c r="F1560" s="89"/>
    </row>
    <row r="1561" spans="2:6" s="6" customFormat="1" x14ac:dyDescent="0.3">
      <c r="B1561" s="29"/>
      <c r="C1561" s="29"/>
      <c r="D1561" s="30"/>
      <c r="E1561" s="33"/>
      <c r="F1561" s="89"/>
    </row>
    <row r="1562" spans="2:6" s="6" customFormat="1" x14ac:dyDescent="0.3">
      <c r="B1562" s="29"/>
      <c r="C1562" s="29"/>
      <c r="D1562" s="30"/>
      <c r="E1562" s="33"/>
      <c r="F1562" s="89"/>
    </row>
    <row r="1563" spans="2:6" s="6" customFormat="1" x14ac:dyDescent="0.3">
      <c r="B1563" s="29"/>
      <c r="C1563" s="29"/>
      <c r="D1563" s="30"/>
      <c r="E1563" s="33"/>
      <c r="F1563" s="89"/>
    </row>
    <row r="1564" spans="2:6" s="6" customFormat="1" x14ac:dyDescent="0.3">
      <c r="B1564" s="29"/>
      <c r="C1564" s="29"/>
      <c r="D1564" s="30"/>
      <c r="E1564" s="33"/>
      <c r="F1564" s="89"/>
    </row>
    <row r="1565" spans="2:6" s="6" customFormat="1" x14ac:dyDescent="0.3">
      <c r="B1565" s="29"/>
      <c r="C1565" s="29"/>
      <c r="D1565" s="30"/>
      <c r="E1565" s="33"/>
      <c r="F1565" s="89"/>
    </row>
    <row r="1566" spans="2:6" s="6" customFormat="1" x14ac:dyDescent="0.3">
      <c r="B1566" s="29"/>
      <c r="C1566" s="29"/>
      <c r="D1566" s="30"/>
      <c r="E1566" s="33"/>
      <c r="F1566" s="89"/>
    </row>
    <row r="1567" spans="2:6" s="6" customFormat="1" x14ac:dyDescent="0.3">
      <c r="B1567" s="29"/>
      <c r="C1567" s="29"/>
      <c r="D1567" s="30"/>
      <c r="E1567" s="33"/>
      <c r="F1567" s="89"/>
    </row>
    <row r="1568" spans="2:6" s="6" customFormat="1" x14ac:dyDescent="0.3">
      <c r="B1568" s="29"/>
      <c r="C1568" s="29"/>
      <c r="D1568" s="30"/>
      <c r="E1568" s="33"/>
      <c r="F1568" s="89"/>
    </row>
    <row r="1569" spans="2:6" s="6" customFormat="1" x14ac:dyDescent="0.3">
      <c r="B1569" s="29"/>
      <c r="C1569" s="29"/>
      <c r="D1569" s="30"/>
      <c r="E1569" s="33"/>
      <c r="F1569" s="89"/>
    </row>
    <row r="1570" spans="2:6" s="6" customFormat="1" x14ac:dyDescent="0.3">
      <c r="B1570" s="29"/>
      <c r="C1570" s="29"/>
      <c r="D1570" s="30"/>
      <c r="E1570" s="33"/>
      <c r="F1570" s="89"/>
    </row>
    <row r="1571" spans="2:6" s="6" customFormat="1" x14ac:dyDescent="0.3">
      <c r="B1571" s="29"/>
      <c r="C1571" s="29"/>
      <c r="D1571" s="30"/>
      <c r="E1571" s="33"/>
      <c r="F1571" s="89"/>
    </row>
    <row r="1572" spans="2:6" s="6" customFormat="1" x14ac:dyDescent="0.3">
      <c r="B1572" s="29"/>
      <c r="C1572" s="29"/>
      <c r="D1572" s="30"/>
      <c r="E1572" s="33"/>
      <c r="F1572" s="89"/>
    </row>
    <row r="1573" spans="2:6" s="6" customFormat="1" x14ac:dyDescent="0.3">
      <c r="B1573" s="29"/>
      <c r="C1573" s="29"/>
      <c r="D1573" s="30"/>
      <c r="E1573" s="33"/>
      <c r="F1573" s="89"/>
    </row>
    <row r="1574" spans="2:6" s="6" customFormat="1" x14ac:dyDescent="0.3">
      <c r="B1574" s="29"/>
      <c r="C1574" s="29"/>
      <c r="D1574" s="30"/>
      <c r="E1574" s="33"/>
      <c r="F1574" s="89"/>
    </row>
    <row r="1575" spans="2:6" s="6" customFormat="1" x14ac:dyDescent="0.3">
      <c r="B1575" s="29"/>
      <c r="C1575" s="29"/>
      <c r="D1575" s="30"/>
      <c r="E1575" s="33"/>
      <c r="F1575" s="89"/>
    </row>
    <row r="1576" spans="2:6" s="6" customFormat="1" x14ac:dyDescent="0.3">
      <c r="B1576" s="29"/>
      <c r="C1576" s="29"/>
      <c r="D1576" s="30"/>
      <c r="E1576" s="33"/>
      <c r="F1576" s="89"/>
    </row>
    <row r="1577" spans="2:6" s="6" customFormat="1" x14ac:dyDescent="0.3">
      <c r="B1577" s="29"/>
      <c r="C1577" s="29"/>
      <c r="D1577" s="30"/>
      <c r="E1577" s="33"/>
      <c r="F1577" s="89"/>
    </row>
    <row r="1578" spans="2:6" s="6" customFormat="1" x14ac:dyDescent="0.3">
      <c r="B1578" s="29"/>
      <c r="C1578" s="29"/>
      <c r="D1578" s="30"/>
      <c r="E1578" s="33"/>
      <c r="F1578" s="89"/>
    </row>
    <row r="1579" spans="2:6" s="6" customFormat="1" x14ac:dyDescent="0.3">
      <c r="B1579" s="29"/>
      <c r="C1579" s="29"/>
      <c r="D1579" s="30"/>
      <c r="E1579" s="33"/>
      <c r="F1579" s="89"/>
    </row>
    <row r="1580" spans="2:6" s="6" customFormat="1" x14ac:dyDescent="0.3">
      <c r="B1580" s="29"/>
      <c r="C1580" s="29"/>
      <c r="D1580" s="30"/>
      <c r="E1580" s="33"/>
      <c r="F1580" s="89"/>
    </row>
    <row r="1581" spans="2:6" s="6" customFormat="1" x14ac:dyDescent="0.3">
      <c r="B1581" s="29"/>
      <c r="C1581" s="29"/>
      <c r="D1581" s="30"/>
      <c r="E1581" s="33"/>
      <c r="F1581" s="89"/>
    </row>
    <row r="1582" spans="2:6" s="6" customFormat="1" x14ac:dyDescent="0.3">
      <c r="B1582" s="29"/>
      <c r="C1582" s="29"/>
      <c r="D1582" s="30"/>
      <c r="E1582" s="33"/>
      <c r="F1582" s="89"/>
    </row>
    <row r="1583" spans="2:6" s="6" customFormat="1" x14ac:dyDescent="0.3">
      <c r="B1583" s="29"/>
      <c r="C1583" s="29"/>
      <c r="D1583" s="30"/>
      <c r="E1583" s="33"/>
      <c r="F1583" s="89"/>
    </row>
    <row r="1584" spans="2:6" s="6" customFormat="1" x14ac:dyDescent="0.3">
      <c r="B1584" s="29"/>
      <c r="C1584" s="29"/>
      <c r="D1584" s="30"/>
      <c r="E1584" s="33"/>
      <c r="F1584" s="89"/>
    </row>
    <row r="1585" spans="2:6" s="6" customFormat="1" x14ac:dyDescent="0.3">
      <c r="B1585" s="29"/>
      <c r="C1585" s="29"/>
      <c r="D1585" s="30"/>
      <c r="E1585" s="33"/>
      <c r="F1585" s="89"/>
    </row>
    <row r="1586" spans="2:6" s="6" customFormat="1" x14ac:dyDescent="0.3">
      <c r="B1586" s="29"/>
      <c r="C1586" s="29"/>
      <c r="D1586" s="30"/>
      <c r="E1586" s="33"/>
      <c r="F1586" s="89"/>
    </row>
    <row r="1587" spans="2:6" s="6" customFormat="1" x14ac:dyDescent="0.3">
      <c r="B1587" s="29"/>
      <c r="C1587" s="29"/>
      <c r="D1587" s="30"/>
      <c r="E1587" s="33"/>
      <c r="F1587" s="89"/>
    </row>
    <row r="1588" spans="2:6" s="6" customFormat="1" x14ac:dyDescent="0.3">
      <c r="B1588" s="29"/>
      <c r="C1588" s="29"/>
      <c r="D1588" s="30"/>
      <c r="E1588" s="33"/>
      <c r="F1588" s="89"/>
    </row>
    <row r="1589" spans="2:6" s="6" customFormat="1" x14ac:dyDescent="0.3">
      <c r="B1589" s="29"/>
      <c r="C1589" s="29"/>
      <c r="D1589" s="30"/>
      <c r="E1589" s="33"/>
      <c r="F1589" s="89"/>
    </row>
    <row r="1590" spans="2:6" s="6" customFormat="1" x14ac:dyDescent="0.3">
      <c r="B1590" s="29"/>
      <c r="C1590" s="29"/>
      <c r="D1590" s="30"/>
      <c r="E1590" s="33"/>
      <c r="F1590" s="89"/>
    </row>
    <row r="1591" spans="2:6" s="6" customFormat="1" x14ac:dyDescent="0.3">
      <c r="B1591" s="29"/>
      <c r="C1591" s="29"/>
      <c r="D1591" s="30"/>
      <c r="E1591" s="33"/>
      <c r="F1591" s="89"/>
    </row>
    <row r="1592" spans="2:6" s="6" customFormat="1" x14ac:dyDescent="0.3">
      <c r="B1592" s="29"/>
      <c r="C1592" s="29"/>
      <c r="D1592" s="30"/>
      <c r="E1592" s="33"/>
      <c r="F1592" s="89"/>
    </row>
    <row r="1593" spans="2:6" s="6" customFormat="1" x14ac:dyDescent="0.3">
      <c r="B1593" s="29"/>
      <c r="C1593" s="29"/>
      <c r="D1593" s="30"/>
      <c r="E1593" s="33"/>
      <c r="F1593" s="89"/>
    </row>
    <row r="1594" spans="2:6" s="6" customFormat="1" x14ac:dyDescent="0.3">
      <c r="B1594" s="29"/>
      <c r="C1594" s="29"/>
      <c r="D1594" s="30"/>
      <c r="E1594" s="33"/>
      <c r="F1594" s="89"/>
    </row>
    <row r="1595" spans="2:6" s="6" customFormat="1" x14ac:dyDescent="0.3">
      <c r="B1595" s="29"/>
      <c r="C1595" s="29"/>
      <c r="D1595" s="30"/>
      <c r="E1595" s="33"/>
      <c r="F1595" s="89"/>
    </row>
    <row r="1596" spans="2:6" s="6" customFormat="1" x14ac:dyDescent="0.3">
      <c r="B1596" s="29"/>
      <c r="C1596" s="29"/>
      <c r="D1596" s="30"/>
      <c r="E1596" s="33"/>
      <c r="F1596" s="89"/>
    </row>
    <row r="1597" spans="2:6" s="6" customFormat="1" x14ac:dyDescent="0.3">
      <c r="B1597" s="29"/>
      <c r="C1597" s="29"/>
      <c r="D1597" s="30"/>
      <c r="E1597" s="33"/>
      <c r="F1597" s="89"/>
    </row>
    <row r="1598" spans="2:6" s="6" customFormat="1" x14ac:dyDescent="0.3">
      <c r="B1598" s="29"/>
      <c r="C1598" s="29"/>
      <c r="D1598" s="30"/>
      <c r="E1598" s="33"/>
      <c r="F1598" s="89"/>
    </row>
    <row r="1599" spans="2:6" s="6" customFormat="1" x14ac:dyDescent="0.3">
      <c r="B1599" s="29"/>
      <c r="C1599" s="29"/>
      <c r="D1599" s="30"/>
      <c r="E1599" s="33"/>
      <c r="F1599" s="89"/>
    </row>
    <row r="1600" spans="2:6" s="6" customFormat="1" x14ac:dyDescent="0.3">
      <c r="B1600" s="29"/>
      <c r="C1600" s="29"/>
      <c r="D1600" s="30"/>
      <c r="E1600" s="33"/>
      <c r="F1600" s="89"/>
    </row>
    <row r="1601" spans="2:6" s="6" customFormat="1" x14ac:dyDescent="0.3">
      <c r="B1601" s="29"/>
      <c r="C1601" s="29"/>
      <c r="D1601" s="30"/>
      <c r="E1601" s="33"/>
      <c r="F1601" s="89"/>
    </row>
    <row r="1602" spans="2:6" s="6" customFormat="1" x14ac:dyDescent="0.3">
      <c r="B1602" s="29"/>
      <c r="C1602" s="29"/>
      <c r="D1602" s="30"/>
      <c r="E1602" s="33"/>
      <c r="F1602" s="89"/>
    </row>
    <row r="1603" spans="2:6" s="6" customFormat="1" x14ac:dyDescent="0.3">
      <c r="B1603" s="29"/>
      <c r="C1603" s="29"/>
      <c r="D1603" s="30"/>
      <c r="E1603" s="33"/>
      <c r="F1603" s="89"/>
    </row>
    <row r="1604" spans="2:6" s="6" customFormat="1" x14ac:dyDescent="0.3">
      <c r="B1604" s="29"/>
      <c r="C1604" s="29"/>
      <c r="D1604" s="30"/>
      <c r="E1604" s="33"/>
      <c r="F1604" s="89"/>
    </row>
    <row r="1605" spans="2:6" s="6" customFormat="1" x14ac:dyDescent="0.3">
      <c r="B1605" s="29"/>
      <c r="C1605" s="29"/>
      <c r="D1605" s="30"/>
      <c r="E1605" s="33"/>
      <c r="F1605" s="89"/>
    </row>
    <row r="1606" spans="2:6" s="6" customFormat="1" x14ac:dyDescent="0.3">
      <c r="B1606" s="29"/>
      <c r="C1606" s="29"/>
      <c r="D1606" s="30"/>
      <c r="E1606" s="33"/>
      <c r="F1606" s="89"/>
    </row>
    <row r="1607" spans="2:6" s="6" customFormat="1" x14ac:dyDescent="0.3">
      <c r="B1607" s="29"/>
      <c r="C1607" s="29"/>
      <c r="D1607" s="30"/>
      <c r="E1607" s="33"/>
      <c r="F1607" s="89"/>
    </row>
    <row r="1608" spans="2:6" s="6" customFormat="1" x14ac:dyDescent="0.3">
      <c r="B1608" s="29"/>
      <c r="C1608" s="29"/>
      <c r="D1608" s="30"/>
      <c r="E1608" s="33"/>
      <c r="F1608" s="89"/>
    </row>
    <row r="1609" spans="2:6" s="6" customFormat="1" x14ac:dyDescent="0.3">
      <c r="B1609" s="29"/>
      <c r="C1609" s="29"/>
      <c r="D1609" s="30"/>
      <c r="E1609" s="33"/>
      <c r="F1609" s="89"/>
    </row>
    <row r="1610" spans="2:6" s="6" customFormat="1" x14ac:dyDescent="0.3">
      <c r="B1610" s="29"/>
      <c r="C1610" s="29"/>
      <c r="D1610" s="30"/>
      <c r="E1610" s="33"/>
      <c r="F1610" s="89"/>
    </row>
    <row r="1611" spans="2:6" s="6" customFormat="1" x14ac:dyDescent="0.3">
      <c r="B1611" s="29"/>
      <c r="C1611" s="29"/>
      <c r="D1611" s="30"/>
      <c r="E1611" s="33"/>
      <c r="F1611" s="89"/>
    </row>
    <row r="1612" spans="2:6" s="6" customFormat="1" x14ac:dyDescent="0.3">
      <c r="B1612" s="29"/>
      <c r="C1612" s="29"/>
      <c r="D1612" s="30"/>
      <c r="E1612" s="33"/>
      <c r="F1612" s="89"/>
    </row>
    <row r="1613" spans="2:6" s="6" customFormat="1" x14ac:dyDescent="0.3">
      <c r="B1613" s="29"/>
      <c r="C1613" s="29"/>
      <c r="D1613" s="30"/>
      <c r="E1613" s="33"/>
      <c r="F1613" s="89"/>
    </row>
    <row r="1614" spans="2:6" s="6" customFormat="1" x14ac:dyDescent="0.3">
      <c r="B1614" s="29"/>
      <c r="C1614" s="29"/>
      <c r="D1614" s="30"/>
      <c r="E1614" s="33"/>
      <c r="F1614" s="89"/>
    </row>
    <row r="1615" spans="2:6" s="6" customFormat="1" x14ac:dyDescent="0.3">
      <c r="B1615" s="29"/>
      <c r="C1615" s="29"/>
      <c r="D1615" s="30"/>
      <c r="E1615" s="33"/>
      <c r="F1615" s="89"/>
    </row>
    <row r="1616" spans="2:6" s="6" customFormat="1" x14ac:dyDescent="0.3">
      <c r="B1616" s="29"/>
      <c r="C1616" s="29"/>
      <c r="D1616" s="30"/>
      <c r="E1616" s="33"/>
      <c r="F1616" s="89"/>
    </row>
    <row r="1617" spans="2:6" s="6" customFormat="1" x14ac:dyDescent="0.3">
      <c r="B1617" s="29"/>
      <c r="C1617" s="29"/>
      <c r="D1617" s="30"/>
      <c r="E1617" s="33"/>
      <c r="F1617" s="89"/>
    </row>
    <row r="1618" spans="2:6" s="6" customFormat="1" x14ac:dyDescent="0.3">
      <c r="B1618" s="29"/>
      <c r="C1618" s="29"/>
      <c r="D1618" s="30"/>
      <c r="E1618" s="33"/>
      <c r="F1618" s="89"/>
    </row>
    <row r="1619" spans="2:6" s="6" customFormat="1" x14ac:dyDescent="0.3">
      <c r="B1619" s="29"/>
      <c r="C1619" s="29"/>
      <c r="D1619" s="30"/>
      <c r="E1619" s="33"/>
      <c r="F1619" s="89"/>
    </row>
    <row r="1620" spans="2:6" s="6" customFormat="1" x14ac:dyDescent="0.3">
      <c r="B1620" s="29"/>
      <c r="C1620" s="29"/>
      <c r="D1620" s="30"/>
      <c r="E1620" s="33"/>
      <c r="F1620" s="89"/>
    </row>
    <row r="1621" spans="2:6" s="6" customFormat="1" x14ac:dyDescent="0.3">
      <c r="B1621" s="29"/>
      <c r="C1621" s="29"/>
      <c r="D1621" s="30"/>
      <c r="E1621" s="33"/>
      <c r="F1621" s="89"/>
    </row>
    <row r="1622" spans="2:6" s="6" customFormat="1" x14ac:dyDescent="0.3">
      <c r="B1622" s="29"/>
      <c r="C1622" s="29"/>
      <c r="D1622" s="30"/>
      <c r="E1622" s="33"/>
      <c r="F1622" s="89"/>
    </row>
    <row r="1623" spans="2:6" s="6" customFormat="1" x14ac:dyDescent="0.3">
      <c r="B1623" s="29"/>
      <c r="C1623" s="29"/>
      <c r="D1623" s="30"/>
      <c r="E1623" s="33"/>
      <c r="F1623" s="89"/>
    </row>
    <row r="1624" spans="2:6" s="6" customFormat="1" x14ac:dyDescent="0.3">
      <c r="B1624" s="29"/>
      <c r="C1624" s="29"/>
      <c r="D1624" s="30"/>
      <c r="E1624" s="33"/>
      <c r="F1624" s="89"/>
    </row>
    <row r="1625" spans="2:6" s="6" customFormat="1" x14ac:dyDescent="0.3">
      <c r="B1625" s="29"/>
      <c r="C1625" s="29"/>
      <c r="D1625" s="30"/>
      <c r="E1625" s="33"/>
      <c r="F1625" s="89"/>
    </row>
    <row r="1626" spans="2:6" s="6" customFormat="1" x14ac:dyDescent="0.3">
      <c r="B1626" s="29"/>
      <c r="C1626" s="29"/>
      <c r="D1626" s="30"/>
      <c r="E1626" s="33"/>
      <c r="F1626" s="89"/>
    </row>
    <row r="1627" spans="2:6" s="6" customFormat="1" x14ac:dyDescent="0.3">
      <c r="B1627" s="29"/>
      <c r="C1627" s="29"/>
      <c r="D1627" s="30"/>
      <c r="E1627" s="33"/>
      <c r="F1627" s="89"/>
    </row>
    <row r="1628" spans="2:6" s="6" customFormat="1" x14ac:dyDescent="0.3">
      <c r="B1628" s="29"/>
      <c r="C1628" s="29"/>
      <c r="D1628" s="30"/>
      <c r="E1628" s="33"/>
      <c r="F1628" s="89"/>
    </row>
    <row r="1629" spans="2:6" s="6" customFormat="1" x14ac:dyDescent="0.3">
      <c r="B1629" s="29"/>
      <c r="C1629" s="29"/>
      <c r="D1629" s="30"/>
      <c r="E1629" s="33"/>
      <c r="F1629" s="89"/>
    </row>
    <row r="1630" spans="2:6" s="6" customFormat="1" x14ac:dyDescent="0.3">
      <c r="B1630" s="29"/>
      <c r="C1630" s="29"/>
      <c r="D1630" s="30"/>
      <c r="E1630" s="33"/>
      <c r="F1630" s="89"/>
    </row>
    <row r="1631" spans="2:6" s="6" customFormat="1" x14ac:dyDescent="0.3">
      <c r="B1631" s="29"/>
      <c r="C1631" s="29"/>
      <c r="D1631" s="30"/>
      <c r="E1631" s="33"/>
      <c r="F1631" s="89"/>
    </row>
    <row r="1632" spans="2:6" s="6" customFormat="1" x14ac:dyDescent="0.3">
      <c r="B1632" s="29"/>
      <c r="C1632" s="29"/>
      <c r="D1632" s="30"/>
      <c r="E1632" s="33"/>
      <c r="F1632" s="89"/>
    </row>
    <row r="1633" spans="2:6" s="6" customFormat="1" x14ac:dyDescent="0.3">
      <c r="B1633" s="29"/>
      <c r="C1633" s="29"/>
      <c r="D1633" s="30"/>
      <c r="E1633" s="33"/>
      <c r="F1633" s="89"/>
    </row>
    <row r="1634" spans="2:6" s="6" customFormat="1" x14ac:dyDescent="0.3">
      <c r="B1634" s="29"/>
      <c r="C1634" s="29"/>
      <c r="D1634" s="30"/>
      <c r="E1634" s="33"/>
      <c r="F1634" s="89"/>
    </row>
    <row r="1635" spans="2:6" s="6" customFormat="1" x14ac:dyDescent="0.3">
      <c r="B1635" s="29"/>
      <c r="C1635" s="29"/>
      <c r="D1635" s="30"/>
      <c r="E1635" s="33"/>
      <c r="F1635" s="89"/>
    </row>
    <row r="1636" spans="2:6" s="6" customFormat="1" x14ac:dyDescent="0.3">
      <c r="B1636" s="29"/>
      <c r="C1636" s="29"/>
      <c r="D1636" s="30"/>
      <c r="E1636" s="33"/>
      <c r="F1636" s="89"/>
    </row>
    <row r="1637" spans="2:6" s="6" customFormat="1" x14ac:dyDescent="0.3">
      <c r="B1637" s="29"/>
      <c r="C1637" s="29"/>
      <c r="D1637" s="30"/>
      <c r="E1637" s="33"/>
      <c r="F1637" s="89"/>
    </row>
    <row r="1638" spans="2:6" s="6" customFormat="1" x14ac:dyDescent="0.3">
      <c r="B1638" s="29"/>
      <c r="C1638" s="29"/>
      <c r="D1638" s="30"/>
      <c r="E1638" s="33"/>
      <c r="F1638" s="89"/>
    </row>
    <row r="1639" spans="2:6" s="6" customFormat="1" x14ac:dyDescent="0.3">
      <c r="B1639" s="29"/>
      <c r="C1639" s="29"/>
      <c r="D1639" s="30"/>
      <c r="E1639" s="33"/>
      <c r="F1639" s="89"/>
    </row>
    <row r="1640" spans="2:6" s="6" customFormat="1" x14ac:dyDescent="0.3">
      <c r="B1640" s="29"/>
      <c r="C1640" s="29"/>
      <c r="D1640" s="30"/>
      <c r="E1640" s="33"/>
      <c r="F1640" s="89"/>
    </row>
    <row r="1641" spans="2:6" s="6" customFormat="1" x14ac:dyDescent="0.3">
      <c r="B1641" s="29"/>
      <c r="C1641" s="29"/>
      <c r="D1641" s="30"/>
      <c r="E1641" s="33"/>
      <c r="F1641" s="89"/>
    </row>
    <row r="1642" spans="2:6" s="6" customFormat="1" x14ac:dyDescent="0.3">
      <c r="B1642" s="29"/>
      <c r="C1642" s="29"/>
      <c r="D1642" s="30"/>
      <c r="E1642" s="33"/>
      <c r="F1642" s="89"/>
    </row>
    <row r="1643" spans="2:6" s="6" customFormat="1" x14ac:dyDescent="0.3">
      <c r="B1643" s="29"/>
      <c r="C1643" s="29"/>
      <c r="D1643" s="30"/>
      <c r="E1643" s="33"/>
      <c r="F1643" s="89"/>
    </row>
    <row r="1644" spans="2:6" s="6" customFormat="1" x14ac:dyDescent="0.3">
      <c r="B1644" s="29"/>
      <c r="C1644" s="29"/>
      <c r="D1644" s="30"/>
      <c r="E1644" s="33"/>
      <c r="F1644" s="89"/>
    </row>
    <row r="1645" spans="2:6" s="6" customFormat="1" x14ac:dyDescent="0.3">
      <c r="B1645" s="29"/>
      <c r="C1645" s="29"/>
      <c r="D1645" s="30"/>
      <c r="E1645" s="33"/>
      <c r="F1645" s="89"/>
    </row>
    <row r="1646" spans="2:6" s="6" customFormat="1" x14ac:dyDescent="0.3">
      <c r="B1646" s="29"/>
      <c r="C1646" s="29"/>
      <c r="D1646" s="30"/>
      <c r="E1646" s="33"/>
      <c r="F1646" s="89"/>
    </row>
    <row r="1647" spans="2:6" s="6" customFormat="1" x14ac:dyDescent="0.3">
      <c r="B1647" s="29"/>
      <c r="C1647" s="29"/>
      <c r="D1647" s="30"/>
      <c r="E1647" s="33"/>
      <c r="F1647" s="89"/>
    </row>
    <row r="1648" spans="2:6" s="6" customFormat="1" x14ac:dyDescent="0.3">
      <c r="B1648" s="29"/>
      <c r="C1648" s="29"/>
      <c r="D1648" s="30"/>
      <c r="E1648" s="33"/>
      <c r="F1648" s="89"/>
    </row>
    <row r="1649" spans="2:6" s="6" customFormat="1" x14ac:dyDescent="0.3">
      <c r="B1649" s="29"/>
      <c r="C1649" s="29"/>
      <c r="D1649" s="30"/>
      <c r="E1649" s="33"/>
      <c r="F1649" s="89"/>
    </row>
    <row r="1650" spans="2:6" s="6" customFormat="1" x14ac:dyDescent="0.3">
      <c r="B1650" s="29"/>
      <c r="C1650" s="29"/>
      <c r="D1650" s="30"/>
      <c r="E1650" s="33"/>
      <c r="F1650" s="89"/>
    </row>
    <row r="1651" spans="2:6" s="6" customFormat="1" x14ac:dyDescent="0.3">
      <c r="B1651" s="29"/>
      <c r="C1651" s="29"/>
      <c r="D1651" s="30"/>
      <c r="E1651" s="33"/>
      <c r="F1651" s="89"/>
    </row>
    <row r="1652" spans="2:6" s="6" customFormat="1" x14ac:dyDescent="0.3">
      <c r="B1652" s="29"/>
      <c r="C1652" s="29"/>
      <c r="D1652" s="30"/>
      <c r="E1652" s="33"/>
      <c r="F1652" s="89"/>
    </row>
    <row r="1653" spans="2:6" s="6" customFormat="1" x14ac:dyDescent="0.3">
      <c r="B1653" s="29"/>
      <c r="C1653" s="29"/>
      <c r="D1653" s="30"/>
      <c r="E1653" s="33"/>
      <c r="F1653" s="89"/>
    </row>
    <row r="1654" spans="2:6" s="6" customFormat="1" x14ac:dyDescent="0.3">
      <c r="B1654" s="29"/>
      <c r="C1654" s="29"/>
      <c r="D1654" s="30"/>
      <c r="E1654" s="33"/>
      <c r="F1654" s="89"/>
    </row>
    <row r="1655" spans="2:6" s="6" customFormat="1" x14ac:dyDescent="0.3">
      <c r="B1655" s="29"/>
      <c r="C1655" s="29"/>
      <c r="D1655" s="30"/>
      <c r="E1655" s="33"/>
      <c r="F1655" s="89"/>
    </row>
    <row r="1656" spans="2:6" s="6" customFormat="1" x14ac:dyDescent="0.3">
      <c r="B1656" s="29"/>
      <c r="C1656" s="29"/>
      <c r="D1656" s="30"/>
      <c r="E1656" s="33"/>
      <c r="F1656" s="89"/>
    </row>
    <row r="1657" spans="2:6" s="6" customFormat="1" x14ac:dyDescent="0.3">
      <c r="B1657" s="29"/>
      <c r="C1657" s="29"/>
      <c r="D1657" s="30"/>
      <c r="E1657" s="33"/>
      <c r="F1657" s="89"/>
    </row>
    <row r="1658" spans="2:6" s="6" customFormat="1" x14ac:dyDescent="0.3">
      <c r="B1658" s="29"/>
      <c r="C1658" s="29"/>
      <c r="D1658" s="30"/>
      <c r="E1658" s="33"/>
      <c r="F1658" s="89"/>
    </row>
    <row r="1659" spans="2:6" s="6" customFormat="1" x14ac:dyDescent="0.3">
      <c r="B1659" s="29"/>
      <c r="C1659" s="29"/>
      <c r="D1659" s="30"/>
      <c r="E1659" s="33"/>
      <c r="F1659" s="89"/>
    </row>
    <row r="1660" spans="2:6" s="6" customFormat="1" x14ac:dyDescent="0.3">
      <c r="B1660" s="29"/>
      <c r="C1660" s="29"/>
      <c r="D1660" s="30"/>
      <c r="E1660" s="33"/>
      <c r="F1660" s="89"/>
    </row>
    <row r="1661" spans="2:6" s="6" customFormat="1" x14ac:dyDescent="0.3">
      <c r="B1661" s="29"/>
      <c r="C1661" s="29"/>
      <c r="D1661" s="30"/>
      <c r="E1661" s="33"/>
      <c r="F1661" s="89"/>
    </row>
    <row r="1662" spans="2:6" s="6" customFormat="1" x14ac:dyDescent="0.3">
      <c r="B1662" s="29"/>
      <c r="C1662" s="29"/>
      <c r="D1662" s="30"/>
      <c r="E1662" s="33"/>
      <c r="F1662" s="89"/>
    </row>
    <row r="1663" spans="2:6" s="6" customFormat="1" x14ac:dyDescent="0.3">
      <c r="B1663" s="29"/>
      <c r="C1663" s="29"/>
      <c r="D1663" s="30"/>
      <c r="E1663" s="33"/>
      <c r="F1663" s="89"/>
    </row>
    <row r="1664" spans="2:6" s="6" customFormat="1" x14ac:dyDescent="0.3">
      <c r="B1664" s="29"/>
      <c r="C1664" s="29"/>
      <c r="D1664" s="30"/>
      <c r="E1664" s="33"/>
      <c r="F1664" s="89"/>
    </row>
    <row r="1665" spans="2:6" s="6" customFormat="1" x14ac:dyDescent="0.3">
      <c r="B1665" s="29"/>
      <c r="C1665" s="29"/>
      <c r="D1665" s="30"/>
      <c r="E1665" s="33"/>
      <c r="F1665" s="89"/>
    </row>
    <row r="1666" spans="2:6" s="6" customFormat="1" x14ac:dyDescent="0.3">
      <c r="B1666" s="29"/>
      <c r="C1666" s="29"/>
      <c r="D1666" s="30"/>
      <c r="E1666" s="33"/>
      <c r="F1666" s="89"/>
    </row>
    <row r="1667" spans="2:6" s="6" customFormat="1" x14ac:dyDescent="0.3">
      <c r="B1667" s="29"/>
      <c r="C1667" s="29"/>
      <c r="D1667" s="30"/>
      <c r="E1667" s="33"/>
      <c r="F1667" s="89"/>
    </row>
    <row r="1668" spans="2:6" s="6" customFormat="1" x14ac:dyDescent="0.3">
      <c r="B1668" s="29"/>
      <c r="C1668" s="29"/>
      <c r="D1668" s="30"/>
      <c r="E1668" s="33"/>
      <c r="F1668" s="89"/>
    </row>
    <row r="1669" spans="2:6" s="6" customFormat="1" x14ac:dyDescent="0.3">
      <c r="B1669" s="29"/>
      <c r="C1669" s="29"/>
      <c r="D1669" s="30"/>
      <c r="E1669" s="33"/>
      <c r="F1669" s="89"/>
    </row>
    <row r="1670" spans="2:6" s="6" customFormat="1" x14ac:dyDescent="0.3">
      <c r="B1670" s="29"/>
      <c r="C1670" s="29"/>
      <c r="D1670" s="30"/>
      <c r="E1670" s="33"/>
      <c r="F1670" s="89"/>
    </row>
    <row r="1671" spans="2:6" s="6" customFormat="1" x14ac:dyDescent="0.3">
      <c r="B1671" s="29"/>
      <c r="C1671" s="29"/>
      <c r="D1671" s="30"/>
      <c r="E1671" s="33"/>
      <c r="F1671" s="89"/>
    </row>
    <row r="1672" spans="2:6" s="6" customFormat="1" x14ac:dyDescent="0.3">
      <c r="B1672" s="29"/>
      <c r="C1672" s="29"/>
      <c r="D1672" s="30"/>
      <c r="E1672" s="33"/>
      <c r="F1672" s="89"/>
    </row>
    <row r="1673" spans="2:6" s="6" customFormat="1" x14ac:dyDescent="0.3">
      <c r="B1673" s="29"/>
      <c r="C1673" s="29"/>
      <c r="D1673" s="30"/>
      <c r="E1673" s="33"/>
      <c r="F1673" s="89"/>
    </row>
    <row r="1674" spans="2:6" s="6" customFormat="1" x14ac:dyDescent="0.3">
      <c r="B1674" s="29"/>
      <c r="C1674" s="29"/>
      <c r="D1674" s="30"/>
      <c r="E1674" s="33"/>
      <c r="F1674" s="89"/>
    </row>
    <row r="1675" spans="2:6" s="6" customFormat="1" x14ac:dyDescent="0.3">
      <c r="B1675" s="29"/>
      <c r="C1675" s="29"/>
      <c r="D1675" s="30"/>
      <c r="E1675" s="33"/>
      <c r="F1675" s="89"/>
    </row>
    <row r="1676" spans="2:6" s="6" customFormat="1" x14ac:dyDescent="0.3">
      <c r="B1676" s="29"/>
      <c r="C1676" s="29"/>
      <c r="D1676" s="30"/>
      <c r="E1676" s="33"/>
      <c r="F1676" s="89"/>
    </row>
    <row r="1677" spans="2:6" s="6" customFormat="1" x14ac:dyDescent="0.3">
      <c r="B1677" s="29"/>
      <c r="C1677" s="29"/>
      <c r="D1677" s="30"/>
      <c r="E1677" s="33"/>
      <c r="F1677" s="89"/>
    </row>
    <row r="1678" spans="2:6" s="6" customFormat="1" x14ac:dyDescent="0.3">
      <c r="B1678" s="29"/>
      <c r="C1678" s="29"/>
      <c r="D1678" s="30"/>
      <c r="E1678" s="33"/>
      <c r="F1678" s="89"/>
    </row>
    <row r="1679" spans="2:6" s="6" customFormat="1" x14ac:dyDescent="0.3">
      <c r="B1679" s="29"/>
      <c r="C1679" s="29"/>
      <c r="D1679" s="30"/>
      <c r="E1679" s="33"/>
      <c r="F1679" s="89"/>
    </row>
    <row r="1680" spans="2:6" s="6" customFormat="1" x14ac:dyDescent="0.3">
      <c r="B1680" s="29"/>
      <c r="C1680" s="29"/>
      <c r="D1680" s="30"/>
      <c r="E1680" s="33"/>
      <c r="F1680" s="89"/>
    </row>
    <row r="1681" spans="2:6" s="6" customFormat="1" x14ac:dyDescent="0.3">
      <c r="B1681" s="29"/>
      <c r="C1681" s="29"/>
      <c r="D1681" s="30"/>
      <c r="E1681" s="33"/>
      <c r="F1681" s="89"/>
    </row>
    <row r="1682" spans="2:6" s="6" customFormat="1" x14ac:dyDescent="0.3">
      <c r="B1682" s="29"/>
      <c r="C1682" s="29"/>
      <c r="D1682" s="30"/>
      <c r="E1682" s="33"/>
      <c r="F1682" s="89"/>
    </row>
    <row r="1683" spans="2:6" s="6" customFormat="1" x14ac:dyDescent="0.3">
      <c r="B1683" s="29"/>
      <c r="C1683" s="29"/>
      <c r="D1683" s="30"/>
      <c r="E1683" s="33"/>
      <c r="F1683" s="89"/>
    </row>
    <row r="1684" spans="2:6" s="6" customFormat="1" x14ac:dyDescent="0.3">
      <c r="B1684" s="29"/>
      <c r="C1684" s="29"/>
      <c r="D1684" s="30"/>
      <c r="E1684" s="33"/>
      <c r="F1684" s="89"/>
    </row>
    <row r="1685" spans="2:6" s="6" customFormat="1" x14ac:dyDescent="0.3">
      <c r="B1685" s="29"/>
      <c r="C1685" s="29"/>
      <c r="D1685" s="30"/>
      <c r="E1685" s="33"/>
      <c r="F1685" s="89"/>
    </row>
    <row r="1686" spans="2:6" s="6" customFormat="1" x14ac:dyDescent="0.3">
      <c r="B1686" s="29"/>
      <c r="C1686" s="29"/>
      <c r="D1686" s="30"/>
      <c r="E1686" s="33"/>
      <c r="F1686" s="89"/>
    </row>
    <row r="1687" spans="2:6" s="6" customFormat="1" x14ac:dyDescent="0.3">
      <c r="B1687" s="29"/>
      <c r="C1687" s="29"/>
      <c r="D1687" s="30"/>
      <c r="E1687" s="33"/>
      <c r="F1687" s="89"/>
    </row>
    <row r="1688" spans="2:6" s="6" customFormat="1" x14ac:dyDescent="0.3">
      <c r="B1688" s="29"/>
      <c r="C1688" s="29"/>
      <c r="D1688" s="30"/>
      <c r="E1688" s="33"/>
      <c r="F1688" s="89"/>
    </row>
    <row r="1689" spans="2:6" s="6" customFormat="1" x14ac:dyDescent="0.3">
      <c r="B1689" s="29"/>
      <c r="C1689" s="29"/>
      <c r="D1689" s="30"/>
      <c r="E1689" s="33"/>
      <c r="F1689" s="89"/>
    </row>
    <row r="1690" spans="2:6" s="6" customFormat="1" x14ac:dyDescent="0.3">
      <c r="B1690" s="29"/>
      <c r="C1690" s="29"/>
      <c r="D1690" s="30"/>
      <c r="E1690" s="33"/>
      <c r="F1690" s="89"/>
    </row>
    <row r="1691" spans="2:6" s="6" customFormat="1" x14ac:dyDescent="0.3">
      <c r="B1691" s="29"/>
      <c r="C1691" s="29"/>
      <c r="D1691" s="30"/>
      <c r="E1691" s="33"/>
      <c r="F1691" s="89"/>
    </row>
    <row r="1692" spans="2:6" s="6" customFormat="1" x14ac:dyDescent="0.3">
      <c r="B1692" s="29"/>
      <c r="C1692" s="29"/>
      <c r="D1692" s="30"/>
      <c r="E1692" s="33"/>
      <c r="F1692" s="89"/>
    </row>
    <row r="1693" spans="2:6" s="6" customFormat="1" x14ac:dyDescent="0.3">
      <c r="B1693" s="29"/>
      <c r="C1693" s="29"/>
      <c r="D1693" s="30"/>
      <c r="E1693" s="33"/>
      <c r="F1693" s="89"/>
    </row>
    <row r="1694" spans="2:6" s="6" customFormat="1" x14ac:dyDescent="0.3">
      <c r="B1694" s="29"/>
      <c r="C1694" s="29"/>
      <c r="D1694" s="30"/>
      <c r="E1694" s="33"/>
      <c r="F1694" s="89"/>
    </row>
    <row r="1695" spans="2:6" s="6" customFormat="1" x14ac:dyDescent="0.3">
      <c r="B1695" s="29"/>
      <c r="C1695" s="29"/>
      <c r="D1695" s="30"/>
      <c r="E1695" s="33"/>
      <c r="F1695" s="89"/>
    </row>
    <row r="1696" spans="2:6" s="6" customFormat="1" x14ac:dyDescent="0.3">
      <c r="B1696" s="29"/>
      <c r="C1696" s="29"/>
      <c r="D1696" s="30"/>
      <c r="E1696" s="33"/>
      <c r="F1696" s="89"/>
    </row>
    <row r="1697" spans="2:6" s="6" customFormat="1" x14ac:dyDescent="0.3">
      <c r="B1697" s="29"/>
      <c r="C1697" s="29"/>
      <c r="D1697" s="30"/>
      <c r="E1697" s="33"/>
      <c r="F1697" s="89"/>
    </row>
    <row r="1698" spans="2:6" s="6" customFormat="1" x14ac:dyDescent="0.3">
      <c r="B1698" s="29"/>
      <c r="C1698" s="29"/>
      <c r="D1698" s="30"/>
      <c r="E1698" s="33"/>
      <c r="F1698" s="89"/>
    </row>
    <row r="1699" spans="2:6" s="6" customFormat="1" x14ac:dyDescent="0.3">
      <c r="B1699" s="29"/>
      <c r="C1699" s="29"/>
      <c r="D1699" s="30"/>
      <c r="E1699" s="33"/>
      <c r="F1699" s="89"/>
    </row>
    <row r="1700" spans="2:6" s="6" customFormat="1" x14ac:dyDescent="0.3">
      <c r="B1700" s="29"/>
      <c r="C1700" s="29"/>
      <c r="D1700" s="30"/>
      <c r="E1700" s="33"/>
      <c r="F1700" s="89"/>
    </row>
    <row r="1701" spans="2:6" s="6" customFormat="1" x14ac:dyDescent="0.3">
      <c r="B1701" s="29"/>
      <c r="C1701" s="29"/>
      <c r="D1701" s="30"/>
      <c r="E1701" s="33"/>
      <c r="F1701" s="89"/>
    </row>
    <row r="1702" spans="2:6" s="6" customFormat="1" x14ac:dyDescent="0.3">
      <c r="B1702" s="29"/>
      <c r="C1702" s="29"/>
      <c r="D1702" s="30"/>
      <c r="E1702" s="33"/>
      <c r="F1702" s="89"/>
    </row>
    <row r="1703" spans="2:6" s="6" customFormat="1" x14ac:dyDescent="0.3">
      <c r="B1703" s="29"/>
      <c r="C1703" s="29"/>
      <c r="D1703" s="30"/>
      <c r="E1703" s="33"/>
      <c r="F1703" s="89"/>
    </row>
    <row r="1704" spans="2:6" s="6" customFormat="1" x14ac:dyDescent="0.3">
      <c r="B1704" s="29"/>
      <c r="C1704" s="29"/>
      <c r="D1704" s="30"/>
      <c r="E1704" s="33"/>
      <c r="F1704" s="89"/>
    </row>
    <row r="1705" spans="2:6" s="6" customFormat="1" x14ac:dyDescent="0.3">
      <c r="B1705" s="29"/>
      <c r="C1705" s="29"/>
      <c r="D1705" s="30"/>
      <c r="E1705" s="33"/>
      <c r="F1705" s="89"/>
    </row>
    <row r="1706" spans="2:6" s="6" customFormat="1" x14ac:dyDescent="0.3">
      <c r="B1706" s="29"/>
      <c r="C1706" s="29"/>
      <c r="D1706" s="30"/>
      <c r="E1706" s="33"/>
      <c r="F1706" s="89"/>
    </row>
    <row r="1707" spans="2:6" s="6" customFormat="1" x14ac:dyDescent="0.3">
      <c r="B1707" s="29"/>
      <c r="C1707" s="29"/>
      <c r="D1707" s="30"/>
      <c r="E1707" s="33"/>
      <c r="F1707" s="89"/>
    </row>
    <row r="1708" spans="2:6" s="6" customFormat="1" x14ac:dyDescent="0.3">
      <c r="B1708" s="29"/>
      <c r="C1708" s="29"/>
      <c r="D1708" s="30"/>
      <c r="E1708" s="33"/>
      <c r="F1708" s="89"/>
    </row>
    <row r="1709" spans="2:6" s="6" customFormat="1" x14ac:dyDescent="0.3">
      <c r="B1709" s="29"/>
      <c r="C1709" s="29"/>
      <c r="D1709" s="30"/>
      <c r="E1709" s="33"/>
      <c r="F1709" s="89"/>
    </row>
    <row r="1710" spans="2:6" s="6" customFormat="1" x14ac:dyDescent="0.3">
      <c r="B1710" s="29"/>
      <c r="C1710" s="29"/>
      <c r="D1710" s="30"/>
      <c r="E1710" s="33"/>
      <c r="F1710" s="89"/>
    </row>
    <row r="1711" spans="2:6" s="6" customFormat="1" x14ac:dyDescent="0.3">
      <c r="B1711" s="29"/>
      <c r="C1711" s="29"/>
      <c r="D1711" s="30"/>
      <c r="E1711" s="33"/>
      <c r="F1711" s="89"/>
    </row>
    <row r="1712" spans="2:6" s="6" customFormat="1" x14ac:dyDescent="0.3">
      <c r="B1712" s="29"/>
      <c r="C1712" s="29"/>
      <c r="D1712" s="30"/>
      <c r="E1712" s="33"/>
      <c r="F1712" s="89"/>
    </row>
    <row r="1713" spans="2:6" s="6" customFormat="1" x14ac:dyDescent="0.3">
      <c r="B1713" s="29"/>
      <c r="C1713" s="29"/>
      <c r="D1713" s="30"/>
      <c r="E1713" s="33"/>
      <c r="F1713" s="89"/>
    </row>
    <row r="1714" spans="2:6" s="6" customFormat="1" x14ac:dyDescent="0.3">
      <c r="B1714" s="29"/>
      <c r="C1714" s="29"/>
      <c r="D1714" s="30"/>
      <c r="E1714" s="33"/>
      <c r="F1714" s="89"/>
    </row>
    <row r="1715" spans="2:6" s="6" customFormat="1" x14ac:dyDescent="0.3">
      <c r="B1715" s="29"/>
      <c r="C1715" s="29"/>
      <c r="D1715" s="30"/>
      <c r="E1715" s="33"/>
      <c r="F1715" s="89"/>
    </row>
    <row r="1716" spans="2:6" s="6" customFormat="1" x14ac:dyDescent="0.3">
      <c r="B1716" s="29"/>
      <c r="C1716" s="29"/>
      <c r="D1716" s="30"/>
      <c r="E1716" s="33"/>
      <c r="F1716" s="89"/>
    </row>
    <row r="1717" spans="2:6" s="6" customFormat="1" x14ac:dyDescent="0.3">
      <c r="B1717" s="29"/>
      <c r="C1717" s="29"/>
      <c r="D1717" s="30"/>
      <c r="E1717" s="33"/>
      <c r="F1717" s="89"/>
    </row>
    <row r="1718" spans="2:6" s="6" customFormat="1" x14ac:dyDescent="0.3">
      <c r="B1718" s="29"/>
      <c r="C1718" s="29"/>
      <c r="D1718" s="30"/>
      <c r="E1718" s="33"/>
      <c r="F1718" s="89"/>
    </row>
    <row r="1719" spans="2:6" s="6" customFormat="1" x14ac:dyDescent="0.3">
      <c r="B1719" s="29"/>
      <c r="C1719" s="29"/>
      <c r="D1719" s="30"/>
      <c r="E1719" s="33"/>
      <c r="F1719" s="89"/>
    </row>
    <row r="1720" spans="2:6" s="6" customFormat="1" x14ac:dyDescent="0.3">
      <c r="B1720" s="29"/>
      <c r="C1720" s="29"/>
      <c r="D1720" s="30"/>
      <c r="E1720" s="33"/>
      <c r="F1720" s="89"/>
    </row>
    <row r="1721" spans="2:6" s="6" customFormat="1" x14ac:dyDescent="0.3">
      <c r="B1721" s="29"/>
      <c r="C1721" s="29"/>
      <c r="D1721" s="30"/>
      <c r="E1721" s="33"/>
      <c r="F1721" s="89"/>
    </row>
    <row r="1722" spans="2:6" s="6" customFormat="1" x14ac:dyDescent="0.3">
      <c r="B1722" s="29"/>
      <c r="C1722" s="29"/>
      <c r="D1722" s="30"/>
      <c r="E1722" s="33"/>
      <c r="F1722" s="89"/>
    </row>
    <row r="1723" spans="2:6" s="6" customFormat="1" x14ac:dyDescent="0.3">
      <c r="B1723" s="29"/>
      <c r="C1723" s="29"/>
      <c r="D1723" s="30"/>
      <c r="E1723" s="33"/>
      <c r="F1723" s="89"/>
    </row>
    <row r="1724" spans="2:6" s="6" customFormat="1" x14ac:dyDescent="0.3">
      <c r="B1724" s="29"/>
      <c r="C1724" s="29"/>
      <c r="D1724" s="30"/>
      <c r="E1724" s="33"/>
      <c r="F1724" s="89"/>
    </row>
    <row r="1725" spans="2:6" s="6" customFormat="1" x14ac:dyDescent="0.3">
      <c r="B1725" s="29"/>
      <c r="C1725" s="29"/>
      <c r="D1725" s="30"/>
      <c r="E1725" s="33"/>
      <c r="F1725" s="89"/>
    </row>
    <row r="1726" spans="2:6" s="6" customFormat="1" x14ac:dyDescent="0.3">
      <c r="B1726" s="29"/>
      <c r="C1726" s="29"/>
      <c r="D1726" s="30"/>
      <c r="E1726" s="33"/>
      <c r="F1726" s="89"/>
    </row>
    <row r="1727" spans="2:6" s="6" customFormat="1" x14ac:dyDescent="0.3">
      <c r="B1727" s="29"/>
      <c r="C1727" s="29"/>
      <c r="D1727" s="30"/>
      <c r="E1727" s="33"/>
      <c r="F1727" s="89"/>
    </row>
    <row r="1728" spans="2:6" s="6" customFormat="1" x14ac:dyDescent="0.3">
      <c r="B1728" s="29"/>
      <c r="C1728" s="29"/>
      <c r="D1728" s="30"/>
      <c r="E1728" s="33"/>
      <c r="F1728" s="89"/>
    </row>
    <row r="1729" spans="2:6" s="6" customFormat="1" x14ac:dyDescent="0.3">
      <c r="B1729" s="29"/>
      <c r="C1729" s="29"/>
      <c r="D1729" s="30"/>
      <c r="E1729" s="33"/>
      <c r="F1729" s="89"/>
    </row>
    <row r="1730" spans="2:6" s="6" customFormat="1" x14ac:dyDescent="0.3">
      <c r="B1730" s="29"/>
      <c r="C1730" s="29"/>
      <c r="D1730" s="30"/>
      <c r="E1730" s="33"/>
      <c r="F1730" s="89"/>
    </row>
    <row r="1731" spans="2:6" s="6" customFormat="1" x14ac:dyDescent="0.3">
      <c r="B1731" s="29"/>
      <c r="C1731" s="29"/>
      <c r="D1731" s="30"/>
      <c r="E1731" s="33"/>
      <c r="F1731" s="89"/>
    </row>
    <row r="1732" spans="2:6" s="6" customFormat="1" x14ac:dyDescent="0.3">
      <c r="B1732" s="29"/>
      <c r="C1732" s="29"/>
      <c r="D1732" s="30"/>
      <c r="E1732" s="33"/>
      <c r="F1732" s="89"/>
    </row>
    <row r="1733" spans="2:6" s="6" customFormat="1" x14ac:dyDescent="0.3">
      <c r="B1733" s="29"/>
      <c r="C1733" s="29"/>
      <c r="D1733" s="30"/>
      <c r="E1733" s="33"/>
      <c r="F1733" s="89"/>
    </row>
    <row r="1734" spans="2:6" s="6" customFormat="1" x14ac:dyDescent="0.3">
      <c r="B1734" s="29"/>
      <c r="C1734" s="29"/>
      <c r="D1734" s="30"/>
      <c r="E1734" s="33"/>
      <c r="F1734" s="89"/>
    </row>
    <row r="1735" spans="2:6" s="6" customFormat="1" x14ac:dyDescent="0.3">
      <c r="B1735" s="29"/>
      <c r="C1735" s="29"/>
      <c r="D1735" s="30"/>
      <c r="E1735" s="33"/>
      <c r="F1735" s="89"/>
    </row>
    <row r="1736" spans="2:6" s="6" customFormat="1" x14ac:dyDescent="0.3">
      <c r="B1736" s="29"/>
      <c r="C1736" s="29"/>
      <c r="D1736" s="30"/>
      <c r="E1736" s="33"/>
      <c r="F1736" s="89"/>
    </row>
    <row r="1737" spans="2:6" s="6" customFormat="1" x14ac:dyDescent="0.3">
      <c r="B1737" s="29"/>
      <c r="C1737" s="29"/>
      <c r="D1737" s="30"/>
      <c r="E1737" s="33"/>
      <c r="F1737" s="89"/>
    </row>
    <row r="1738" spans="2:6" s="6" customFormat="1" x14ac:dyDescent="0.3">
      <c r="B1738" s="29"/>
      <c r="C1738" s="29"/>
      <c r="D1738" s="30"/>
      <c r="E1738" s="33"/>
      <c r="F1738" s="89"/>
    </row>
    <row r="1739" spans="2:6" s="6" customFormat="1" x14ac:dyDescent="0.3">
      <c r="B1739" s="29"/>
      <c r="C1739" s="29"/>
      <c r="D1739" s="30"/>
      <c r="E1739" s="33"/>
      <c r="F1739" s="89"/>
    </row>
    <row r="1740" spans="2:6" s="6" customFormat="1" x14ac:dyDescent="0.3">
      <c r="B1740" s="29"/>
      <c r="C1740" s="29"/>
      <c r="D1740" s="30"/>
      <c r="E1740" s="33"/>
      <c r="F1740" s="89"/>
    </row>
    <row r="1741" spans="2:6" s="6" customFormat="1" x14ac:dyDescent="0.3">
      <c r="B1741" s="29"/>
      <c r="C1741" s="29"/>
      <c r="D1741" s="30"/>
      <c r="E1741" s="33"/>
      <c r="F1741" s="89"/>
    </row>
    <row r="1742" spans="2:6" s="6" customFormat="1" x14ac:dyDescent="0.3">
      <c r="B1742" s="29"/>
      <c r="C1742" s="29"/>
      <c r="D1742" s="30"/>
      <c r="E1742" s="33"/>
      <c r="F1742" s="89"/>
    </row>
    <row r="1743" spans="2:6" s="6" customFormat="1" x14ac:dyDescent="0.3">
      <c r="B1743" s="29"/>
      <c r="C1743" s="29"/>
      <c r="D1743" s="30"/>
      <c r="E1743" s="33"/>
      <c r="F1743" s="89"/>
    </row>
    <row r="1744" spans="2:6" s="6" customFormat="1" x14ac:dyDescent="0.3">
      <c r="B1744" s="29"/>
      <c r="C1744" s="29"/>
      <c r="D1744" s="30"/>
      <c r="E1744" s="33"/>
      <c r="F1744" s="89"/>
    </row>
    <row r="1745" spans="2:6" s="6" customFormat="1" x14ac:dyDescent="0.3">
      <c r="B1745" s="29"/>
      <c r="C1745" s="29"/>
      <c r="D1745" s="30"/>
      <c r="E1745" s="33"/>
      <c r="F1745" s="89"/>
    </row>
    <row r="1746" spans="2:6" s="6" customFormat="1" x14ac:dyDescent="0.3">
      <c r="B1746" s="29"/>
      <c r="C1746" s="29"/>
      <c r="D1746" s="30"/>
      <c r="E1746" s="33"/>
      <c r="F1746" s="89"/>
    </row>
    <row r="1747" spans="2:6" s="6" customFormat="1" x14ac:dyDescent="0.3">
      <c r="B1747" s="29"/>
      <c r="C1747" s="29"/>
      <c r="D1747" s="30"/>
      <c r="E1747" s="33"/>
      <c r="F1747" s="89"/>
    </row>
    <row r="1748" spans="2:6" s="6" customFormat="1" x14ac:dyDescent="0.3">
      <c r="B1748" s="29"/>
      <c r="C1748" s="29"/>
      <c r="D1748" s="30"/>
      <c r="E1748" s="33"/>
      <c r="F1748" s="89"/>
    </row>
    <row r="1749" spans="2:6" s="6" customFormat="1" x14ac:dyDescent="0.3">
      <c r="B1749" s="29"/>
      <c r="C1749" s="29"/>
      <c r="D1749" s="30"/>
      <c r="E1749" s="33"/>
      <c r="F1749" s="89"/>
    </row>
    <row r="1750" spans="2:6" s="6" customFormat="1" x14ac:dyDescent="0.3">
      <c r="B1750" s="29"/>
      <c r="C1750" s="29"/>
      <c r="D1750" s="30"/>
      <c r="E1750" s="33"/>
      <c r="F1750" s="89"/>
    </row>
    <row r="1751" spans="2:6" s="6" customFormat="1" x14ac:dyDescent="0.3">
      <c r="B1751" s="29"/>
      <c r="C1751" s="29"/>
      <c r="D1751" s="30"/>
      <c r="E1751" s="33"/>
      <c r="F1751" s="89"/>
    </row>
    <row r="1752" spans="2:6" s="6" customFormat="1" x14ac:dyDescent="0.3">
      <c r="B1752" s="29"/>
      <c r="C1752" s="29"/>
      <c r="D1752" s="30"/>
      <c r="E1752" s="33"/>
      <c r="F1752" s="89"/>
    </row>
    <row r="1753" spans="2:6" s="6" customFormat="1" x14ac:dyDescent="0.3">
      <c r="B1753" s="29"/>
      <c r="C1753" s="29"/>
      <c r="D1753" s="30"/>
      <c r="E1753" s="33"/>
      <c r="F1753" s="89"/>
    </row>
    <row r="1754" spans="2:6" s="6" customFormat="1" x14ac:dyDescent="0.3">
      <c r="B1754" s="29"/>
      <c r="C1754" s="29"/>
      <c r="D1754" s="30"/>
      <c r="E1754" s="33"/>
      <c r="F1754" s="89"/>
    </row>
    <row r="1755" spans="2:6" s="6" customFormat="1" x14ac:dyDescent="0.3">
      <c r="B1755" s="29"/>
      <c r="C1755" s="29"/>
      <c r="D1755" s="30"/>
      <c r="E1755" s="33"/>
      <c r="F1755" s="89"/>
    </row>
    <row r="1756" spans="2:6" s="6" customFormat="1" x14ac:dyDescent="0.3">
      <c r="B1756" s="29"/>
      <c r="C1756" s="29"/>
      <c r="D1756" s="30"/>
      <c r="E1756" s="33"/>
      <c r="F1756" s="89"/>
    </row>
    <row r="1757" spans="2:6" s="6" customFormat="1" x14ac:dyDescent="0.3">
      <c r="B1757" s="29"/>
      <c r="C1757" s="29"/>
      <c r="D1757" s="30"/>
      <c r="E1757" s="33"/>
      <c r="F1757" s="89"/>
    </row>
    <row r="1758" spans="2:6" s="6" customFormat="1" x14ac:dyDescent="0.3">
      <c r="B1758" s="29"/>
      <c r="C1758" s="29"/>
      <c r="D1758" s="30"/>
      <c r="E1758" s="33"/>
      <c r="F1758" s="89"/>
    </row>
    <row r="1759" spans="2:6" s="6" customFormat="1" x14ac:dyDescent="0.3">
      <c r="B1759" s="29"/>
      <c r="C1759" s="29"/>
      <c r="D1759" s="30"/>
      <c r="E1759" s="33"/>
      <c r="F1759" s="89"/>
    </row>
    <row r="1760" spans="2:6" s="6" customFormat="1" x14ac:dyDescent="0.3">
      <c r="B1760" s="29"/>
      <c r="C1760" s="29"/>
      <c r="D1760" s="30"/>
      <c r="E1760" s="33"/>
      <c r="F1760" s="89"/>
    </row>
    <row r="1761" spans="2:6" s="6" customFormat="1" x14ac:dyDescent="0.3">
      <c r="B1761" s="29"/>
      <c r="C1761" s="29"/>
      <c r="D1761" s="30"/>
      <c r="E1761" s="33"/>
      <c r="F1761" s="89"/>
    </row>
    <row r="1762" spans="2:6" s="6" customFormat="1" x14ac:dyDescent="0.3">
      <c r="B1762" s="29"/>
      <c r="C1762" s="29"/>
      <c r="D1762" s="30"/>
      <c r="E1762" s="33"/>
      <c r="F1762" s="89"/>
    </row>
    <row r="1763" spans="2:6" s="6" customFormat="1" x14ac:dyDescent="0.3">
      <c r="B1763" s="29"/>
      <c r="C1763" s="29"/>
      <c r="D1763" s="30"/>
      <c r="E1763" s="33"/>
      <c r="F1763" s="89"/>
    </row>
    <row r="1764" spans="2:6" s="6" customFormat="1" x14ac:dyDescent="0.3">
      <c r="B1764" s="29"/>
      <c r="C1764" s="29"/>
      <c r="D1764" s="30"/>
      <c r="E1764" s="33"/>
      <c r="F1764" s="89"/>
    </row>
    <row r="1765" spans="2:6" s="6" customFormat="1" x14ac:dyDescent="0.3">
      <c r="B1765" s="29"/>
      <c r="C1765" s="29"/>
      <c r="D1765" s="30"/>
      <c r="E1765" s="33"/>
      <c r="F1765" s="89"/>
    </row>
    <row r="1766" spans="2:6" s="6" customFormat="1" x14ac:dyDescent="0.3">
      <c r="B1766" s="29"/>
      <c r="C1766" s="29"/>
      <c r="D1766" s="30"/>
      <c r="E1766" s="33"/>
      <c r="F1766" s="89"/>
    </row>
    <row r="1767" spans="2:6" s="6" customFormat="1" x14ac:dyDescent="0.3">
      <c r="B1767" s="29"/>
      <c r="C1767" s="29"/>
      <c r="D1767" s="30"/>
      <c r="E1767" s="33"/>
      <c r="F1767" s="89"/>
    </row>
    <row r="1768" spans="2:6" s="6" customFormat="1" x14ac:dyDescent="0.3">
      <c r="B1768" s="29"/>
      <c r="C1768" s="29"/>
      <c r="D1768" s="30"/>
      <c r="E1768" s="33"/>
      <c r="F1768" s="89"/>
    </row>
    <row r="1769" spans="2:6" s="6" customFormat="1" x14ac:dyDescent="0.3">
      <c r="B1769" s="29"/>
      <c r="C1769" s="29"/>
      <c r="D1769" s="30"/>
      <c r="E1769" s="33"/>
      <c r="F1769" s="89"/>
    </row>
    <row r="1770" spans="2:6" s="6" customFormat="1" x14ac:dyDescent="0.3">
      <c r="B1770" s="29"/>
      <c r="C1770" s="29"/>
      <c r="D1770" s="30"/>
      <c r="E1770" s="33"/>
      <c r="F1770" s="89"/>
    </row>
    <row r="1771" spans="2:6" s="6" customFormat="1" x14ac:dyDescent="0.3">
      <c r="B1771" s="29"/>
      <c r="C1771" s="29"/>
      <c r="D1771" s="30"/>
      <c r="E1771" s="33"/>
      <c r="F1771" s="89"/>
    </row>
    <row r="1772" spans="2:6" s="6" customFormat="1" x14ac:dyDescent="0.3">
      <c r="B1772" s="29"/>
      <c r="C1772" s="29"/>
      <c r="D1772" s="30"/>
      <c r="E1772" s="33"/>
      <c r="F1772" s="89"/>
    </row>
    <row r="1773" spans="2:6" s="6" customFormat="1" x14ac:dyDescent="0.3">
      <c r="B1773" s="29"/>
      <c r="C1773" s="29"/>
      <c r="D1773" s="30"/>
      <c r="E1773" s="33"/>
      <c r="F1773" s="89"/>
    </row>
    <row r="1774" spans="2:6" s="6" customFormat="1" x14ac:dyDescent="0.3">
      <c r="B1774" s="29"/>
      <c r="C1774" s="29"/>
      <c r="D1774" s="30"/>
      <c r="E1774" s="33"/>
      <c r="F1774" s="89"/>
    </row>
    <row r="1775" spans="2:6" s="6" customFormat="1" x14ac:dyDescent="0.3">
      <c r="B1775" s="29"/>
      <c r="C1775" s="29"/>
      <c r="D1775" s="30"/>
      <c r="E1775" s="33"/>
      <c r="F1775" s="89"/>
    </row>
    <row r="1776" spans="2:6" s="6" customFormat="1" x14ac:dyDescent="0.3">
      <c r="B1776" s="29"/>
      <c r="C1776" s="29"/>
      <c r="D1776" s="30"/>
      <c r="E1776" s="33"/>
      <c r="F1776" s="89"/>
    </row>
    <row r="1777" spans="2:6" s="6" customFormat="1" x14ac:dyDescent="0.3">
      <c r="B1777" s="29"/>
      <c r="C1777" s="29"/>
      <c r="D1777" s="30"/>
      <c r="E1777" s="33"/>
      <c r="F1777" s="89"/>
    </row>
    <row r="1778" spans="2:6" s="6" customFormat="1" x14ac:dyDescent="0.3">
      <c r="B1778" s="29"/>
      <c r="C1778" s="29"/>
      <c r="D1778" s="30"/>
      <c r="E1778" s="33"/>
      <c r="F1778" s="89"/>
    </row>
    <row r="1779" spans="2:6" s="6" customFormat="1" x14ac:dyDescent="0.3">
      <c r="B1779" s="29"/>
      <c r="C1779" s="29"/>
      <c r="D1779" s="30"/>
      <c r="E1779" s="33"/>
      <c r="F1779" s="89"/>
    </row>
    <row r="1780" spans="2:6" s="6" customFormat="1" x14ac:dyDescent="0.3">
      <c r="B1780" s="29"/>
      <c r="C1780" s="29"/>
      <c r="D1780" s="30"/>
      <c r="E1780" s="33"/>
      <c r="F1780" s="89"/>
    </row>
    <row r="1781" spans="2:6" s="6" customFormat="1" x14ac:dyDescent="0.3">
      <c r="B1781" s="29"/>
      <c r="C1781" s="29"/>
      <c r="D1781" s="30"/>
      <c r="E1781" s="33"/>
      <c r="F1781" s="89"/>
    </row>
    <row r="1782" spans="2:6" s="6" customFormat="1" x14ac:dyDescent="0.3">
      <c r="B1782" s="29"/>
      <c r="C1782" s="29"/>
      <c r="D1782" s="30"/>
      <c r="E1782" s="33"/>
      <c r="F1782" s="89"/>
    </row>
    <row r="1783" spans="2:6" s="6" customFormat="1" x14ac:dyDescent="0.3">
      <c r="B1783" s="29"/>
      <c r="C1783" s="29"/>
      <c r="D1783" s="30"/>
      <c r="E1783" s="33"/>
      <c r="F1783" s="89"/>
    </row>
    <row r="1784" spans="2:6" s="6" customFormat="1" x14ac:dyDescent="0.3">
      <c r="B1784" s="29"/>
      <c r="C1784" s="29"/>
      <c r="D1784" s="30"/>
      <c r="E1784" s="33"/>
      <c r="F1784" s="89"/>
    </row>
    <row r="1785" spans="2:6" s="6" customFormat="1" x14ac:dyDescent="0.3">
      <c r="B1785" s="29"/>
      <c r="C1785" s="29"/>
      <c r="D1785" s="30"/>
      <c r="E1785" s="33"/>
      <c r="F1785" s="89"/>
    </row>
    <row r="1786" spans="2:6" s="6" customFormat="1" x14ac:dyDescent="0.3">
      <c r="B1786" s="29"/>
      <c r="C1786" s="29"/>
      <c r="D1786" s="30"/>
      <c r="E1786" s="33"/>
      <c r="F1786" s="89"/>
    </row>
    <row r="1787" spans="2:6" s="6" customFormat="1" x14ac:dyDescent="0.3">
      <c r="B1787" s="29"/>
      <c r="C1787" s="29"/>
      <c r="D1787" s="30"/>
      <c r="E1787" s="33"/>
      <c r="F1787" s="89"/>
    </row>
    <row r="1788" spans="2:6" s="6" customFormat="1" x14ac:dyDescent="0.3">
      <c r="B1788" s="29"/>
      <c r="C1788" s="29"/>
      <c r="D1788" s="30"/>
      <c r="E1788" s="33"/>
      <c r="F1788" s="89"/>
    </row>
    <row r="1789" spans="2:6" s="6" customFormat="1" x14ac:dyDescent="0.3">
      <c r="B1789" s="29"/>
      <c r="C1789" s="29"/>
      <c r="D1789" s="30"/>
      <c r="E1789" s="33"/>
      <c r="F1789" s="89"/>
    </row>
    <row r="1790" spans="2:6" s="6" customFormat="1" x14ac:dyDescent="0.3">
      <c r="B1790" s="29"/>
      <c r="C1790" s="29"/>
      <c r="D1790" s="30"/>
      <c r="E1790" s="33"/>
      <c r="F1790" s="89"/>
    </row>
    <row r="1791" spans="2:6" s="6" customFormat="1" x14ac:dyDescent="0.3">
      <c r="B1791" s="29"/>
      <c r="C1791" s="29"/>
      <c r="D1791" s="30"/>
      <c r="E1791" s="33"/>
      <c r="F1791" s="89"/>
    </row>
    <row r="1792" spans="2:6" s="6" customFormat="1" x14ac:dyDescent="0.3">
      <c r="B1792" s="29"/>
      <c r="C1792" s="29"/>
      <c r="D1792" s="30"/>
      <c r="E1792" s="33"/>
      <c r="F1792" s="89"/>
    </row>
    <row r="1793" spans="2:6" s="6" customFormat="1" x14ac:dyDescent="0.3">
      <c r="B1793" s="29"/>
      <c r="C1793" s="29"/>
      <c r="D1793" s="30"/>
      <c r="E1793" s="33"/>
      <c r="F1793" s="89"/>
    </row>
    <row r="1794" spans="2:6" s="6" customFormat="1" x14ac:dyDescent="0.3">
      <c r="B1794" s="29"/>
      <c r="C1794" s="29"/>
      <c r="D1794" s="30"/>
      <c r="E1794" s="33"/>
      <c r="F1794" s="89"/>
    </row>
    <row r="1795" spans="2:6" s="6" customFormat="1" x14ac:dyDescent="0.3">
      <c r="B1795" s="29"/>
      <c r="C1795" s="29"/>
      <c r="D1795" s="30"/>
      <c r="E1795" s="33"/>
      <c r="F1795" s="89"/>
    </row>
    <row r="1796" spans="2:6" s="6" customFormat="1" x14ac:dyDescent="0.3">
      <c r="B1796" s="29"/>
      <c r="C1796" s="29"/>
      <c r="D1796" s="30"/>
      <c r="E1796" s="33"/>
      <c r="F1796" s="89"/>
    </row>
    <row r="1797" spans="2:6" s="6" customFormat="1" x14ac:dyDescent="0.3">
      <c r="B1797" s="29"/>
      <c r="C1797" s="29"/>
      <c r="D1797" s="30"/>
      <c r="E1797" s="33"/>
      <c r="F1797" s="89"/>
    </row>
    <row r="1798" spans="2:6" s="6" customFormat="1" x14ac:dyDescent="0.3">
      <c r="B1798" s="29"/>
      <c r="C1798" s="29"/>
      <c r="D1798" s="30"/>
      <c r="E1798" s="33"/>
      <c r="F1798" s="89"/>
    </row>
    <row r="1799" spans="2:6" s="6" customFormat="1" x14ac:dyDescent="0.3">
      <c r="B1799" s="29"/>
      <c r="C1799" s="29"/>
      <c r="D1799" s="30"/>
      <c r="E1799" s="33"/>
      <c r="F1799" s="89"/>
    </row>
    <row r="1800" spans="2:6" s="6" customFormat="1" x14ac:dyDescent="0.3">
      <c r="B1800" s="29"/>
      <c r="C1800" s="29"/>
      <c r="D1800" s="30"/>
      <c r="E1800" s="33"/>
      <c r="F1800" s="89"/>
    </row>
    <row r="1801" spans="2:6" s="6" customFormat="1" x14ac:dyDescent="0.3">
      <c r="B1801" s="29"/>
      <c r="C1801" s="29"/>
      <c r="D1801" s="30"/>
      <c r="E1801" s="33"/>
      <c r="F1801" s="89"/>
    </row>
    <row r="1802" spans="2:6" s="6" customFormat="1" x14ac:dyDescent="0.3">
      <c r="B1802" s="29"/>
      <c r="C1802" s="29"/>
      <c r="D1802" s="30"/>
      <c r="E1802" s="33"/>
      <c r="F1802" s="89"/>
    </row>
    <row r="1803" spans="2:6" s="6" customFormat="1" x14ac:dyDescent="0.3">
      <c r="B1803" s="29"/>
      <c r="C1803" s="29"/>
      <c r="D1803" s="30"/>
      <c r="E1803" s="33"/>
      <c r="F1803" s="89"/>
    </row>
    <row r="1804" spans="2:6" s="6" customFormat="1" x14ac:dyDescent="0.3">
      <c r="B1804" s="29"/>
      <c r="C1804" s="29"/>
      <c r="D1804" s="30"/>
      <c r="E1804" s="33"/>
      <c r="F1804" s="89"/>
    </row>
    <row r="1805" spans="2:6" s="6" customFormat="1" x14ac:dyDescent="0.3">
      <c r="B1805" s="29"/>
      <c r="C1805" s="29"/>
      <c r="D1805" s="30"/>
      <c r="E1805" s="33"/>
      <c r="F1805" s="89"/>
    </row>
    <row r="1806" spans="2:6" s="6" customFormat="1" x14ac:dyDescent="0.3">
      <c r="B1806" s="29"/>
      <c r="C1806" s="29"/>
      <c r="D1806" s="30"/>
      <c r="E1806" s="33"/>
      <c r="F1806" s="89"/>
    </row>
    <row r="1807" spans="2:6" s="6" customFormat="1" x14ac:dyDescent="0.3">
      <c r="B1807" s="29"/>
      <c r="C1807" s="29"/>
      <c r="D1807" s="30"/>
      <c r="E1807" s="33"/>
      <c r="F1807" s="89"/>
    </row>
    <row r="1808" spans="2:6" s="6" customFormat="1" x14ac:dyDescent="0.3">
      <c r="B1808" s="29"/>
      <c r="C1808" s="29"/>
      <c r="D1808" s="30"/>
      <c r="E1808" s="33"/>
      <c r="F1808" s="89"/>
    </row>
    <row r="1809" spans="2:6" s="6" customFormat="1" x14ac:dyDescent="0.3">
      <c r="B1809" s="29"/>
      <c r="C1809" s="29"/>
      <c r="D1809" s="30"/>
      <c r="E1809" s="33"/>
      <c r="F1809" s="89"/>
    </row>
    <row r="1810" spans="2:6" s="6" customFormat="1" x14ac:dyDescent="0.3">
      <c r="B1810" s="29"/>
      <c r="C1810" s="29"/>
      <c r="D1810" s="30"/>
      <c r="E1810" s="33"/>
      <c r="F1810" s="89"/>
    </row>
    <row r="1811" spans="2:6" s="6" customFormat="1" x14ac:dyDescent="0.3">
      <c r="B1811" s="29"/>
      <c r="C1811" s="29"/>
      <c r="D1811" s="30"/>
      <c r="E1811" s="33"/>
      <c r="F1811" s="89"/>
    </row>
    <row r="1812" spans="2:6" s="6" customFormat="1" x14ac:dyDescent="0.3">
      <c r="B1812" s="29"/>
      <c r="C1812" s="29"/>
      <c r="D1812" s="30"/>
      <c r="E1812" s="33"/>
      <c r="F1812" s="89"/>
    </row>
    <row r="1813" spans="2:6" s="6" customFormat="1" x14ac:dyDescent="0.3">
      <c r="B1813" s="29"/>
      <c r="C1813" s="29"/>
      <c r="D1813" s="30"/>
      <c r="E1813" s="33"/>
      <c r="F1813" s="89"/>
    </row>
    <row r="1814" spans="2:6" s="6" customFormat="1" x14ac:dyDescent="0.3">
      <c r="B1814" s="29"/>
      <c r="C1814" s="29"/>
      <c r="D1814" s="30"/>
      <c r="E1814" s="33"/>
      <c r="F1814" s="89"/>
    </row>
    <row r="1815" spans="2:6" s="6" customFormat="1" x14ac:dyDescent="0.3">
      <c r="B1815" s="29"/>
      <c r="C1815" s="29"/>
      <c r="D1815" s="30"/>
      <c r="E1815" s="33"/>
      <c r="F1815" s="89"/>
    </row>
    <row r="1816" spans="2:6" s="6" customFormat="1" x14ac:dyDescent="0.3">
      <c r="B1816" s="29"/>
      <c r="C1816" s="29"/>
      <c r="D1816" s="30"/>
      <c r="E1816" s="33"/>
      <c r="F1816" s="89"/>
    </row>
    <row r="1817" spans="2:6" s="6" customFormat="1" x14ac:dyDescent="0.3">
      <c r="B1817" s="29"/>
      <c r="C1817" s="29"/>
      <c r="D1817" s="30"/>
      <c r="E1817" s="33"/>
      <c r="F1817" s="89"/>
    </row>
    <row r="1818" spans="2:6" s="6" customFormat="1" x14ac:dyDescent="0.3">
      <c r="B1818" s="29"/>
      <c r="C1818" s="29"/>
      <c r="D1818" s="30"/>
      <c r="E1818" s="33"/>
      <c r="F1818" s="89"/>
    </row>
    <row r="1819" spans="2:6" s="6" customFormat="1" x14ac:dyDescent="0.3">
      <c r="B1819" s="29"/>
      <c r="C1819" s="29"/>
      <c r="D1819" s="30"/>
      <c r="E1819" s="33"/>
      <c r="F1819" s="89"/>
    </row>
    <row r="1820" spans="2:6" s="6" customFormat="1" x14ac:dyDescent="0.3">
      <c r="B1820" s="29"/>
      <c r="C1820" s="29"/>
      <c r="D1820" s="30"/>
      <c r="E1820" s="33"/>
      <c r="F1820" s="89"/>
    </row>
    <row r="1821" spans="2:6" s="6" customFormat="1" x14ac:dyDescent="0.3">
      <c r="B1821" s="29"/>
      <c r="C1821" s="29"/>
      <c r="D1821" s="30"/>
      <c r="E1821" s="33"/>
      <c r="F1821" s="89"/>
    </row>
    <row r="1822" spans="2:6" s="6" customFormat="1" x14ac:dyDescent="0.3">
      <c r="B1822" s="29"/>
      <c r="C1822" s="29"/>
      <c r="D1822" s="30"/>
      <c r="E1822" s="33"/>
      <c r="F1822" s="89"/>
    </row>
    <row r="1823" spans="2:6" s="6" customFormat="1" x14ac:dyDescent="0.3">
      <c r="B1823" s="29"/>
      <c r="C1823" s="29"/>
      <c r="D1823" s="30"/>
      <c r="E1823" s="33"/>
      <c r="F1823" s="89"/>
    </row>
    <row r="1824" spans="2:6" s="6" customFormat="1" x14ac:dyDescent="0.3">
      <c r="B1824" s="29"/>
      <c r="C1824" s="29"/>
      <c r="D1824" s="30"/>
      <c r="E1824" s="33"/>
      <c r="F1824" s="89"/>
    </row>
    <row r="1825" spans="2:6" s="6" customFormat="1" x14ac:dyDescent="0.3">
      <c r="B1825" s="29"/>
      <c r="C1825" s="29"/>
      <c r="D1825" s="30"/>
      <c r="E1825" s="33"/>
      <c r="F1825" s="89"/>
    </row>
    <row r="1826" spans="2:6" s="6" customFormat="1" x14ac:dyDescent="0.3">
      <c r="B1826" s="29"/>
      <c r="C1826" s="29"/>
      <c r="D1826" s="30"/>
      <c r="E1826" s="33"/>
      <c r="F1826" s="89"/>
    </row>
    <row r="1827" spans="2:6" s="6" customFormat="1" x14ac:dyDescent="0.3">
      <c r="B1827" s="29"/>
      <c r="C1827" s="29"/>
      <c r="D1827" s="30"/>
      <c r="E1827" s="33"/>
      <c r="F1827" s="89"/>
    </row>
    <row r="1828" spans="2:6" s="6" customFormat="1" x14ac:dyDescent="0.3">
      <c r="B1828" s="29"/>
      <c r="C1828" s="29"/>
      <c r="D1828" s="30"/>
      <c r="E1828" s="33"/>
      <c r="F1828" s="89"/>
    </row>
    <row r="1829" spans="2:6" s="6" customFormat="1" x14ac:dyDescent="0.3">
      <c r="B1829" s="29"/>
      <c r="C1829" s="29"/>
      <c r="D1829" s="30"/>
      <c r="E1829" s="33"/>
      <c r="F1829" s="89"/>
    </row>
    <row r="1830" spans="2:6" s="6" customFormat="1" x14ac:dyDescent="0.3">
      <c r="B1830" s="29"/>
      <c r="C1830" s="29"/>
      <c r="D1830" s="30"/>
      <c r="E1830" s="33"/>
      <c r="F1830" s="89"/>
    </row>
    <row r="1831" spans="2:6" s="6" customFormat="1" x14ac:dyDescent="0.3">
      <c r="B1831" s="29"/>
      <c r="C1831" s="29"/>
      <c r="D1831" s="30"/>
      <c r="E1831" s="33"/>
      <c r="F1831" s="89"/>
    </row>
    <row r="1832" spans="2:6" s="6" customFormat="1" x14ac:dyDescent="0.3">
      <c r="B1832" s="29"/>
      <c r="C1832" s="29"/>
      <c r="D1832" s="30"/>
      <c r="E1832" s="33"/>
      <c r="F1832" s="89"/>
    </row>
    <row r="1833" spans="2:6" s="6" customFormat="1" x14ac:dyDescent="0.3">
      <c r="B1833" s="29"/>
      <c r="C1833" s="29"/>
      <c r="D1833" s="30"/>
      <c r="E1833" s="33"/>
      <c r="F1833" s="89"/>
    </row>
    <row r="1834" spans="2:6" s="6" customFormat="1" x14ac:dyDescent="0.3">
      <c r="B1834" s="29"/>
      <c r="C1834" s="29"/>
      <c r="D1834" s="30"/>
      <c r="E1834" s="33"/>
      <c r="F1834" s="89"/>
    </row>
    <row r="1835" spans="2:6" s="6" customFormat="1" x14ac:dyDescent="0.3">
      <c r="B1835" s="29"/>
      <c r="C1835" s="29"/>
      <c r="D1835" s="30"/>
      <c r="E1835" s="33"/>
      <c r="F1835" s="89"/>
    </row>
    <row r="1836" spans="2:6" s="6" customFormat="1" x14ac:dyDescent="0.3">
      <c r="B1836" s="29"/>
      <c r="C1836" s="29"/>
      <c r="D1836" s="30"/>
      <c r="E1836" s="33"/>
      <c r="F1836" s="89"/>
    </row>
    <row r="1837" spans="2:6" s="6" customFormat="1" x14ac:dyDescent="0.3">
      <c r="B1837" s="29"/>
      <c r="C1837" s="29"/>
      <c r="D1837" s="30"/>
      <c r="E1837" s="33"/>
      <c r="F1837" s="89"/>
    </row>
    <row r="1838" spans="2:6" s="6" customFormat="1" x14ac:dyDescent="0.3">
      <c r="B1838" s="29"/>
      <c r="C1838" s="29"/>
      <c r="D1838" s="30"/>
      <c r="E1838" s="33"/>
      <c r="F1838" s="89"/>
    </row>
    <row r="1839" spans="2:6" s="6" customFormat="1" x14ac:dyDescent="0.3">
      <c r="B1839" s="29"/>
      <c r="C1839" s="29"/>
      <c r="D1839" s="30"/>
      <c r="E1839" s="33"/>
      <c r="F1839" s="89"/>
    </row>
    <row r="1840" spans="2:6" s="6" customFormat="1" x14ac:dyDescent="0.3">
      <c r="B1840" s="29"/>
      <c r="C1840" s="29"/>
      <c r="D1840" s="30"/>
      <c r="E1840" s="33"/>
      <c r="F1840" s="89"/>
    </row>
    <row r="1841" spans="2:6" s="6" customFormat="1" x14ac:dyDescent="0.3">
      <c r="B1841" s="29"/>
      <c r="C1841" s="29"/>
      <c r="D1841" s="30"/>
      <c r="E1841" s="33"/>
      <c r="F1841" s="89"/>
    </row>
    <row r="1842" spans="2:6" s="6" customFormat="1" x14ac:dyDescent="0.3">
      <c r="B1842" s="29"/>
      <c r="C1842" s="29"/>
      <c r="D1842" s="30"/>
      <c r="E1842" s="33"/>
      <c r="F1842" s="89"/>
    </row>
    <row r="1843" spans="2:6" s="6" customFormat="1" x14ac:dyDescent="0.3">
      <c r="B1843" s="29"/>
      <c r="C1843" s="29"/>
      <c r="D1843" s="30"/>
      <c r="E1843" s="33"/>
      <c r="F1843" s="89"/>
    </row>
    <row r="1844" spans="2:6" s="6" customFormat="1" x14ac:dyDescent="0.3">
      <c r="B1844" s="29"/>
      <c r="C1844" s="29"/>
      <c r="D1844" s="30"/>
      <c r="E1844" s="33"/>
      <c r="F1844" s="89"/>
    </row>
    <row r="1845" spans="2:6" s="6" customFormat="1" x14ac:dyDescent="0.3">
      <c r="B1845" s="29"/>
      <c r="C1845" s="29"/>
      <c r="D1845" s="30"/>
      <c r="E1845" s="33"/>
      <c r="F1845" s="89"/>
    </row>
    <row r="1846" spans="2:6" s="6" customFormat="1" x14ac:dyDescent="0.3">
      <c r="B1846" s="29"/>
      <c r="C1846" s="29"/>
      <c r="D1846" s="30"/>
      <c r="E1846" s="33"/>
      <c r="F1846" s="89"/>
    </row>
    <row r="1847" spans="2:6" s="6" customFormat="1" x14ac:dyDescent="0.3">
      <c r="B1847" s="29"/>
      <c r="C1847" s="29"/>
      <c r="D1847" s="30"/>
      <c r="E1847" s="33"/>
      <c r="F1847" s="89"/>
    </row>
    <row r="1848" spans="2:6" s="6" customFormat="1" x14ac:dyDescent="0.3">
      <c r="B1848" s="29"/>
      <c r="C1848" s="29"/>
      <c r="D1848" s="30"/>
      <c r="E1848" s="33"/>
      <c r="F1848" s="89"/>
    </row>
    <row r="1849" spans="2:6" s="6" customFormat="1" x14ac:dyDescent="0.3">
      <c r="B1849" s="29"/>
      <c r="C1849" s="29"/>
      <c r="D1849" s="30"/>
      <c r="E1849" s="33"/>
      <c r="F1849" s="89"/>
    </row>
    <row r="1850" spans="2:6" s="6" customFormat="1" x14ac:dyDescent="0.3">
      <c r="B1850" s="29"/>
      <c r="C1850" s="29"/>
      <c r="D1850" s="30"/>
      <c r="E1850" s="33"/>
      <c r="F1850" s="89"/>
    </row>
    <row r="1851" spans="2:6" s="6" customFormat="1" x14ac:dyDescent="0.3">
      <c r="B1851" s="29"/>
      <c r="C1851" s="29"/>
      <c r="D1851" s="30"/>
      <c r="E1851" s="33"/>
      <c r="F1851" s="89"/>
    </row>
    <row r="1852" spans="2:6" s="6" customFormat="1" x14ac:dyDescent="0.3">
      <c r="B1852" s="29"/>
      <c r="C1852" s="29"/>
      <c r="D1852" s="30"/>
      <c r="E1852" s="33"/>
      <c r="F1852" s="89"/>
    </row>
    <row r="1853" spans="2:6" s="6" customFormat="1" x14ac:dyDescent="0.3">
      <c r="B1853" s="29"/>
      <c r="C1853" s="29"/>
      <c r="D1853" s="30"/>
      <c r="E1853" s="33"/>
      <c r="F1853" s="89"/>
    </row>
    <row r="1854" spans="2:6" s="6" customFormat="1" x14ac:dyDescent="0.3">
      <c r="B1854" s="29"/>
      <c r="C1854" s="29"/>
      <c r="D1854" s="30"/>
      <c r="E1854" s="33"/>
      <c r="F1854" s="89"/>
    </row>
    <row r="1855" spans="2:6" s="6" customFormat="1" x14ac:dyDescent="0.3">
      <c r="B1855" s="29"/>
      <c r="C1855" s="29"/>
      <c r="D1855" s="30"/>
      <c r="E1855" s="33"/>
      <c r="F1855" s="89"/>
    </row>
    <row r="1856" spans="2:6" s="6" customFormat="1" x14ac:dyDescent="0.3">
      <c r="B1856" s="29"/>
      <c r="C1856" s="29"/>
      <c r="D1856" s="30"/>
      <c r="E1856" s="33"/>
      <c r="F1856" s="89"/>
    </row>
    <row r="1857" spans="2:6" s="6" customFormat="1" x14ac:dyDescent="0.3">
      <c r="B1857" s="29"/>
      <c r="C1857" s="29"/>
      <c r="D1857" s="30"/>
      <c r="E1857" s="33"/>
      <c r="F1857" s="89"/>
    </row>
    <row r="1858" spans="2:6" s="6" customFormat="1" x14ac:dyDescent="0.3">
      <c r="B1858" s="29"/>
      <c r="C1858" s="29"/>
      <c r="D1858" s="30"/>
      <c r="E1858" s="33"/>
      <c r="F1858" s="89"/>
    </row>
    <row r="1859" spans="2:6" s="6" customFormat="1" x14ac:dyDescent="0.3">
      <c r="B1859" s="29"/>
      <c r="C1859" s="29"/>
      <c r="D1859" s="30"/>
      <c r="E1859" s="33"/>
      <c r="F1859" s="89"/>
    </row>
    <row r="1860" spans="2:6" s="6" customFormat="1" x14ac:dyDescent="0.3">
      <c r="B1860" s="29"/>
      <c r="C1860" s="29"/>
      <c r="D1860" s="30"/>
      <c r="E1860" s="33"/>
      <c r="F1860" s="89"/>
    </row>
    <row r="1861" spans="2:6" s="6" customFormat="1" x14ac:dyDescent="0.3">
      <c r="B1861" s="29"/>
      <c r="C1861" s="29"/>
      <c r="D1861" s="30"/>
      <c r="E1861" s="33"/>
      <c r="F1861" s="89"/>
    </row>
    <row r="1862" spans="2:6" s="6" customFormat="1" x14ac:dyDescent="0.3">
      <c r="B1862" s="29"/>
      <c r="C1862" s="29"/>
      <c r="D1862" s="30"/>
      <c r="E1862" s="33"/>
      <c r="F1862" s="89"/>
    </row>
    <row r="1863" spans="2:6" s="6" customFormat="1" x14ac:dyDescent="0.3">
      <c r="B1863" s="29"/>
      <c r="C1863" s="29"/>
      <c r="D1863" s="30"/>
      <c r="E1863" s="33"/>
      <c r="F1863" s="89"/>
    </row>
    <row r="1864" spans="2:6" s="6" customFormat="1" x14ac:dyDescent="0.3">
      <c r="B1864" s="29"/>
      <c r="C1864" s="29"/>
      <c r="D1864" s="30"/>
      <c r="E1864" s="33"/>
      <c r="F1864" s="89"/>
    </row>
    <row r="1865" spans="2:6" s="6" customFormat="1" x14ac:dyDescent="0.3">
      <c r="B1865" s="29"/>
      <c r="C1865" s="29"/>
      <c r="D1865" s="30"/>
      <c r="E1865" s="33"/>
      <c r="F1865" s="89"/>
    </row>
    <row r="1866" spans="2:6" s="6" customFormat="1" x14ac:dyDescent="0.3">
      <c r="B1866" s="29"/>
      <c r="C1866" s="29"/>
      <c r="D1866" s="30"/>
      <c r="E1866" s="33"/>
      <c r="F1866" s="89"/>
    </row>
    <row r="1867" spans="2:6" s="6" customFormat="1" x14ac:dyDescent="0.3">
      <c r="B1867" s="29"/>
      <c r="C1867" s="29"/>
      <c r="D1867" s="30"/>
      <c r="E1867" s="33"/>
      <c r="F1867" s="89"/>
    </row>
    <row r="1868" spans="2:6" s="6" customFormat="1" x14ac:dyDescent="0.3">
      <c r="B1868" s="29"/>
      <c r="C1868" s="29"/>
      <c r="D1868" s="30"/>
      <c r="E1868" s="33"/>
      <c r="F1868" s="89"/>
    </row>
    <row r="1869" spans="2:6" s="6" customFormat="1" x14ac:dyDescent="0.3">
      <c r="B1869" s="29"/>
      <c r="C1869" s="29"/>
      <c r="D1869" s="30"/>
      <c r="E1869" s="33"/>
      <c r="F1869" s="89"/>
    </row>
    <row r="1870" spans="2:6" s="6" customFormat="1" x14ac:dyDescent="0.3">
      <c r="B1870" s="29"/>
      <c r="C1870" s="29"/>
      <c r="D1870" s="30"/>
      <c r="E1870" s="33"/>
      <c r="F1870" s="89"/>
    </row>
    <row r="1871" spans="2:6" s="6" customFormat="1" x14ac:dyDescent="0.3">
      <c r="B1871" s="29"/>
      <c r="C1871" s="29"/>
      <c r="D1871" s="30"/>
      <c r="E1871" s="33"/>
      <c r="F1871" s="89"/>
    </row>
    <row r="1872" spans="2:6" s="6" customFormat="1" x14ac:dyDescent="0.3">
      <c r="B1872" s="29"/>
      <c r="C1872" s="29"/>
      <c r="D1872" s="30"/>
      <c r="E1872" s="33"/>
      <c r="F1872" s="89"/>
    </row>
    <row r="1873" spans="2:6" s="6" customFormat="1" x14ac:dyDescent="0.3">
      <c r="B1873" s="29"/>
      <c r="C1873" s="29"/>
      <c r="D1873" s="30"/>
      <c r="E1873" s="33"/>
      <c r="F1873" s="89"/>
    </row>
    <row r="1874" spans="2:6" s="6" customFormat="1" x14ac:dyDescent="0.3">
      <c r="B1874" s="29"/>
      <c r="C1874" s="29"/>
      <c r="D1874" s="30"/>
      <c r="E1874" s="33"/>
      <c r="F1874" s="89"/>
    </row>
    <row r="1875" spans="2:6" s="6" customFormat="1" x14ac:dyDescent="0.3">
      <c r="B1875" s="29"/>
      <c r="C1875" s="29"/>
      <c r="D1875" s="30"/>
      <c r="E1875" s="33"/>
      <c r="F1875" s="89"/>
    </row>
    <row r="1876" spans="2:6" s="6" customFormat="1" x14ac:dyDescent="0.3">
      <c r="B1876" s="29"/>
      <c r="C1876" s="29"/>
      <c r="D1876" s="30"/>
      <c r="E1876" s="33"/>
      <c r="F1876" s="89"/>
    </row>
    <row r="1877" spans="2:6" s="6" customFormat="1" x14ac:dyDescent="0.3">
      <c r="B1877" s="29"/>
      <c r="C1877" s="29"/>
      <c r="D1877" s="30"/>
      <c r="E1877" s="33"/>
      <c r="F1877" s="89"/>
    </row>
    <row r="1878" spans="2:6" s="6" customFormat="1" x14ac:dyDescent="0.3">
      <c r="B1878" s="29"/>
      <c r="C1878" s="29"/>
      <c r="D1878" s="30"/>
      <c r="E1878" s="33"/>
      <c r="F1878" s="89"/>
    </row>
    <row r="1879" spans="2:6" s="6" customFormat="1" x14ac:dyDescent="0.3">
      <c r="B1879" s="29"/>
      <c r="C1879" s="29"/>
      <c r="D1879" s="30"/>
      <c r="E1879" s="33"/>
      <c r="F1879" s="89"/>
    </row>
    <row r="1880" spans="2:6" s="6" customFormat="1" x14ac:dyDescent="0.3">
      <c r="B1880" s="29"/>
      <c r="C1880" s="29"/>
      <c r="D1880" s="30"/>
      <c r="E1880" s="33"/>
      <c r="F1880" s="89"/>
    </row>
    <row r="1881" spans="2:6" s="6" customFormat="1" x14ac:dyDescent="0.3">
      <c r="B1881" s="29"/>
      <c r="C1881" s="29"/>
      <c r="D1881" s="30"/>
      <c r="E1881" s="33"/>
      <c r="F1881" s="89"/>
    </row>
    <row r="1882" spans="2:6" s="6" customFormat="1" x14ac:dyDescent="0.3">
      <c r="B1882" s="29"/>
      <c r="C1882" s="29"/>
      <c r="D1882" s="30"/>
      <c r="E1882" s="33"/>
      <c r="F1882" s="89"/>
    </row>
    <row r="1883" spans="2:6" s="6" customFormat="1" x14ac:dyDescent="0.3">
      <c r="B1883" s="29"/>
      <c r="C1883" s="29"/>
      <c r="D1883" s="30"/>
      <c r="E1883" s="33"/>
      <c r="F1883" s="89"/>
    </row>
    <row r="1884" spans="2:6" s="6" customFormat="1" x14ac:dyDescent="0.3">
      <c r="B1884" s="29"/>
      <c r="C1884" s="29"/>
      <c r="D1884" s="30"/>
      <c r="E1884" s="33"/>
      <c r="F1884" s="89"/>
    </row>
    <row r="1885" spans="2:6" s="6" customFormat="1" x14ac:dyDescent="0.3">
      <c r="B1885" s="29"/>
      <c r="C1885" s="29"/>
      <c r="D1885" s="30"/>
      <c r="E1885" s="33"/>
      <c r="F1885" s="89"/>
    </row>
    <row r="1886" spans="2:6" s="6" customFormat="1" x14ac:dyDescent="0.3">
      <c r="B1886" s="29"/>
      <c r="C1886" s="29"/>
      <c r="D1886" s="30"/>
      <c r="E1886" s="33"/>
      <c r="F1886" s="89"/>
    </row>
    <row r="1887" spans="2:6" s="6" customFormat="1" x14ac:dyDescent="0.3">
      <c r="B1887" s="29"/>
      <c r="C1887" s="29"/>
      <c r="D1887" s="30"/>
      <c r="E1887" s="33"/>
      <c r="F1887" s="89"/>
    </row>
    <row r="1888" spans="2:6" s="6" customFormat="1" x14ac:dyDescent="0.3">
      <c r="B1888" s="29"/>
      <c r="C1888" s="29"/>
      <c r="D1888" s="30"/>
      <c r="E1888" s="33"/>
      <c r="F1888" s="89"/>
    </row>
    <row r="1889" spans="2:6" s="6" customFormat="1" x14ac:dyDescent="0.3">
      <c r="B1889" s="29"/>
      <c r="C1889" s="29"/>
      <c r="D1889" s="30"/>
      <c r="E1889" s="33"/>
      <c r="F1889" s="89"/>
    </row>
    <row r="1890" spans="2:6" s="6" customFormat="1" x14ac:dyDescent="0.3">
      <c r="B1890" s="29"/>
      <c r="C1890" s="29"/>
      <c r="D1890" s="30"/>
      <c r="E1890" s="33"/>
      <c r="F1890" s="89"/>
    </row>
    <row r="1891" spans="2:6" s="6" customFormat="1" x14ac:dyDescent="0.3">
      <c r="B1891" s="29"/>
      <c r="C1891" s="29"/>
      <c r="D1891" s="30"/>
      <c r="E1891" s="33"/>
      <c r="F1891" s="89"/>
    </row>
    <row r="1892" spans="2:6" s="6" customFormat="1" x14ac:dyDescent="0.3">
      <c r="B1892" s="29"/>
      <c r="C1892" s="29"/>
      <c r="D1892" s="30"/>
      <c r="E1892" s="33"/>
      <c r="F1892" s="89"/>
    </row>
    <row r="1893" spans="2:6" s="6" customFormat="1" x14ac:dyDescent="0.3">
      <c r="B1893" s="29"/>
      <c r="C1893" s="29"/>
      <c r="D1893" s="30"/>
      <c r="E1893" s="33"/>
      <c r="F1893" s="89"/>
    </row>
    <row r="1894" spans="2:6" s="6" customFormat="1" x14ac:dyDescent="0.3">
      <c r="B1894" s="29"/>
      <c r="C1894" s="29"/>
      <c r="D1894" s="30"/>
      <c r="E1894" s="33"/>
      <c r="F1894" s="89"/>
    </row>
    <row r="1895" spans="2:6" s="6" customFormat="1" x14ac:dyDescent="0.3">
      <c r="B1895" s="29"/>
      <c r="C1895" s="29"/>
      <c r="D1895" s="30"/>
      <c r="E1895" s="33"/>
      <c r="F1895" s="89"/>
    </row>
    <row r="1896" spans="2:6" s="6" customFormat="1" x14ac:dyDescent="0.3">
      <c r="B1896" s="29"/>
      <c r="C1896" s="29"/>
      <c r="D1896" s="30"/>
      <c r="E1896" s="33"/>
      <c r="F1896" s="89"/>
    </row>
    <row r="1897" spans="2:6" s="6" customFormat="1" x14ac:dyDescent="0.3">
      <c r="B1897" s="29"/>
      <c r="C1897" s="29"/>
      <c r="D1897" s="30"/>
      <c r="E1897" s="33"/>
      <c r="F1897" s="89"/>
    </row>
    <row r="1898" spans="2:6" s="6" customFormat="1" x14ac:dyDescent="0.3">
      <c r="B1898" s="29"/>
      <c r="C1898" s="29"/>
      <c r="D1898" s="30"/>
      <c r="E1898" s="33"/>
      <c r="F1898" s="89"/>
    </row>
    <row r="1899" spans="2:6" s="6" customFormat="1" x14ac:dyDescent="0.3">
      <c r="B1899" s="29"/>
      <c r="C1899" s="29"/>
      <c r="D1899" s="30"/>
      <c r="E1899" s="33"/>
      <c r="F1899" s="89"/>
    </row>
    <row r="1900" spans="2:6" s="6" customFormat="1" x14ac:dyDescent="0.3">
      <c r="B1900" s="29"/>
      <c r="C1900" s="29"/>
      <c r="D1900" s="30"/>
      <c r="E1900" s="33"/>
      <c r="F1900" s="89"/>
    </row>
    <row r="1901" spans="2:6" s="6" customFormat="1" x14ac:dyDescent="0.3">
      <c r="B1901" s="29"/>
      <c r="C1901" s="29"/>
      <c r="D1901" s="30"/>
      <c r="E1901" s="33"/>
      <c r="F1901" s="89"/>
    </row>
    <row r="1902" spans="2:6" s="6" customFormat="1" x14ac:dyDescent="0.3">
      <c r="B1902" s="29"/>
      <c r="C1902" s="29"/>
      <c r="D1902" s="30"/>
      <c r="E1902" s="33"/>
      <c r="F1902" s="89"/>
    </row>
    <row r="1903" spans="2:6" s="6" customFormat="1" x14ac:dyDescent="0.3">
      <c r="B1903" s="29"/>
      <c r="C1903" s="29"/>
      <c r="D1903" s="30"/>
      <c r="E1903" s="33"/>
      <c r="F1903" s="89"/>
    </row>
    <row r="1904" spans="2:6" s="6" customFormat="1" x14ac:dyDescent="0.3">
      <c r="B1904" s="29"/>
      <c r="C1904" s="29"/>
      <c r="D1904" s="30"/>
      <c r="E1904" s="33"/>
      <c r="F1904" s="89"/>
    </row>
    <row r="1905" spans="2:6" s="6" customFormat="1" x14ac:dyDescent="0.3">
      <c r="B1905" s="29"/>
      <c r="C1905" s="29"/>
      <c r="D1905" s="30"/>
      <c r="E1905" s="33"/>
      <c r="F1905" s="89"/>
    </row>
    <row r="1906" spans="2:6" s="6" customFormat="1" x14ac:dyDescent="0.3">
      <c r="B1906" s="29"/>
      <c r="C1906" s="29"/>
      <c r="D1906" s="30"/>
      <c r="E1906" s="33"/>
      <c r="F1906" s="89"/>
    </row>
    <row r="1907" spans="2:6" s="6" customFormat="1" x14ac:dyDescent="0.3">
      <c r="B1907" s="29"/>
      <c r="C1907" s="29"/>
      <c r="D1907" s="30"/>
      <c r="E1907" s="33"/>
      <c r="F1907" s="89"/>
    </row>
    <row r="1908" spans="2:6" s="6" customFormat="1" x14ac:dyDescent="0.3">
      <c r="B1908" s="29"/>
      <c r="C1908" s="29"/>
      <c r="D1908" s="30"/>
      <c r="E1908" s="33"/>
      <c r="F1908" s="89"/>
    </row>
    <row r="1909" spans="2:6" s="6" customFormat="1" x14ac:dyDescent="0.3">
      <c r="B1909" s="29"/>
      <c r="C1909" s="29"/>
      <c r="D1909" s="30"/>
      <c r="E1909" s="33"/>
      <c r="F1909" s="89"/>
    </row>
    <row r="1910" spans="2:6" s="6" customFormat="1" x14ac:dyDescent="0.3">
      <c r="B1910" s="29"/>
      <c r="C1910" s="29"/>
      <c r="D1910" s="30"/>
      <c r="E1910" s="33"/>
      <c r="F1910" s="89"/>
    </row>
    <row r="1911" spans="2:6" s="6" customFormat="1" x14ac:dyDescent="0.3">
      <c r="B1911" s="29"/>
      <c r="C1911" s="29"/>
      <c r="D1911" s="30"/>
      <c r="E1911" s="33"/>
      <c r="F1911" s="89"/>
    </row>
    <row r="1912" spans="2:6" s="6" customFormat="1" x14ac:dyDescent="0.3">
      <c r="B1912" s="29"/>
      <c r="C1912" s="29"/>
      <c r="D1912" s="30"/>
      <c r="E1912" s="33"/>
      <c r="F1912" s="89"/>
    </row>
    <row r="1913" spans="2:6" s="6" customFormat="1" x14ac:dyDescent="0.3">
      <c r="B1913" s="29"/>
      <c r="C1913" s="29"/>
      <c r="D1913" s="30"/>
      <c r="E1913" s="33"/>
      <c r="F1913" s="89"/>
    </row>
    <row r="1914" spans="2:6" s="6" customFormat="1" x14ac:dyDescent="0.3">
      <c r="B1914" s="29"/>
      <c r="C1914" s="29"/>
      <c r="D1914" s="30"/>
      <c r="E1914" s="33"/>
      <c r="F1914" s="89"/>
    </row>
    <row r="1915" spans="2:6" s="6" customFormat="1" x14ac:dyDescent="0.3">
      <c r="B1915" s="29"/>
      <c r="C1915" s="29"/>
      <c r="D1915" s="30"/>
      <c r="E1915" s="33"/>
      <c r="F1915" s="89"/>
    </row>
    <row r="1916" spans="2:6" s="6" customFormat="1" x14ac:dyDescent="0.3">
      <c r="B1916" s="29"/>
      <c r="C1916" s="29"/>
      <c r="D1916" s="30"/>
      <c r="E1916" s="33"/>
      <c r="F1916" s="89"/>
    </row>
    <row r="1917" spans="2:6" s="6" customFormat="1" x14ac:dyDescent="0.3">
      <c r="B1917" s="29"/>
      <c r="C1917" s="29"/>
      <c r="D1917" s="30"/>
      <c r="E1917" s="33"/>
      <c r="F1917" s="89"/>
    </row>
    <row r="1918" spans="2:6" s="6" customFormat="1" x14ac:dyDescent="0.3">
      <c r="B1918" s="29"/>
      <c r="C1918" s="29"/>
      <c r="D1918" s="30"/>
      <c r="E1918" s="33"/>
      <c r="F1918" s="89"/>
    </row>
    <row r="1919" spans="2:6" s="6" customFormat="1" x14ac:dyDescent="0.3">
      <c r="B1919" s="29"/>
      <c r="C1919" s="29"/>
      <c r="D1919" s="30"/>
      <c r="E1919" s="33"/>
      <c r="F1919" s="89"/>
    </row>
    <row r="1920" spans="2:6" s="6" customFormat="1" x14ac:dyDescent="0.3">
      <c r="B1920" s="29"/>
      <c r="C1920" s="29"/>
      <c r="D1920" s="30"/>
      <c r="E1920" s="33"/>
      <c r="F1920" s="89"/>
    </row>
    <row r="1921" spans="2:6" s="6" customFormat="1" x14ac:dyDescent="0.3">
      <c r="B1921" s="29"/>
      <c r="C1921" s="29"/>
      <c r="D1921" s="30"/>
      <c r="E1921" s="33"/>
      <c r="F1921" s="89"/>
    </row>
    <row r="1922" spans="2:6" s="6" customFormat="1" x14ac:dyDescent="0.3">
      <c r="B1922" s="29"/>
      <c r="C1922" s="29"/>
      <c r="D1922" s="30"/>
      <c r="E1922" s="33"/>
      <c r="F1922" s="89"/>
    </row>
    <row r="1923" spans="2:6" s="6" customFormat="1" x14ac:dyDescent="0.3">
      <c r="B1923" s="29"/>
      <c r="C1923" s="29"/>
      <c r="D1923" s="30"/>
      <c r="E1923" s="33"/>
      <c r="F1923" s="89"/>
    </row>
    <row r="1924" spans="2:6" s="6" customFormat="1" x14ac:dyDescent="0.3">
      <c r="B1924" s="29"/>
      <c r="C1924" s="29"/>
      <c r="D1924" s="30"/>
      <c r="E1924" s="33"/>
      <c r="F1924" s="89"/>
    </row>
    <row r="1925" spans="2:6" s="6" customFormat="1" x14ac:dyDescent="0.3">
      <c r="B1925" s="29"/>
      <c r="C1925" s="29"/>
      <c r="D1925" s="30"/>
      <c r="E1925" s="33"/>
      <c r="F1925" s="89"/>
    </row>
    <row r="1926" spans="2:6" s="6" customFormat="1" x14ac:dyDescent="0.3">
      <c r="B1926" s="29"/>
      <c r="C1926" s="29"/>
      <c r="D1926" s="30"/>
      <c r="E1926" s="33"/>
      <c r="F1926" s="89"/>
    </row>
    <row r="1927" spans="2:6" s="6" customFormat="1" x14ac:dyDescent="0.3">
      <c r="B1927" s="29"/>
      <c r="C1927" s="29"/>
      <c r="D1927" s="30"/>
      <c r="E1927" s="33"/>
      <c r="F1927" s="89"/>
    </row>
    <row r="1928" spans="2:6" s="6" customFormat="1" x14ac:dyDescent="0.3">
      <c r="B1928" s="29"/>
      <c r="C1928" s="29"/>
      <c r="D1928" s="30"/>
      <c r="E1928" s="33"/>
      <c r="F1928" s="89"/>
    </row>
    <row r="1929" spans="2:6" s="6" customFormat="1" x14ac:dyDescent="0.3">
      <c r="B1929" s="29"/>
      <c r="C1929" s="29"/>
      <c r="D1929" s="30"/>
      <c r="E1929" s="33"/>
      <c r="F1929" s="89"/>
    </row>
    <row r="1930" spans="2:6" s="6" customFormat="1" x14ac:dyDescent="0.3">
      <c r="B1930" s="29"/>
      <c r="C1930" s="29"/>
      <c r="D1930" s="30"/>
      <c r="E1930" s="33"/>
      <c r="F1930" s="89"/>
    </row>
    <row r="1931" spans="2:6" s="6" customFormat="1" x14ac:dyDescent="0.3">
      <c r="B1931" s="29"/>
      <c r="C1931" s="29"/>
      <c r="D1931" s="30"/>
      <c r="E1931" s="33"/>
      <c r="F1931" s="89"/>
    </row>
    <row r="1932" spans="2:6" s="6" customFormat="1" x14ac:dyDescent="0.3">
      <c r="B1932" s="29"/>
      <c r="C1932" s="29"/>
      <c r="D1932" s="30"/>
      <c r="E1932" s="33"/>
      <c r="F1932" s="89"/>
    </row>
    <row r="1933" spans="2:6" s="6" customFormat="1" x14ac:dyDescent="0.3">
      <c r="B1933" s="29"/>
      <c r="C1933" s="29"/>
      <c r="D1933" s="30"/>
      <c r="E1933" s="33"/>
      <c r="F1933" s="89"/>
    </row>
    <row r="1934" spans="2:6" s="6" customFormat="1" x14ac:dyDescent="0.3">
      <c r="B1934" s="29"/>
      <c r="C1934" s="29"/>
      <c r="D1934" s="30"/>
      <c r="E1934" s="33"/>
      <c r="F1934" s="89"/>
    </row>
    <row r="1935" spans="2:6" s="6" customFormat="1" x14ac:dyDescent="0.3">
      <c r="B1935" s="29"/>
      <c r="C1935" s="29"/>
      <c r="D1935" s="30"/>
      <c r="E1935" s="33"/>
      <c r="F1935" s="89"/>
    </row>
    <row r="1936" spans="2:6" s="6" customFormat="1" x14ac:dyDescent="0.3">
      <c r="B1936" s="29"/>
      <c r="C1936" s="29"/>
      <c r="D1936" s="30"/>
      <c r="E1936" s="33"/>
      <c r="F1936" s="89"/>
    </row>
    <row r="1937" spans="2:6" s="6" customFormat="1" x14ac:dyDescent="0.3">
      <c r="B1937" s="29"/>
      <c r="C1937" s="29"/>
      <c r="D1937" s="30"/>
      <c r="E1937" s="33"/>
      <c r="F1937" s="89"/>
    </row>
    <row r="1938" spans="2:6" s="6" customFormat="1" x14ac:dyDescent="0.3">
      <c r="B1938" s="29"/>
      <c r="C1938" s="29"/>
      <c r="D1938" s="30"/>
      <c r="E1938" s="33"/>
      <c r="F1938" s="89"/>
    </row>
    <row r="1939" spans="2:6" s="6" customFormat="1" x14ac:dyDescent="0.3">
      <c r="B1939" s="29"/>
      <c r="C1939" s="29"/>
      <c r="D1939" s="30"/>
      <c r="E1939" s="33"/>
      <c r="F1939" s="89"/>
    </row>
    <row r="1940" spans="2:6" s="6" customFormat="1" x14ac:dyDescent="0.3">
      <c r="B1940" s="29"/>
      <c r="C1940" s="29"/>
      <c r="D1940" s="30"/>
      <c r="E1940" s="33"/>
      <c r="F1940" s="89"/>
    </row>
    <row r="1941" spans="2:6" s="6" customFormat="1" x14ac:dyDescent="0.3">
      <c r="B1941" s="29"/>
      <c r="C1941" s="29"/>
      <c r="D1941" s="30"/>
      <c r="E1941" s="33"/>
      <c r="F1941" s="89"/>
    </row>
    <row r="1942" spans="2:6" s="6" customFormat="1" x14ac:dyDescent="0.3">
      <c r="B1942" s="29"/>
      <c r="C1942" s="29"/>
      <c r="D1942" s="30"/>
      <c r="E1942" s="33"/>
      <c r="F1942" s="89"/>
    </row>
    <row r="1943" spans="2:6" s="6" customFormat="1" x14ac:dyDescent="0.3">
      <c r="B1943" s="29"/>
      <c r="C1943" s="29"/>
      <c r="D1943" s="30"/>
      <c r="E1943" s="33"/>
      <c r="F1943" s="89"/>
    </row>
    <row r="1944" spans="2:6" s="6" customFormat="1" x14ac:dyDescent="0.3">
      <c r="B1944" s="29"/>
      <c r="C1944" s="29"/>
      <c r="D1944" s="30"/>
      <c r="E1944" s="33"/>
      <c r="F1944" s="89"/>
    </row>
    <row r="1945" spans="2:6" s="6" customFormat="1" x14ac:dyDescent="0.3">
      <c r="B1945" s="29"/>
      <c r="C1945" s="29"/>
      <c r="D1945" s="30"/>
      <c r="E1945" s="33"/>
      <c r="F1945" s="89"/>
    </row>
    <row r="1946" spans="2:6" s="6" customFormat="1" x14ac:dyDescent="0.3">
      <c r="B1946" s="29"/>
      <c r="C1946" s="29"/>
      <c r="D1946" s="30"/>
      <c r="E1946" s="33"/>
      <c r="F1946" s="89"/>
    </row>
    <row r="1947" spans="2:6" s="6" customFormat="1" x14ac:dyDescent="0.3">
      <c r="B1947" s="29"/>
      <c r="C1947" s="29"/>
      <c r="D1947" s="30"/>
      <c r="E1947" s="33"/>
      <c r="F1947" s="89"/>
    </row>
    <row r="1948" spans="2:6" s="6" customFormat="1" x14ac:dyDescent="0.3">
      <c r="B1948" s="29"/>
      <c r="C1948" s="29"/>
      <c r="D1948" s="30"/>
      <c r="E1948" s="33"/>
      <c r="F1948" s="89"/>
    </row>
    <row r="1949" spans="2:6" s="6" customFormat="1" x14ac:dyDescent="0.3">
      <c r="B1949" s="29"/>
      <c r="C1949" s="29"/>
      <c r="D1949" s="30"/>
      <c r="E1949" s="33"/>
      <c r="F1949" s="89"/>
    </row>
    <row r="1950" spans="2:6" s="6" customFormat="1" x14ac:dyDescent="0.3">
      <c r="B1950" s="29"/>
      <c r="C1950" s="29"/>
      <c r="D1950" s="30"/>
      <c r="E1950" s="33"/>
      <c r="F1950" s="89"/>
    </row>
    <row r="1951" spans="2:6" s="6" customFormat="1" x14ac:dyDescent="0.3">
      <c r="B1951" s="29"/>
      <c r="C1951" s="29"/>
      <c r="D1951" s="30"/>
      <c r="E1951" s="33"/>
      <c r="F1951" s="89"/>
    </row>
    <row r="1952" spans="2:6" s="6" customFormat="1" x14ac:dyDescent="0.3">
      <c r="B1952" s="29"/>
      <c r="C1952" s="29"/>
      <c r="D1952" s="30"/>
      <c r="E1952" s="33"/>
      <c r="F1952" s="89"/>
    </row>
    <row r="1953" spans="2:6" s="6" customFormat="1" x14ac:dyDescent="0.3">
      <c r="B1953" s="29"/>
      <c r="C1953" s="29"/>
      <c r="D1953" s="30"/>
      <c r="E1953" s="33"/>
      <c r="F1953" s="89"/>
    </row>
    <row r="1954" spans="2:6" s="6" customFormat="1" x14ac:dyDescent="0.3">
      <c r="B1954" s="29"/>
      <c r="C1954" s="29"/>
      <c r="D1954" s="30"/>
      <c r="E1954" s="33"/>
      <c r="F1954" s="89"/>
    </row>
    <row r="1955" spans="2:6" s="6" customFormat="1" x14ac:dyDescent="0.3">
      <c r="B1955" s="29"/>
      <c r="C1955" s="29"/>
      <c r="D1955" s="30"/>
      <c r="E1955" s="33"/>
      <c r="F1955" s="89"/>
    </row>
    <row r="1956" spans="2:6" s="6" customFormat="1" x14ac:dyDescent="0.3">
      <c r="B1956" s="29"/>
      <c r="C1956" s="29"/>
      <c r="D1956" s="30"/>
      <c r="E1956" s="33"/>
      <c r="F1956" s="89"/>
    </row>
    <row r="1957" spans="2:6" s="6" customFormat="1" x14ac:dyDescent="0.3">
      <c r="B1957" s="29"/>
      <c r="C1957" s="29"/>
      <c r="D1957" s="30"/>
      <c r="E1957" s="33"/>
      <c r="F1957" s="89"/>
    </row>
    <row r="1958" spans="2:6" s="6" customFormat="1" x14ac:dyDescent="0.3">
      <c r="B1958" s="29"/>
      <c r="C1958" s="29"/>
      <c r="D1958" s="30"/>
      <c r="E1958" s="33"/>
      <c r="F1958" s="89"/>
    </row>
    <row r="1959" spans="2:6" s="6" customFormat="1" x14ac:dyDescent="0.3">
      <c r="B1959" s="29"/>
      <c r="C1959" s="29"/>
      <c r="D1959" s="30"/>
      <c r="E1959" s="33"/>
      <c r="F1959" s="89"/>
    </row>
    <row r="1960" spans="2:6" s="6" customFormat="1" x14ac:dyDescent="0.3">
      <c r="B1960" s="29"/>
      <c r="C1960" s="29"/>
      <c r="D1960" s="30"/>
      <c r="E1960" s="33"/>
      <c r="F1960" s="89"/>
    </row>
    <row r="1961" spans="2:6" s="6" customFormat="1" x14ac:dyDescent="0.3">
      <c r="B1961" s="29"/>
      <c r="C1961" s="29"/>
      <c r="D1961" s="30"/>
      <c r="E1961" s="33"/>
      <c r="F1961" s="89"/>
    </row>
    <row r="1962" spans="2:6" s="6" customFormat="1" x14ac:dyDescent="0.3">
      <c r="B1962" s="29"/>
      <c r="C1962" s="29"/>
      <c r="D1962" s="30"/>
      <c r="E1962" s="33"/>
      <c r="F1962" s="89"/>
    </row>
    <row r="1963" spans="2:6" s="6" customFormat="1" x14ac:dyDescent="0.3">
      <c r="B1963" s="29"/>
      <c r="C1963" s="29"/>
      <c r="D1963" s="30"/>
      <c r="E1963" s="33"/>
      <c r="F1963" s="89"/>
    </row>
    <row r="1964" spans="2:6" s="6" customFormat="1" x14ac:dyDescent="0.3">
      <c r="B1964" s="29"/>
      <c r="C1964" s="29"/>
      <c r="D1964" s="30"/>
      <c r="E1964" s="33"/>
      <c r="F1964" s="89"/>
    </row>
    <row r="1965" spans="2:6" s="6" customFormat="1" x14ac:dyDescent="0.3">
      <c r="B1965" s="29"/>
      <c r="C1965" s="29"/>
      <c r="D1965" s="30"/>
      <c r="E1965" s="33"/>
      <c r="F1965" s="89"/>
    </row>
    <row r="1966" spans="2:6" s="6" customFormat="1" x14ac:dyDescent="0.3">
      <c r="B1966" s="29"/>
      <c r="C1966" s="29"/>
      <c r="D1966" s="30"/>
      <c r="E1966" s="33"/>
      <c r="F1966" s="89"/>
    </row>
    <row r="1967" spans="2:6" s="6" customFormat="1" x14ac:dyDescent="0.3">
      <c r="B1967" s="29"/>
      <c r="C1967" s="29"/>
      <c r="D1967" s="30"/>
      <c r="E1967" s="33"/>
      <c r="F1967" s="89"/>
    </row>
    <row r="1968" spans="2:6" s="6" customFormat="1" x14ac:dyDescent="0.3">
      <c r="B1968" s="29"/>
      <c r="C1968" s="29"/>
      <c r="D1968" s="30"/>
      <c r="E1968" s="33"/>
      <c r="F1968" s="89"/>
    </row>
    <row r="1969" spans="2:6" s="6" customFormat="1" x14ac:dyDescent="0.3">
      <c r="B1969" s="29"/>
      <c r="C1969" s="29"/>
      <c r="D1969" s="30"/>
      <c r="E1969" s="33"/>
      <c r="F1969" s="89"/>
    </row>
    <row r="1970" spans="2:6" s="6" customFormat="1" x14ac:dyDescent="0.3">
      <c r="B1970" s="29"/>
      <c r="C1970" s="29"/>
      <c r="D1970" s="30"/>
      <c r="E1970" s="33"/>
      <c r="F1970" s="89"/>
    </row>
    <row r="1971" spans="2:6" s="6" customFormat="1" x14ac:dyDescent="0.3">
      <c r="B1971" s="29"/>
      <c r="C1971" s="29"/>
      <c r="D1971" s="30"/>
      <c r="E1971" s="33"/>
      <c r="F1971" s="89"/>
    </row>
    <row r="1972" spans="2:6" s="6" customFormat="1" x14ac:dyDescent="0.3">
      <c r="B1972" s="29"/>
      <c r="C1972" s="29"/>
      <c r="D1972" s="30"/>
      <c r="E1972" s="33"/>
      <c r="F1972" s="89"/>
    </row>
    <row r="1973" spans="2:6" s="6" customFormat="1" x14ac:dyDescent="0.3">
      <c r="B1973" s="29"/>
      <c r="C1973" s="29"/>
      <c r="D1973" s="30"/>
      <c r="E1973" s="33"/>
      <c r="F1973" s="89"/>
    </row>
    <row r="1974" spans="2:6" s="6" customFormat="1" x14ac:dyDescent="0.3">
      <c r="B1974" s="29"/>
      <c r="C1974" s="29"/>
      <c r="D1974" s="30"/>
      <c r="E1974" s="33"/>
      <c r="F1974" s="89"/>
    </row>
    <row r="1975" spans="2:6" s="6" customFormat="1" x14ac:dyDescent="0.3">
      <c r="B1975" s="29"/>
      <c r="C1975" s="29"/>
      <c r="D1975" s="30"/>
      <c r="E1975" s="33"/>
      <c r="F1975" s="89"/>
    </row>
    <row r="1976" spans="2:6" s="6" customFormat="1" x14ac:dyDescent="0.3">
      <c r="B1976" s="29"/>
      <c r="C1976" s="29"/>
      <c r="D1976" s="30"/>
      <c r="E1976" s="33"/>
      <c r="F1976" s="89"/>
    </row>
    <row r="1977" spans="2:6" s="6" customFormat="1" x14ac:dyDescent="0.3">
      <c r="B1977" s="29"/>
      <c r="C1977" s="29"/>
      <c r="D1977" s="30"/>
      <c r="E1977" s="33"/>
      <c r="F1977" s="89"/>
    </row>
    <row r="1978" spans="2:6" s="6" customFormat="1" x14ac:dyDescent="0.3">
      <c r="B1978" s="29"/>
      <c r="C1978" s="29"/>
      <c r="D1978" s="30"/>
      <c r="E1978" s="33"/>
      <c r="F1978" s="89"/>
    </row>
    <row r="1979" spans="2:6" s="6" customFormat="1" x14ac:dyDescent="0.3">
      <c r="B1979" s="29"/>
      <c r="C1979" s="29"/>
      <c r="D1979" s="30"/>
      <c r="E1979" s="33"/>
      <c r="F1979" s="89"/>
    </row>
    <row r="1980" spans="2:6" s="6" customFormat="1" x14ac:dyDescent="0.3">
      <c r="B1980" s="29"/>
      <c r="C1980" s="29"/>
      <c r="D1980" s="30"/>
      <c r="E1980" s="33"/>
      <c r="F1980" s="89"/>
    </row>
    <row r="1981" spans="2:6" s="6" customFormat="1" x14ac:dyDescent="0.3">
      <c r="B1981" s="29"/>
      <c r="C1981" s="29"/>
      <c r="D1981" s="30"/>
      <c r="E1981" s="33"/>
      <c r="F1981" s="89"/>
    </row>
    <row r="1982" spans="2:6" s="6" customFormat="1" x14ac:dyDescent="0.3">
      <c r="B1982" s="29"/>
      <c r="C1982" s="29"/>
      <c r="D1982" s="30"/>
      <c r="E1982" s="33"/>
      <c r="F1982" s="89"/>
    </row>
    <row r="1983" spans="2:6" s="6" customFormat="1" x14ac:dyDescent="0.3">
      <c r="B1983" s="29"/>
      <c r="C1983" s="29"/>
      <c r="D1983" s="30"/>
      <c r="E1983" s="33"/>
      <c r="F1983" s="89"/>
    </row>
    <row r="1984" spans="2:6" s="6" customFormat="1" x14ac:dyDescent="0.3">
      <c r="B1984" s="29"/>
      <c r="C1984" s="29"/>
      <c r="D1984" s="30"/>
      <c r="E1984" s="33"/>
      <c r="F1984" s="89"/>
    </row>
    <row r="1985" spans="2:6" s="6" customFormat="1" x14ac:dyDescent="0.3">
      <c r="B1985" s="29"/>
      <c r="C1985" s="29"/>
      <c r="D1985" s="30"/>
      <c r="E1985" s="33"/>
      <c r="F1985" s="89"/>
    </row>
    <row r="1986" spans="2:6" s="6" customFormat="1" x14ac:dyDescent="0.3">
      <c r="B1986" s="29"/>
      <c r="C1986" s="29"/>
      <c r="D1986" s="30"/>
      <c r="E1986" s="33"/>
      <c r="F1986" s="89"/>
    </row>
    <row r="1987" spans="2:6" s="6" customFormat="1" x14ac:dyDescent="0.3">
      <c r="B1987" s="29"/>
      <c r="C1987" s="29"/>
      <c r="D1987" s="30"/>
      <c r="E1987" s="33"/>
      <c r="F1987" s="89"/>
    </row>
    <row r="1988" spans="2:6" s="6" customFormat="1" x14ac:dyDescent="0.3">
      <c r="B1988" s="29"/>
      <c r="C1988" s="29"/>
      <c r="D1988" s="30"/>
      <c r="E1988" s="33"/>
      <c r="F1988" s="89"/>
    </row>
    <row r="1989" spans="2:6" s="6" customFormat="1" x14ac:dyDescent="0.3">
      <c r="B1989" s="29"/>
      <c r="C1989" s="29"/>
      <c r="D1989" s="30"/>
      <c r="E1989" s="33"/>
      <c r="F1989" s="89"/>
    </row>
    <row r="1990" spans="2:6" s="6" customFormat="1" x14ac:dyDescent="0.3">
      <c r="B1990" s="29"/>
      <c r="C1990" s="29"/>
      <c r="D1990" s="30"/>
      <c r="E1990" s="33"/>
      <c r="F1990" s="89"/>
    </row>
    <row r="1991" spans="2:6" s="6" customFormat="1" x14ac:dyDescent="0.3">
      <c r="B1991" s="29"/>
      <c r="C1991" s="29"/>
      <c r="D1991" s="30"/>
      <c r="E1991" s="33"/>
      <c r="F1991" s="89"/>
    </row>
    <row r="1992" spans="2:6" s="6" customFormat="1" x14ac:dyDescent="0.3">
      <c r="B1992" s="29"/>
      <c r="C1992" s="29"/>
      <c r="D1992" s="30"/>
      <c r="E1992" s="33"/>
      <c r="F1992" s="89"/>
    </row>
    <row r="1993" spans="2:6" s="6" customFormat="1" x14ac:dyDescent="0.3">
      <c r="B1993" s="29"/>
      <c r="C1993" s="29"/>
      <c r="D1993" s="30"/>
      <c r="E1993" s="33"/>
      <c r="F1993" s="89"/>
    </row>
    <row r="1994" spans="2:6" s="6" customFormat="1" x14ac:dyDescent="0.3">
      <c r="B1994" s="29"/>
      <c r="C1994" s="29"/>
      <c r="D1994" s="30"/>
      <c r="E1994" s="33"/>
      <c r="F1994" s="89"/>
    </row>
    <row r="1995" spans="2:6" s="6" customFormat="1" x14ac:dyDescent="0.3">
      <c r="B1995" s="29"/>
      <c r="C1995" s="29"/>
      <c r="D1995" s="30"/>
      <c r="E1995" s="33"/>
      <c r="F1995" s="89"/>
    </row>
    <row r="1996" spans="2:6" s="6" customFormat="1" x14ac:dyDescent="0.3">
      <c r="B1996" s="29"/>
      <c r="C1996" s="29"/>
      <c r="D1996" s="30"/>
      <c r="E1996" s="33"/>
      <c r="F1996" s="89"/>
    </row>
    <row r="1997" spans="2:6" s="6" customFormat="1" x14ac:dyDescent="0.3">
      <c r="B1997" s="29"/>
      <c r="C1997" s="29"/>
      <c r="D1997" s="30"/>
      <c r="E1997" s="33"/>
      <c r="F1997" s="89"/>
    </row>
    <row r="1998" spans="2:6" s="6" customFormat="1" x14ac:dyDescent="0.3">
      <c r="B1998" s="29"/>
      <c r="C1998" s="29"/>
      <c r="D1998" s="30"/>
      <c r="E1998" s="33"/>
      <c r="F1998" s="89"/>
    </row>
    <row r="1999" spans="2:6" s="6" customFormat="1" x14ac:dyDescent="0.3">
      <c r="B1999" s="29"/>
      <c r="C1999" s="29"/>
      <c r="D1999" s="30"/>
      <c r="E1999" s="33"/>
      <c r="F1999" s="89"/>
    </row>
    <row r="2000" spans="2:6" s="6" customFormat="1" x14ac:dyDescent="0.3">
      <c r="B2000" s="29"/>
      <c r="C2000" s="29"/>
      <c r="D2000" s="30"/>
      <c r="E2000" s="33"/>
      <c r="F2000" s="89"/>
    </row>
    <row r="2001" spans="2:6" s="6" customFormat="1" x14ac:dyDescent="0.3">
      <c r="B2001" s="29"/>
      <c r="C2001" s="29"/>
      <c r="D2001" s="30"/>
      <c r="E2001" s="33"/>
      <c r="F2001" s="89"/>
    </row>
    <row r="2002" spans="2:6" s="6" customFormat="1" x14ac:dyDescent="0.3">
      <c r="B2002" s="29"/>
      <c r="C2002" s="29"/>
      <c r="D2002" s="30"/>
      <c r="E2002" s="33"/>
      <c r="F2002" s="89"/>
    </row>
    <row r="2003" spans="2:6" s="6" customFormat="1" x14ac:dyDescent="0.3">
      <c r="B2003" s="29"/>
      <c r="C2003" s="29"/>
      <c r="D2003" s="30"/>
      <c r="E2003" s="33"/>
      <c r="F2003" s="89"/>
    </row>
    <row r="2004" spans="2:6" s="6" customFormat="1" x14ac:dyDescent="0.3">
      <c r="B2004" s="29"/>
      <c r="C2004" s="29"/>
      <c r="D2004" s="30"/>
      <c r="E2004" s="33"/>
      <c r="F2004" s="89"/>
    </row>
    <row r="2005" spans="2:6" s="6" customFormat="1" x14ac:dyDescent="0.3">
      <c r="B2005" s="29"/>
      <c r="C2005" s="29"/>
      <c r="D2005" s="30"/>
      <c r="E2005" s="33"/>
      <c r="F2005" s="89"/>
    </row>
    <row r="2006" spans="2:6" s="6" customFormat="1" x14ac:dyDescent="0.3">
      <c r="B2006" s="29"/>
      <c r="C2006" s="29"/>
      <c r="D2006" s="30"/>
      <c r="E2006" s="33"/>
      <c r="F2006" s="89"/>
    </row>
    <row r="2007" spans="2:6" s="6" customFormat="1" x14ac:dyDescent="0.3">
      <c r="B2007" s="29"/>
      <c r="C2007" s="29"/>
      <c r="D2007" s="30"/>
      <c r="E2007" s="33"/>
      <c r="F2007" s="89"/>
    </row>
    <row r="2008" spans="2:6" s="6" customFormat="1" x14ac:dyDescent="0.3">
      <c r="B2008" s="29"/>
      <c r="C2008" s="29"/>
      <c r="D2008" s="30"/>
      <c r="E2008" s="33"/>
      <c r="F2008" s="89"/>
    </row>
    <row r="2009" spans="2:6" s="6" customFormat="1" x14ac:dyDescent="0.3">
      <c r="B2009" s="29"/>
      <c r="C2009" s="29"/>
      <c r="D2009" s="30"/>
      <c r="E2009" s="33"/>
      <c r="F2009" s="89"/>
    </row>
    <row r="2010" spans="2:6" s="6" customFormat="1" x14ac:dyDescent="0.3">
      <c r="B2010" s="29"/>
      <c r="C2010" s="29"/>
      <c r="D2010" s="30"/>
      <c r="E2010" s="33"/>
      <c r="F2010" s="89"/>
    </row>
    <row r="2011" spans="2:6" s="6" customFormat="1" x14ac:dyDescent="0.3">
      <c r="B2011" s="29"/>
      <c r="C2011" s="29"/>
      <c r="D2011" s="30"/>
      <c r="E2011" s="33"/>
      <c r="F2011" s="89"/>
    </row>
    <row r="2012" spans="2:6" s="6" customFormat="1" x14ac:dyDescent="0.3">
      <c r="B2012" s="29"/>
      <c r="C2012" s="29"/>
      <c r="D2012" s="30"/>
      <c r="E2012" s="33"/>
      <c r="F2012" s="89"/>
    </row>
    <row r="2013" spans="2:6" s="6" customFormat="1" x14ac:dyDescent="0.3">
      <c r="B2013" s="29"/>
      <c r="C2013" s="29"/>
      <c r="D2013" s="30"/>
      <c r="E2013" s="33"/>
      <c r="F2013" s="89"/>
    </row>
    <row r="2014" spans="2:6" s="6" customFormat="1" x14ac:dyDescent="0.3">
      <c r="B2014" s="29"/>
      <c r="C2014" s="29"/>
      <c r="D2014" s="30"/>
      <c r="E2014" s="33"/>
      <c r="F2014" s="89"/>
    </row>
    <row r="2015" spans="2:6" s="6" customFormat="1" x14ac:dyDescent="0.3">
      <c r="B2015" s="29"/>
      <c r="C2015" s="29"/>
      <c r="D2015" s="30"/>
      <c r="E2015" s="33"/>
      <c r="F2015" s="89"/>
    </row>
    <row r="2016" spans="2:6" s="6" customFormat="1" x14ac:dyDescent="0.3">
      <c r="B2016" s="29"/>
      <c r="C2016" s="29"/>
      <c r="D2016" s="30"/>
      <c r="E2016" s="33"/>
      <c r="F2016" s="89"/>
    </row>
    <row r="2017" spans="2:6" s="6" customFormat="1" x14ac:dyDescent="0.3">
      <c r="B2017" s="29"/>
      <c r="C2017" s="29"/>
      <c r="D2017" s="30"/>
      <c r="E2017" s="33"/>
      <c r="F2017" s="89"/>
    </row>
    <row r="2018" spans="2:6" s="6" customFormat="1" x14ac:dyDescent="0.3">
      <c r="B2018" s="29"/>
      <c r="C2018" s="29"/>
      <c r="D2018" s="30"/>
      <c r="E2018" s="33"/>
      <c r="F2018" s="89"/>
    </row>
    <row r="2019" spans="2:6" s="6" customFormat="1" x14ac:dyDescent="0.3">
      <c r="B2019" s="29"/>
      <c r="C2019" s="29"/>
      <c r="D2019" s="30"/>
      <c r="E2019" s="33"/>
      <c r="F2019" s="89"/>
    </row>
    <row r="2020" spans="2:6" s="6" customFormat="1" x14ac:dyDescent="0.3">
      <c r="B2020" s="29"/>
      <c r="C2020" s="29"/>
      <c r="D2020" s="30"/>
      <c r="E2020" s="33"/>
      <c r="F2020" s="89"/>
    </row>
    <row r="2021" spans="2:6" s="6" customFormat="1" x14ac:dyDescent="0.3">
      <c r="B2021" s="29"/>
      <c r="C2021" s="29"/>
      <c r="D2021" s="30"/>
      <c r="E2021" s="33"/>
      <c r="F2021" s="89"/>
    </row>
    <row r="2022" spans="2:6" s="6" customFormat="1" x14ac:dyDescent="0.3">
      <c r="B2022" s="29"/>
      <c r="C2022" s="29"/>
      <c r="D2022" s="30"/>
      <c r="E2022" s="33"/>
      <c r="F2022" s="89"/>
    </row>
    <row r="2023" spans="2:6" s="6" customFormat="1" x14ac:dyDescent="0.3">
      <c r="B2023" s="29"/>
      <c r="C2023" s="29"/>
      <c r="D2023" s="30"/>
      <c r="E2023" s="33"/>
      <c r="F2023" s="89"/>
    </row>
    <row r="2024" spans="2:6" s="6" customFormat="1" x14ac:dyDescent="0.3">
      <c r="B2024" s="29"/>
      <c r="C2024" s="29"/>
      <c r="D2024" s="30"/>
      <c r="E2024" s="33"/>
      <c r="F2024" s="89"/>
    </row>
    <row r="2025" spans="2:6" s="6" customFormat="1" x14ac:dyDescent="0.3">
      <c r="B2025" s="29"/>
      <c r="C2025" s="29"/>
      <c r="D2025" s="30"/>
      <c r="E2025" s="33"/>
      <c r="F2025" s="89"/>
    </row>
    <row r="2026" spans="2:6" s="6" customFormat="1" x14ac:dyDescent="0.3">
      <c r="B2026" s="29"/>
      <c r="C2026" s="29"/>
      <c r="D2026" s="30"/>
      <c r="E2026" s="33"/>
      <c r="F2026" s="89"/>
    </row>
    <row r="2027" spans="2:6" s="6" customFormat="1" x14ac:dyDescent="0.3">
      <c r="B2027" s="29"/>
      <c r="C2027" s="29"/>
      <c r="D2027" s="30"/>
      <c r="E2027" s="33"/>
      <c r="F2027" s="89"/>
    </row>
    <row r="2028" spans="2:6" s="6" customFormat="1" x14ac:dyDescent="0.3">
      <c r="B2028" s="29"/>
      <c r="C2028" s="29"/>
      <c r="D2028" s="30"/>
      <c r="E2028" s="33"/>
      <c r="F2028" s="89"/>
    </row>
    <row r="2029" spans="2:6" s="6" customFormat="1" x14ac:dyDescent="0.3">
      <c r="B2029" s="29"/>
      <c r="C2029" s="29"/>
      <c r="D2029" s="30"/>
      <c r="E2029" s="33"/>
      <c r="F2029" s="89"/>
    </row>
    <row r="2030" spans="2:6" s="6" customFormat="1" x14ac:dyDescent="0.3">
      <c r="B2030" s="29"/>
      <c r="C2030" s="29"/>
      <c r="D2030" s="30"/>
      <c r="E2030" s="33"/>
      <c r="F2030" s="89"/>
    </row>
    <row r="2031" spans="2:6" s="6" customFormat="1" x14ac:dyDescent="0.3">
      <c r="B2031" s="29"/>
      <c r="C2031" s="29"/>
      <c r="D2031" s="30"/>
      <c r="E2031" s="33"/>
      <c r="F2031" s="89"/>
    </row>
    <row r="2032" spans="2:6" s="6" customFormat="1" x14ac:dyDescent="0.3">
      <c r="B2032" s="29"/>
      <c r="C2032" s="29"/>
      <c r="D2032" s="30"/>
      <c r="E2032" s="33"/>
      <c r="F2032" s="89"/>
    </row>
    <row r="2033" spans="2:6" s="6" customFormat="1" x14ac:dyDescent="0.3">
      <c r="B2033" s="29"/>
      <c r="C2033" s="29"/>
      <c r="D2033" s="30"/>
      <c r="E2033" s="33"/>
      <c r="F2033" s="89"/>
    </row>
    <row r="2034" spans="2:6" s="6" customFormat="1" x14ac:dyDescent="0.3">
      <c r="B2034" s="29"/>
      <c r="C2034" s="29"/>
      <c r="D2034" s="30"/>
      <c r="E2034" s="33"/>
      <c r="F2034" s="89"/>
    </row>
    <row r="2035" spans="2:6" s="6" customFormat="1" x14ac:dyDescent="0.3">
      <c r="B2035" s="29"/>
      <c r="C2035" s="29"/>
      <c r="D2035" s="30"/>
      <c r="E2035" s="33"/>
      <c r="F2035" s="89"/>
    </row>
    <row r="2036" spans="2:6" s="6" customFormat="1" x14ac:dyDescent="0.3">
      <c r="B2036" s="29"/>
      <c r="C2036" s="29"/>
      <c r="D2036" s="30"/>
      <c r="E2036" s="33"/>
      <c r="F2036" s="89"/>
    </row>
    <row r="2037" spans="2:6" s="6" customFormat="1" x14ac:dyDescent="0.3">
      <c r="B2037" s="29"/>
      <c r="C2037" s="29"/>
      <c r="D2037" s="30"/>
      <c r="E2037" s="33"/>
      <c r="F2037" s="89"/>
    </row>
    <row r="2038" spans="2:6" s="6" customFormat="1" x14ac:dyDescent="0.3">
      <c r="B2038" s="29"/>
      <c r="C2038" s="29"/>
      <c r="D2038" s="30"/>
      <c r="E2038" s="33"/>
      <c r="F2038" s="89"/>
    </row>
    <row r="2039" spans="2:6" s="6" customFormat="1" x14ac:dyDescent="0.3">
      <c r="B2039" s="29"/>
      <c r="C2039" s="29"/>
      <c r="D2039" s="30"/>
      <c r="E2039" s="33"/>
      <c r="F2039" s="89"/>
    </row>
    <row r="2040" spans="2:6" s="6" customFormat="1" x14ac:dyDescent="0.3">
      <c r="B2040" s="29"/>
      <c r="C2040" s="29"/>
      <c r="D2040" s="30"/>
      <c r="E2040" s="33"/>
      <c r="F2040" s="89"/>
    </row>
    <row r="2041" spans="2:6" s="6" customFormat="1" x14ac:dyDescent="0.3">
      <c r="B2041" s="29"/>
      <c r="C2041" s="29"/>
      <c r="D2041" s="30"/>
      <c r="E2041" s="33"/>
      <c r="F2041" s="89"/>
    </row>
    <row r="2042" spans="2:6" s="6" customFormat="1" x14ac:dyDescent="0.3">
      <c r="B2042" s="29"/>
      <c r="C2042" s="29"/>
      <c r="D2042" s="30"/>
      <c r="E2042" s="33"/>
      <c r="F2042" s="89"/>
    </row>
    <row r="2043" spans="2:6" s="6" customFormat="1" x14ac:dyDescent="0.3">
      <c r="B2043" s="29"/>
      <c r="C2043" s="29"/>
      <c r="D2043" s="30"/>
      <c r="E2043" s="33"/>
      <c r="F2043" s="89"/>
    </row>
    <row r="2044" spans="2:6" s="6" customFormat="1" x14ac:dyDescent="0.3">
      <c r="B2044" s="29"/>
      <c r="C2044" s="29"/>
      <c r="D2044" s="30"/>
      <c r="E2044" s="33"/>
      <c r="F2044" s="89"/>
    </row>
    <row r="2045" spans="2:6" s="6" customFormat="1" x14ac:dyDescent="0.3">
      <c r="B2045" s="29"/>
      <c r="C2045" s="29"/>
      <c r="D2045" s="30"/>
      <c r="E2045" s="33"/>
      <c r="F2045" s="89"/>
    </row>
    <row r="2046" spans="2:6" s="6" customFormat="1" x14ac:dyDescent="0.3">
      <c r="B2046" s="29"/>
      <c r="C2046" s="29"/>
      <c r="D2046" s="30"/>
      <c r="E2046" s="33"/>
      <c r="F2046" s="89"/>
    </row>
    <row r="2047" spans="2:6" s="6" customFormat="1" x14ac:dyDescent="0.3">
      <c r="B2047" s="29"/>
      <c r="C2047" s="29"/>
      <c r="D2047" s="30"/>
      <c r="E2047" s="33"/>
      <c r="F2047" s="89"/>
    </row>
    <row r="2048" spans="2:6" s="6" customFormat="1" x14ac:dyDescent="0.3">
      <c r="B2048" s="29"/>
      <c r="C2048" s="29"/>
      <c r="D2048" s="30"/>
      <c r="E2048" s="33"/>
      <c r="F2048" s="89"/>
    </row>
    <row r="2049" spans="2:6" s="6" customFormat="1" x14ac:dyDescent="0.3">
      <c r="B2049" s="29"/>
      <c r="C2049" s="29"/>
      <c r="D2049" s="30"/>
      <c r="E2049" s="33"/>
      <c r="F2049" s="89"/>
    </row>
    <row r="2050" spans="2:6" s="6" customFormat="1" x14ac:dyDescent="0.3">
      <c r="B2050" s="29"/>
      <c r="C2050" s="29"/>
      <c r="D2050" s="30"/>
      <c r="E2050" s="33"/>
      <c r="F2050" s="89"/>
    </row>
    <row r="2051" spans="2:6" s="6" customFormat="1" x14ac:dyDescent="0.3">
      <c r="B2051" s="29"/>
      <c r="C2051" s="29"/>
      <c r="D2051" s="30"/>
      <c r="E2051" s="33"/>
      <c r="F2051" s="89"/>
    </row>
    <row r="2052" spans="2:6" s="6" customFormat="1" x14ac:dyDescent="0.3">
      <c r="B2052" s="29"/>
      <c r="C2052" s="29"/>
      <c r="D2052" s="30"/>
      <c r="E2052" s="33"/>
      <c r="F2052" s="89"/>
    </row>
    <row r="2053" spans="2:6" s="6" customFormat="1" x14ac:dyDescent="0.3">
      <c r="B2053" s="29"/>
      <c r="C2053" s="29"/>
      <c r="D2053" s="30"/>
      <c r="E2053" s="33"/>
      <c r="F2053" s="89"/>
    </row>
    <row r="2054" spans="2:6" s="6" customFormat="1" x14ac:dyDescent="0.3">
      <c r="B2054" s="29"/>
      <c r="C2054" s="29"/>
      <c r="D2054" s="30"/>
      <c r="E2054" s="33"/>
      <c r="F2054" s="89"/>
    </row>
    <row r="2055" spans="2:6" s="6" customFormat="1" x14ac:dyDescent="0.3">
      <c r="B2055" s="29"/>
      <c r="C2055" s="29"/>
      <c r="D2055" s="30"/>
      <c r="E2055" s="33"/>
      <c r="F2055" s="89"/>
    </row>
    <row r="2056" spans="2:6" s="6" customFormat="1" x14ac:dyDescent="0.3">
      <c r="B2056" s="29"/>
      <c r="C2056" s="29"/>
      <c r="D2056" s="30"/>
      <c r="E2056" s="33"/>
      <c r="F2056" s="89"/>
    </row>
    <row r="2057" spans="2:6" s="6" customFormat="1" x14ac:dyDescent="0.3">
      <c r="B2057" s="29"/>
      <c r="C2057" s="29"/>
      <c r="D2057" s="30"/>
      <c r="E2057" s="33"/>
      <c r="F2057" s="89"/>
    </row>
    <row r="2058" spans="2:6" s="6" customFormat="1" x14ac:dyDescent="0.3">
      <c r="B2058" s="29"/>
      <c r="C2058" s="29"/>
      <c r="D2058" s="30"/>
      <c r="E2058" s="33"/>
      <c r="F2058" s="89"/>
    </row>
    <row r="2059" spans="2:6" s="6" customFormat="1" x14ac:dyDescent="0.3">
      <c r="B2059" s="29"/>
      <c r="C2059" s="29"/>
      <c r="D2059" s="30"/>
      <c r="E2059" s="33"/>
      <c r="F2059" s="89"/>
    </row>
    <row r="2060" spans="2:6" s="6" customFormat="1" x14ac:dyDescent="0.3">
      <c r="B2060" s="29"/>
      <c r="C2060" s="29"/>
      <c r="D2060" s="30"/>
      <c r="E2060" s="33"/>
      <c r="F2060" s="89"/>
    </row>
    <row r="2061" spans="2:6" s="6" customFormat="1" x14ac:dyDescent="0.3">
      <c r="B2061" s="29"/>
      <c r="C2061" s="29"/>
      <c r="D2061" s="30"/>
      <c r="E2061" s="33"/>
      <c r="F2061" s="89"/>
    </row>
    <row r="2062" spans="2:6" s="6" customFormat="1" x14ac:dyDescent="0.3">
      <c r="B2062" s="29"/>
      <c r="C2062" s="29"/>
      <c r="D2062" s="30"/>
      <c r="E2062" s="33"/>
      <c r="F2062" s="89"/>
    </row>
    <row r="2063" spans="2:6" s="6" customFormat="1" x14ac:dyDescent="0.3">
      <c r="B2063" s="29"/>
      <c r="C2063" s="29"/>
      <c r="D2063" s="30"/>
      <c r="E2063" s="33"/>
      <c r="F2063" s="89"/>
    </row>
    <row r="2064" spans="2:6" s="6" customFormat="1" x14ac:dyDescent="0.3">
      <c r="B2064" s="29"/>
      <c r="C2064" s="29"/>
      <c r="D2064" s="30"/>
      <c r="E2064" s="33"/>
      <c r="F2064" s="89"/>
    </row>
    <row r="2065" spans="2:6" s="6" customFormat="1" x14ac:dyDescent="0.3">
      <c r="B2065" s="29"/>
      <c r="C2065" s="29"/>
      <c r="D2065" s="30"/>
      <c r="E2065" s="33"/>
      <c r="F2065" s="89"/>
    </row>
    <row r="2066" spans="2:6" s="6" customFormat="1" x14ac:dyDescent="0.3">
      <c r="B2066" s="29"/>
      <c r="C2066" s="29"/>
      <c r="D2066" s="30"/>
      <c r="E2066" s="33"/>
      <c r="F2066" s="89"/>
    </row>
    <row r="2067" spans="2:6" s="6" customFormat="1" x14ac:dyDescent="0.3">
      <c r="B2067" s="29"/>
      <c r="C2067" s="29"/>
      <c r="D2067" s="30"/>
      <c r="E2067" s="33"/>
      <c r="F2067" s="89"/>
    </row>
    <row r="2068" spans="2:6" s="6" customFormat="1" x14ac:dyDescent="0.3">
      <c r="B2068" s="29"/>
      <c r="C2068" s="29"/>
      <c r="D2068" s="30"/>
      <c r="E2068" s="33"/>
      <c r="F2068" s="89"/>
    </row>
    <row r="2069" spans="2:6" s="6" customFormat="1" x14ac:dyDescent="0.3">
      <c r="B2069" s="29"/>
      <c r="C2069" s="29"/>
      <c r="D2069" s="30"/>
      <c r="E2069" s="33"/>
      <c r="F2069" s="89"/>
    </row>
    <row r="2070" spans="2:6" s="6" customFormat="1" x14ac:dyDescent="0.3">
      <c r="B2070" s="29"/>
      <c r="C2070" s="29"/>
      <c r="D2070" s="30"/>
      <c r="E2070" s="33"/>
      <c r="F2070" s="89"/>
    </row>
    <row r="2071" spans="2:6" s="6" customFormat="1" x14ac:dyDescent="0.3">
      <c r="B2071" s="29"/>
      <c r="C2071" s="29"/>
      <c r="D2071" s="30"/>
      <c r="E2071" s="33"/>
      <c r="F2071" s="89"/>
    </row>
    <row r="2072" spans="2:6" s="6" customFormat="1" x14ac:dyDescent="0.3">
      <c r="B2072" s="29"/>
      <c r="C2072" s="29"/>
      <c r="D2072" s="30"/>
      <c r="E2072" s="33"/>
      <c r="F2072" s="89"/>
    </row>
    <row r="2073" spans="2:6" s="6" customFormat="1" x14ac:dyDescent="0.3">
      <c r="B2073" s="29"/>
      <c r="C2073" s="29"/>
      <c r="D2073" s="30"/>
      <c r="E2073" s="33"/>
      <c r="F2073" s="89"/>
    </row>
    <row r="2074" spans="2:6" s="6" customFormat="1" x14ac:dyDescent="0.3">
      <c r="B2074" s="29"/>
      <c r="C2074" s="29"/>
      <c r="D2074" s="30"/>
      <c r="E2074" s="33"/>
      <c r="F2074" s="89"/>
    </row>
    <row r="2075" spans="2:6" s="6" customFormat="1" x14ac:dyDescent="0.3">
      <c r="B2075" s="29"/>
      <c r="C2075" s="29"/>
      <c r="D2075" s="30"/>
      <c r="E2075" s="33"/>
      <c r="F2075" s="89"/>
    </row>
    <row r="2076" spans="2:6" s="6" customFormat="1" x14ac:dyDescent="0.3">
      <c r="B2076" s="29"/>
      <c r="C2076" s="29"/>
      <c r="D2076" s="30"/>
      <c r="E2076" s="33"/>
      <c r="F2076" s="89"/>
    </row>
    <row r="2077" spans="2:6" s="6" customFormat="1" x14ac:dyDescent="0.3">
      <c r="B2077" s="29"/>
      <c r="C2077" s="29"/>
      <c r="D2077" s="30"/>
      <c r="E2077" s="33"/>
      <c r="F2077" s="89"/>
    </row>
    <row r="2078" spans="2:6" s="6" customFormat="1" x14ac:dyDescent="0.3">
      <c r="B2078" s="29"/>
      <c r="C2078" s="29"/>
      <c r="D2078" s="30"/>
      <c r="E2078" s="33"/>
      <c r="F2078" s="89"/>
    </row>
    <row r="2079" spans="2:6" s="6" customFormat="1" x14ac:dyDescent="0.3">
      <c r="B2079" s="29"/>
      <c r="C2079" s="29"/>
      <c r="D2079" s="30"/>
      <c r="E2079" s="33"/>
      <c r="F2079" s="89"/>
    </row>
    <row r="2080" spans="2:6" s="6" customFormat="1" x14ac:dyDescent="0.3">
      <c r="B2080" s="29"/>
      <c r="C2080" s="29"/>
      <c r="D2080" s="30"/>
      <c r="E2080" s="33"/>
      <c r="F2080" s="89"/>
    </row>
    <row r="2081" spans="2:6" s="6" customFormat="1" x14ac:dyDescent="0.3">
      <c r="B2081" s="29"/>
      <c r="C2081" s="29"/>
      <c r="D2081" s="30"/>
      <c r="E2081" s="33"/>
      <c r="F2081" s="89"/>
    </row>
    <row r="2082" spans="2:6" s="6" customFormat="1" x14ac:dyDescent="0.3">
      <c r="B2082" s="29"/>
      <c r="C2082" s="29"/>
      <c r="D2082" s="30"/>
      <c r="E2082" s="33"/>
      <c r="F2082" s="89"/>
    </row>
    <row r="2083" spans="2:6" s="6" customFormat="1" x14ac:dyDescent="0.3">
      <c r="B2083" s="29"/>
      <c r="C2083" s="29"/>
      <c r="D2083" s="30"/>
      <c r="E2083" s="33"/>
      <c r="F2083" s="89"/>
    </row>
    <row r="2084" spans="2:6" s="6" customFormat="1" x14ac:dyDescent="0.3">
      <c r="B2084" s="29"/>
      <c r="C2084" s="29"/>
      <c r="D2084" s="30"/>
      <c r="E2084" s="33"/>
      <c r="F2084" s="89"/>
    </row>
    <row r="2085" spans="2:6" s="6" customFormat="1" x14ac:dyDescent="0.3">
      <c r="B2085" s="29"/>
      <c r="C2085" s="29"/>
      <c r="D2085" s="30"/>
      <c r="E2085" s="33"/>
      <c r="F2085" s="89"/>
    </row>
    <row r="2086" spans="2:6" s="6" customFormat="1" x14ac:dyDescent="0.3">
      <c r="B2086" s="29"/>
      <c r="C2086" s="29"/>
      <c r="D2086" s="30"/>
      <c r="E2086" s="33"/>
      <c r="F2086" s="89"/>
    </row>
    <row r="2087" spans="2:6" s="6" customFormat="1" x14ac:dyDescent="0.3">
      <c r="B2087" s="29"/>
      <c r="C2087" s="29"/>
      <c r="D2087" s="30"/>
      <c r="E2087" s="33"/>
      <c r="F2087" s="89"/>
    </row>
    <row r="2088" spans="2:6" s="6" customFormat="1" x14ac:dyDescent="0.3">
      <c r="B2088" s="29"/>
      <c r="C2088" s="29"/>
      <c r="D2088" s="30"/>
      <c r="E2088" s="33"/>
      <c r="F2088" s="89"/>
    </row>
    <row r="2089" spans="2:6" s="6" customFormat="1" x14ac:dyDescent="0.3">
      <c r="B2089" s="29"/>
      <c r="C2089" s="29"/>
      <c r="D2089" s="30"/>
      <c r="E2089" s="33"/>
      <c r="F2089" s="89"/>
    </row>
    <row r="2090" spans="2:6" s="6" customFormat="1" x14ac:dyDescent="0.3">
      <c r="B2090" s="29"/>
      <c r="C2090" s="29"/>
      <c r="D2090" s="30"/>
      <c r="E2090" s="33"/>
      <c r="F2090" s="89"/>
    </row>
    <row r="2091" spans="2:6" s="6" customFormat="1" x14ac:dyDescent="0.3">
      <c r="B2091" s="29"/>
      <c r="C2091" s="29"/>
      <c r="D2091" s="30"/>
      <c r="E2091" s="33"/>
      <c r="F2091" s="89"/>
    </row>
    <row r="2092" spans="2:6" s="6" customFormat="1" x14ac:dyDescent="0.3">
      <c r="B2092" s="29"/>
      <c r="C2092" s="29"/>
      <c r="D2092" s="30"/>
      <c r="E2092" s="33"/>
      <c r="F2092" s="89"/>
    </row>
    <row r="2093" spans="2:6" s="6" customFormat="1" x14ac:dyDescent="0.3">
      <c r="B2093" s="29"/>
      <c r="C2093" s="29"/>
      <c r="D2093" s="30"/>
      <c r="E2093" s="33"/>
      <c r="F2093" s="89"/>
    </row>
    <row r="2094" spans="2:6" s="6" customFormat="1" x14ac:dyDescent="0.3">
      <c r="B2094" s="29"/>
      <c r="C2094" s="29"/>
      <c r="D2094" s="30"/>
      <c r="E2094" s="33"/>
      <c r="F2094" s="89"/>
    </row>
    <row r="2095" spans="2:6" s="6" customFormat="1" x14ac:dyDescent="0.3">
      <c r="B2095" s="29"/>
      <c r="C2095" s="29"/>
      <c r="D2095" s="30"/>
      <c r="E2095" s="33"/>
      <c r="F2095" s="89"/>
    </row>
    <row r="2096" spans="2:6" s="6" customFormat="1" x14ac:dyDescent="0.3">
      <c r="B2096" s="29"/>
      <c r="C2096" s="29"/>
      <c r="D2096" s="30"/>
      <c r="E2096" s="33"/>
      <c r="F2096" s="89"/>
    </row>
    <row r="2097" spans="2:6" s="6" customFormat="1" x14ac:dyDescent="0.3">
      <c r="B2097" s="29"/>
      <c r="C2097" s="29"/>
      <c r="D2097" s="30"/>
      <c r="E2097" s="33"/>
      <c r="F2097" s="89"/>
    </row>
    <row r="2098" spans="2:6" s="6" customFormat="1" x14ac:dyDescent="0.3">
      <c r="B2098" s="29"/>
      <c r="C2098" s="29"/>
      <c r="D2098" s="30"/>
      <c r="E2098" s="33"/>
      <c r="F2098" s="89"/>
    </row>
    <row r="2099" spans="2:6" s="6" customFormat="1" x14ac:dyDescent="0.3">
      <c r="B2099" s="29"/>
      <c r="C2099" s="29"/>
      <c r="D2099" s="30"/>
      <c r="E2099" s="33"/>
      <c r="F2099" s="89"/>
    </row>
    <row r="2100" spans="2:6" s="6" customFormat="1" x14ac:dyDescent="0.3">
      <c r="B2100" s="29"/>
      <c r="C2100" s="29"/>
      <c r="D2100" s="30"/>
      <c r="E2100" s="33"/>
      <c r="F2100" s="89"/>
    </row>
    <row r="2101" spans="2:6" s="6" customFormat="1" x14ac:dyDescent="0.3">
      <c r="B2101" s="29"/>
      <c r="C2101" s="29"/>
      <c r="D2101" s="30"/>
      <c r="E2101" s="33"/>
      <c r="F2101" s="89"/>
    </row>
    <row r="2102" spans="2:6" s="6" customFormat="1" x14ac:dyDescent="0.3">
      <c r="B2102" s="29"/>
      <c r="C2102" s="29"/>
      <c r="D2102" s="30"/>
      <c r="E2102" s="33"/>
      <c r="F2102" s="89"/>
    </row>
    <row r="2103" spans="2:6" s="6" customFormat="1" x14ac:dyDescent="0.3">
      <c r="B2103" s="29"/>
      <c r="C2103" s="29"/>
      <c r="D2103" s="30"/>
      <c r="E2103" s="33"/>
      <c r="F2103" s="89"/>
    </row>
    <row r="2104" spans="2:6" s="6" customFormat="1" x14ac:dyDescent="0.3">
      <c r="B2104" s="29"/>
      <c r="C2104" s="29"/>
      <c r="D2104" s="30"/>
      <c r="E2104" s="33"/>
      <c r="F2104" s="89"/>
    </row>
    <row r="2105" spans="2:6" s="6" customFormat="1" x14ac:dyDescent="0.3">
      <c r="B2105" s="29"/>
      <c r="C2105" s="29"/>
      <c r="D2105" s="30"/>
      <c r="E2105" s="33"/>
      <c r="F2105" s="89"/>
    </row>
    <row r="2106" spans="2:6" s="6" customFormat="1" x14ac:dyDescent="0.3">
      <c r="B2106" s="29"/>
      <c r="C2106" s="29"/>
      <c r="D2106" s="30"/>
      <c r="E2106" s="33"/>
      <c r="F2106" s="89"/>
    </row>
    <row r="2107" spans="2:6" s="6" customFormat="1" x14ac:dyDescent="0.3">
      <c r="B2107" s="29"/>
      <c r="C2107" s="29"/>
      <c r="D2107" s="30"/>
      <c r="E2107" s="33"/>
      <c r="F2107" s="89"/>
    </row>
    <row r="2108" spans="2:6" s="6" customFormat="1" x14ac:dyDescent="0.3">
      <c r="B2108" s="29"/>
      <c r="C2108" s="29"/>
      <c r="D2108" s="30"/>
      <c r="E2108" s="33"/>
      <c r="F2108" s="89"/>
    </row>
    <row r="2109" spans="2:6" s="6" customFormat="1" x14ac:dyDescent="0.3">
      <c r="B2109" s="29"/>
      <c r="C2109" s="29"/>
      <c r="D2109" s="30"/>
      <c r="E2109" s="33"/>
      <c r="F2109" s="89"/>
    </row>
    <row r="2110" spans="2:6" s="6" customFormat="1" x14ac:dyDescent="0.3">
      <c r="B2110" s="29"/>
      <c r="C2110" s="29"/>
      <c r="D2110" s="30"/>
      <c r="E2110" s="33"/>
      <c r="F2110" s="89"/>
    </row>
    <row r="2111" spans="2:6" s="6" customFormat="1" x14ac:dyDescent="0.3">
      <c r="B2111" s="29"/>
      <c r="C2111" s="29"/>
      <c r="D2111" s="30"/>
      <c r="E2111" s="33"/>
      <c r="F2111" s="89"/>
    </row>
    <row r="2112" spans="2:6" s="6" customFormat="1" x14ac:dyDescent="0.3">
      <c r="B2112" s="29"/>
      <c r="C2112" s="29"/>
      <c r="D2112" s="30"/>
      <c r="E2112" s="33"/>
      <c r="F2112" s="89"/>
    </row>
    <row r="2113" spans="2:6" s="6" customFormat="1" x14ac:dyDescent="0.3">
      <c r="B2113" s="29"/>
      <c r="C2113" s="29"/>
      <c r="D2113" s="30"/>
      <c r="E2113" s="33"/>
      <c r="F2113" s="89"/>
    </row>
    <row r="2114" spans="2:6" s="6" customFormat="1" x14ac:dyDescent="0.3">
      <c r="B2114" s="29"/>
      <c r="C2114" s="29"/>
      <c r="D2114" s="30"/>
      <c r="E2114" s="33"/>
      <c r="F2114" s="89"/>
    </row>
    <row r="2115" spans="2:6" s="6" customFormat="1" x14ac:dyDescent="0.3">
      <c r="B2115" s="29"/>
      <c r="C2115" s="29"/>
      <c r="D2115" s="30"/>
      <c r="E2115" s="33"/>
      <c r="F2115" s="89"/>
    </row>
    <row r="2116" spans="2:6" s="6" customFormat="1" x14ac:dyDescent="0.3">
      <c r="B2116" s="29"/>
      <c r="C2116" s="29"/>
      <c r="D2116" s="30"/>
      <c r="E2116" s="33"/>
      <c r="F2116" s="89"/>
    </row>
    <row r="2117" spans="2:6" s="6" customFormat="1" x14ac:dyDescent="0.3">
      <c r="B2117" s="29"/>
      <c r="C2117" s="29"/>
      <c r="D2117" s="30"/>
      <c r="E2117" s="33"/>
      <c r="F2117" s="89"/>
    </row>
    <row r="2118" spans="2:6" s="6" customFormat="1" x14ac:dyDescent="0.3">
      <c r="B2118" s="29"/>
      <c r="C2118" s="29"/>
      <c r="D2118" s="30"/>
      <c r="E2118" s="33"/>
      <c r="F2118" s="89"/>
    </row>
    <row r="2119" spans="2:6" s="6" customFormat="1" x14ac:dyDescent="0.3">
      <c r="B2119" s="29"/>
      <c r="C2119" s="29"/>
      <c r="D2119" s="30"/>
      <c r="E2119" s="33"/>
      <c r="F2119" s="89"/>
    </row>
    <row r="2120" spans="2:6" s="6" customFormat="1" x14ac:dyDescent="0.3">
      <c r="B2120" s="29"/>
      <c r="C2120" s="29"/>
      <c r="D2120" s="30"/>
      <c r="E2120" s="33"/>
      <c r="F2120" s="89"/>
    </row>
    <row r="2121" spans="2:6" s="6" customFormat="1" x14ac:dyDescent="0.3">
      <c r="B2121" s="29"/>
      <c r="C2121" s="29"/>
      <c r="D2121" s="30"/>
      <c r="E2121" s="33"/>
      <c r="F2121" s="89"/>
    </row>
    <row r="2122" spans="2:6" s="6" customFormat="1" x14ac:dyDescent="0.3">
      <c r="B2122" s="29"/>
      <c r="C2122" s="29"/>
      <c r="D2122" s="30"/>
      <c r="E2122" s="33"/>
      <c r="F2122" s="89"/>
    </row>
    <row r="2123" spans="2:6" s="6" customFormat="1" x14ac:dyDescent="0.3">
      <c r="B2123" s="29"/>
      <c r="C2123" s="29"/>
      <c r="D2123" s="30"/>
      <c r="E2123" s="33"/>
      <c r="F2123" s="89"/>
    </row>
    <row r="2124" spans="2:6" s="6" customFormat="1" x14ac:dyDescent="0.3">
      <c r="B2124" s="29"/>
      <c r="C2124" s="29"/>
      <c r="D2124" s="30"/>
      <c r="E2124" s="33"/>
      <c r="F2124" s="89"/>
    </row>
    <row r="2125" spans="2:6" s="6" customFormat="1" x14ac:dyDescent="0.3">
      <c r="B2125" s="29"/>
      <c r="C2125" s="29"/>
      <c r="D2125" s="30"/>
      <c r="E2125" s="33"/>
      <c r="F2125" s="89"/>
    </row>
    <row r="2126" spans="2:6" s="6" customFormat="1" x14ac:dyDescent="0.3">
      <c r="B2126" s="29"/>
      <c r="C2126" s="29"/>
      <c r="D2126" s="30"/>
      <c r="E2126" s="33"/>
      <c r="F2126" s="89"/>
    </row>
    <row r="2127" spans="2:6" s="6" customFormat="1" x14ac:dyDescent="0.3">
      <c r="B2127" s="29"/>
      <c r="C2127" s="29"/>
      <c r="D2127" s="30"/>
      <c r="E2127" s="33"/>
      <c r="F2127" s="89"/>
    </row>
    <row r="2128" spans="2:6" s="6" customFormat="1" x14ac:dyDescent="0.3">
      <c r="B2128" s="29"/>
      <c r="C2128" s="29"/>
      <c r="D2128" s="30"/>
      <c r="E2128" s="33"/>
      <c r="F2128" s="89"/>
    </row>
    <row r="2129" spans="2:6" s="6" customFormat="1" x14ac:dyDescent="0.3">
      <c r="B2129" s="29"/>
      <c r="C2129" s="29"/>
      <c r="D2129" s="30"/>
      <c r="E2129" s="33"/>
      <c r="F2129" s="89"/>
    </row>
    <row r="2130" spans="2:6" s="6" customFormat="1" x14ac:dyDescent="0.3">
      <c r="B2130" s="29"/>
      <c r="C2130" s="29"/>
      <c r="D2130" s="30"/>
      <c r="E2130" s="33"/>
      <c r="F2130" s="89"/>
    </row>
    <row r="2131" spans="2:6" s="6" customFormat="1" x14ac:dyDescent="0.3">
      <c r="B2131" s="29"/>
      <c r="C2131" s="29"/>
      <c r="D2131" s="30"/>
      <c r="E2131" s="33"/>
      <c r="F2131" s="89"/>
    </row>
    <row r="2132" spans="2:6" s="6" customFormat="1" x14ac:dyDescent="0.3">
      <c r="B2132" s="29"/>
      <c r="C2132" s="29"/>
      <c r="D2132" s="30"/>
      <c r="E2132" s="33"/>
      <c r="F2132" s="89"/>
    </row>
    <row r="2133" spans="2:6" s="6" customFormat="1" x14ac:dyDescent="0.3">
      <c r="B2133" s="29"/>
      <c r="C2133" s="29"/>
      <c r="D2133" s="30"/>
      <c r="E2133" s="33"/>
      <c r="F2133" s="89"/>
    </row>
    <row r="2134" spans="2:6" s="6" customFormat="1" x14ac:dyDescent="0.3">
      <c r="B2134" s="29"/>
      <c r="C2134" s="29"/>
      <c r="D2134" s="30"/>
      <c r="E2134" s="33"/>
      <c r="F2134" s="89"/>
    </row>
    <row r="2135" spans="2:6" s="6" customFormat="1" x14ac:dyDescent="0.3">
      <c r="B2135" s="29"/>
      <c r="C2135" s="29"/>
      <c r="D2135" s="30"/>
      <c r="E2135" s="33"/>
      <c r="F2135" s="89"/>
    </row>
    <row r="2136" spans="2:6" s="6" customFormat="1" x14ac:dyDescent="0.3">
      <c r="B2136" s="29"/>
      <c r="C2136" s="29"/>
      <c r="D2136" s="30"/>
      <c r="E2136" s="33"/>
      <c r="F2136" s="89"/>
    </row>
    <row r="2137" spans="2:6" s="6" customFormat="1" x14ac:dyDescent="0.3">
      <c r="B2137" s="29"/>
      <c r="C2137" s="29"/>
      <c r="D2137" s="30"/>
      <c r="E2137" s="33"/>
      <c r="F2137" s="89"/>
    </row>
    <row r="2138" spans="2:6" s="6" customFormat="1" x14ac:dyDescent="0.3">
      <c r="B2138" s="29"/>
      <c r="C2138" s="29"/>
      <c r="D2138" s="30"/>
      <c r="E2138" s="33"/>
      <c r="F2138" s="89"/>
    </row>
    <row r="2139" spans="2:6" s="6" customFormat="1" x14ac:dyDescent="0.3">
      <c r="B2139" s="29"/>
      <c r="C2139" s="29"/>
      <c r="D2139" s="30"/>
      <c r="E2139" s="33"/>
      <c r="F2139" s="89"/>
    </row>
    <row r="2140" spans="2:6" s="6" customFormat="1" x14ac:dyDescent="0.3">
      <c r="B2140" s="29"/>
      <c r="C2140" s="29"/>
      <c r="D2140" s="30"/>
      <c r="E2140" s="33"/>
      <c r="F2140" s="89"/>
    </row>
    <row r="2141" spans="2:6" s="6" customFormat="1" x14ac:dyDescent="0.3">
      <c r="B2141" s="29"/>
      <c r="C2141" s="29"/>
      <c r="D2141" s="30"/>
      <c r="E2141" s="33"/>
      <c r="F2141" s="89"/>
    </row>
    <row r="2142" spans="2:6" s="6" customFormat="1" x14ac:dyDescent="0.3">
      <c r="B2142" s="29"/>
      <c r="C2142" s="29"/>
      <c r="D2142" s="30"/>
      <c r="E2142" s="33"/>
      <c r="F2142" s="89"/>
    </row>
    <row r="2143" spans="2:6" s="6" customFormat="1" x14ac:dyDescent="0.3">
      <c r="B2143" s="29"/>
      <c r="C2143" s="29"/>
      <c r="D2143" s="30"/>
      <c r="E2143" s="33"/>
      <c r="F2143" s="89"/>
    </row>
    <row r="2144" spans="2:6" s="6" customFormat="1" x14ac:dyDescent="0.3">
      <c r="B2144" s="29"/>
      <c r="C2144" s="29"/>
      <c r="D2144" s="30"/>
      <c r="E2144" s="33"/>
      <c r="F2144" s="89"/>
    </row>
    <row r="2145" spans="2:6" s="6" customFormat="1" x14ac:dyDescent="0.3">
      <c r="B2145" s="29"/>
      <c r="C2145" s="29"/>
      <c r="D2145" s="30"/>
      <c r="E2145" s="33"/>
      <c r="F2145" s="89"/>
    </row>
    <row r="2146" spans="2:6" s="6" customFormat="1" x14ac:dyDescent="0.3">
      <c r="B2146" s="29"/>
      <c r="C2146" s="29"/>
      <c r="D2146" s="30"/>
      <c r="E2146" s="33"/>
      <c r="F2146" s="89"/>
    </row>
    <row r="2147" spans="2:6" s="6" customFormat="1" x14ac:dyDescent="0.3">
      <c r="B2147" s="29"/>
      <c r="C2147" s="29"/>
      <c r="D2147" s="30"/>
      <c r="E2147" s="33"/>
      <c r="F2147" s="89"/>
    </row>
    <row r="2148" spans="2:6" s="6" customFormat="1" x14ac:dyDescent="0.3">
      <c r="B2148" s="29"/>
      <c r="C2148" s="29"/>
      <c r="D2148" s="30"/>
      <c r="E2148" s="33"/>
      <c r="F2148" s="89"/>
    </row>
    <row r="2149" spans="2:6" s="6" customFormat="1" x14ac:dyDescent="0.3">
      <c r="B2149" s="29"/>
      <c r="C2149" s="29"/>
      <c r="D2149" s="30"/>
      <c r="E2149" s="33"/>
      <c r="F2149" s="89"/>
    </row>
    <row r="2150" spans="2:6" s="6" customFormat="1" x14ac:dyDescent="0.3">
      <c r="B2150" s="29"/>
      <c r="C2150" s="29"/>
      <c r="D2150" s="30"/>
      <c r="E2150" s="33"/>
      <c r="F2150" s="89"/>
    </row>
    <row r="2151" spans="2:6" s="6" customFormat="1" x14ac:dyDescent="0.3">
      <c r="B2151" s="29"/>
      <c r="C2151" s="29"/>
      <c r="D2151" s="30"/>
      <c r="E2151" s="33"/>
      <c r="F2151" s="89"/>
    </row>
    <row r="2152" spans="2:6" s="6" customFormat="1" x14ac:dyDescent="0.3">
      <c r="B2152" s="29"/>
      <c r="C2152" s="29"/>
      <c r="D2152" s="30"/>
      <c r="E2152" s="33"/>
      <c r="F2152" s="89"/>
    </row>
    <row r="2153" spans="2:6" s="6" customFormat="1" x14ac:dyDescent="0.3">
      <c r="B2153" s="29"/>
      <c r="C2153" s="29"/>
      <c r="D2153" s="30"/>
      <c r="E2153" s="33"/>
      <c r="F2153" s="89"/>
    </row>
    <row r="2154" spans="2:6" s="6" customFormat="1" x14ac:dyDescent="0.3">
      <c r="B2154" s="29"/>
      <c r="C2154" s="29"/>
      <c r="D2154" s="30"/>
      <c r="E2154" s="33"/>
      <c r="F2154" s="89"/>
    </row>
    <row r="2155" spans="2:6" s="6" customFormat="1" x14ac:dyDescent="0.3">
      <c r="B2155" s="29"/>
      <c r="C2155" s="29"/>
      <c r="D2155" s="30"/>
      <c r="E2155" s="33"/>
      <c r="F2155" s="89"/>
    </row>
    <row r="2156" spans="2:6" s="6" customFormat="1" x14ac:dyDescent="0.3">
      <c r="B2156" s="29"/>
      <c r="C2156" s="29"/>
      <c r="D2156" s="30"/>
      <c r="E2156" s="33"/>
      <c r="F2156" s="89"/>
    </row>
    <row r="2157" spans="2:6" s="6" customFormat="1" x14ac:dyDescent="0.3">
      <c r="B2157" s="29"/>
      <c r="C2157" s="29"/>
      <c r="D2157" s="30"/>
      <c r="E2157" s="33"/>
      <c r="F2157" s="89"/>
    </row>
    <row r="2158" spans="2:6" s="6" customFormat="1" x14ac:dyDescent="0.3">
      <c r="B2158" s="29"/>
      <c r="C2158" s="29"/>
      <c r="D2158" s="30"/>
      <c r="E2158" s="33"/>
      <c r="F2158" s="89"/>
    </row>
    <row r="2159" spans="2:6" s="6" customFormat="1" x14ac:dyDescent="0.3">
      <c r="B2159" s="29"/>
      <c r="C2159" s="29"/>
      <c r="D2159" s="30"/>
      <c r="E2159" s="33"/>
      <c r="F2159" s="89"/>
    </row>
    <row r="2160" spans="2:6" s="6" customFormat="1" x14ac:dyDescent="0.3">
      <c r="B2160" s="29"/>
      <c r="C2160" s="29"/>
      <c r="D2160" s="30"/>
      <c r="E2160" s="33"/>
      <c r="F2160" s="89"/>
    </row>
    <row r="2161" spans="2:6" s="6" customFormat="1" x14ac:dyDescent="0.3">
      <c r="B2161" s="29"/>
      <c r="C2161" s="29"/>
      <c r="D2161" s="30"/>
      <c r="E2161" s="33"/>
      <c r="F2161" s="89"/>
    </row>
    <row r="2162" spans="2:6" s="6" customFormat="1" x14ac:dyDescent="0.3">
      <c r="B2162" s="29"/>
      <c r="C2162" s="29"/>
      <c r="D2162" s="30"/>
      <c r="E2162" s="33"/>
      <c r="F2162" s="89"/>
    </row>
    <row r="2163" spans="2:6" s="6" customFormat="1" x14ac:dyDescent="0.3">
      <c r="B2163" s="29"/>
      <c r="C2163" s="29"/>
      <c r="D2163" s="30"/>
      <c r="E2163" s="33"/>
      <c r="F2163" s="89"/>
    </row>
    <row r="2164" spans="2:6" s="6" customFormat="1" x14ac:dyDescent="0.3">
      <c r="B2164" s="29"/>
      <c r="C2164" s="29"/>
      <c r="D2164" s="30"/>
      <c r="E2164" s="33"/>
      <c r="F2164" s="89"/>
    </row>
    <row r="2165" spans="2:6" s="6" customFormat="1" x14ac:dyDescent="0.3">
      <c r="B2165" s="29"/>
      <c r="C2165" s="29"/>
      <c r="D2165" s="30"/>
      <c r="E2165" s="33"/>
      <c r="F2165" s="89"/>
    </row>
    <row r="2166" spans="2:6" s="6" customFormat="1" x14ac:dyDescent="0.3">
      <c r="B2166" s="29"/>
      <c r="C2166" s="29"/>
      <c r="D2166" s="30"/>
      <c r="E2166" s="33"/>
      <c r="F2166" s="89"/>
    </row>
    <row r="2167" spans="2:6" s="6" customFormat="1" x14ac:dyDescent="0.3">
      <c r="B2167" s="29"/>
      <c r="C2167" s="29"/>
      <c r="D2167" s="30"/>
      <c r="E2167" s="33"/>
      <c r="F2167" s="89"/>
    </row>
    <row r="2168" spans="2:6" s="6" customFormat="1" x14ac:dyDescent="0.3">
      <c r="B2168" s="29"/>
      <c r="C2168" s="29"/>
      <c r="D2168" s="30"/>
      <c r="E2168" s="33"/>
      <c r="F2168" s="89"/>
    </row>
    <row r="2169" spans="2:6" s="6" customFormat="1" x14ac:dyDescent="0.3">
      <c r="B2169" s="29"/>
      <c r="C2169" s="29"/>
      <c r="D2169" s="30"/>
      <c r="E2169" s="33"/>
      <c r="F2169" s="89"/>
    </row>
    <row r="2170" spans="2:6" s="6" customFormat="1" x14ac:dyDescent="0.3">
      <c r="B2170" s="29"/>
      <c r="C2170" s="29"/>
      <c r="D2170" s="30"/>
      <c r="E2170" s="33"/>
      <c r="F2170" s="89"/>
    </row>
    <row r="2171" spans="2:6" s="6" customFormat="1" x14ac:dyDescent="0.3">
      <c r="B2171" s="29"/>
      <c r="C2171" s="29"/>
      <c r="D2171" s="30"/>
      <c r="E2171" s="33"/>
      <c r="F2171" s="89"/>
    </row>
    <row r="2172" spans="2:6" s="6" customFormat="1" x14ac:dyDescent="0.3">
      <c r="B2172" s="29"/>
      <c r="C2172" s="29"/>
      <c r="D2172" s="30"/>
      <c r="E2172" s="33"/>
      <c r="F2172" s="89"/>
    </row>
    <row r="2173" spans="2:6" s="6" customFormat="1" x14ac:dyDescent="0.3">
      <c r="B2173" s="29"/>
      <c r="C2173" s="29"/>
      <c r="D2173" s="30"/>
      <c r="E2173" s="33"/>
      <c r="F2173" s="89"/>
    </row>
    <row r="2174" spans="2:6" s="6" customFormat="1" x14ac:dyDescent="0.3">
      <c r="B2174" s="29"/>
      <c r="C2174" s="29"/>
      <c r="D2174" s="30"/>
      <c r="E2174" s="33"/>
      <c r="F2174" s="89"/>
    </row>
    <row r="2175" spans="2:6" s="6" customFormat="1" x14ac:dyDescent="0.3">
      <c r="B2175" s="29"/>
      <c r="C2175" s="29"/>
      <c r="D2175" s="30"/>
      <c r="E2175" s="33"/>
      <c r="F2175" s="89"/>
    </row>
    <row r="2176" spans="2:6" s="6" customFormat="1" x14ac:dyDescent="0.3">
      <c r="B2176" s="29"/>
      <c r="C2176" s="29"/>
      <c r="D2176" s="30"/>
      <c r="E2176" s="33"/>
      <c r="F2176" s="89"/>
    </row>
    <row r="2177" spans="2:6" s="6" customFormat="1" x14ac:dyDescent="0.3">
      <c r="B2177" s="29"/>
      <c r="C2177" s="29"/>
      <c r="D2177" s="30"/>
      <c r="E2177" s="33"/>
      <c r="F2177" s="89"/>
    </row>
    <row r="2178" spans="2:6" s="6" customFormat="1" x14ac:dyDescent="0.3">
      <c r="B2178" s="29"/>
      <c r="C2178" s="29"/>
      <c r="D2178" s="30"/>
      <c r="E2178" s="33"/>
      <c r="F2178" s="89"/>
    </row>
    <row r="2179" spans="2:6" s="6" customFormat="1" x14ac:dyDescent="0.3">
      <c r="B2179" s="29"/>
      <c r="C2179" s="29"/>
      <c r="D2179" s="30"/>
      <c r="E2179" s="33"/>
      <c r="F2179" s="89"/>
    </row>
    <row r="2180" spans="2:6" s="6" customFormat="1" x14ac:dyDescent="0.3">
      <c r="B2180" s="29"/>
      <c r="C2180" s="29"/>
      <c r="D2180" s="30"/>
      <c r="E2180" s="33"/>
      <c r="F2180" s="89"/>
    </row>
    <row r="2181" spans="2:6" s="6" customFormat="1" x14ac:dyDescent="0.3">
      <c r="B2181" s="29"/>
      <c r="C2181" s="29"/>
      <c r="D2181" s="30"/>
      <c r="E2181" s="33"/>
      <c r="F2181" s="89"/>
    </row>
    <row r="2182" spans="2:6" s="6" customFormat="1" x14ac:dyDescent="0.3">
      <c r="B2182" s="29"/>
      <c r="C2182" s="29"/>
      <c r="D2182" s="30"/>
      <c r="E2182" s="33"/>
      <c r="F2182" s="89"/>
    </row>
    <row r="2183" spans="2:6" s="6" customFormat="1" x14ac:dyDescent="0.3">
      <c r="B2183" s="29"/>
      <c r="C2183" s="29"/>
      <c r="D2183" s="30"/>
      <c r="E2183" s="33"/>
      <c r="F2183" s="89"/>
    </row>
    <row r="2184" spans="2:6" s="6" customFormat="1" x14ac:dyDescent="0.3">
      <c r="B2184" s="29"/>
      <c r="C2184" s="29"/>
      <c r="D2184" s="30"/>
      <c r="E2184" s="33"/>
      <c r="F2184" s="89"/>
    </row>
    <row r="2185" spans="2:6" s="6" customFormat="1" x14ac:dyDescent="0.3">
      <c r="B2185" s="29"/>
      <c r="C2185" s="29"/>
      <c r="D2185" s="30"/>
      <c r="E2185" s="33"/>
      <c r="F2185" s="89"/>
    </row>
    <row r="2186" spans="2:6" s="6" customFormat="1" x14ac:dyDescent="0.3">
      <c r="B2186" s="29"/>
      <c r="C2186" s="29"/>
      <c r="D2186" s="30"/>
      <c r="E2186" s="33"/>
      <c r="F2186" s="89"/>
    </row>
    <row r="2187" spans="2:6" s="6" customFormat="1" x14ac:dyDescent="0.3">
      <c r="B2187" s="29"/>
      <c r="C2187" s="29"/>
      <c r="D2187" s="30"/>
      <c r="E2187" s="33"/>
      <c r="F2187" s="89"/>
    </row>
    <row r="2188" spans="2:6" s="6" customFormat="1" x14ac:dyDescent="0.3">
      <c r="B2188" s="29"/>
      <c r="C2188" s="29"/>
      <c r="D2188" s="30"/>
      <c r="E2188" s="33"/>
      <c r="F2188" s="89"/>
    </row>
    <row r="2189" spans="2:6" s="6" customFormat="1" x14ac:dyDescent="0.3">
      <c r="B2189" s="29"/>
      <c r="C2189" s="29"/>
      <c r="D2189" s="30"/>
      <c r="E2189" s="33"/>
      <c r="F2189" s="89"/>
    </row>
    <row r="2190" spans="2:6" s="6" customFormat="1" x14ac:dyDescent="0.3">
      <c r="B2190" s="29"/>
      <c r="C2190" s="29"/>
      <c r="D2190" s="30"/>
      <c r="E2190" s="33"/>
      <c r="F2190" s="89"/>
    </row>
    <row r="2191" spans="2:6" s="6" customFormat="1" x14ac:dyDescent="0.3">
      <c r="B2191" s="29"/>
      <c r="C2191" s="29"/>
      <c r="D2191" s="30"/>
      <c r="E2191" s="33"/>
      <c r="F2191" s="89"/>
    </row>
    <row r="2192" spans="2:6" s="6" customFormat="1" x14ac:dyDescent="0.3">
      <c r="B2192" s="29"/>
      <c r="C2192" s="29"/>
      <c r="D2192" s="30"/>
      <c r="E2192" s="33"/>
      <c r="F2192" s="89"/>
    </row>
    <row r="2193" spans="2:6" s="6" customFormat="1" x14ac:dyDescent="0.3">
      <c r="B2193" s="29"/>
      <c r="C2193" s="29"/>
      <c r="D2193" s="30"/>
      <c r="E2193" s="33"/>
      <c r="F2193" s="89"/>
    </row>
    <row r="2194" spans="2:6" s="6" customFormat="1" x14ac:dyDescent="0.3">
      <c r="B2194" s="29"/>
      <c r="C2194" s="29"/>
      <c r="D2194" s="30"/>
      <c r="E2194" s="33"/>
      <c r="F2194" s="89"/>
    </row>
    <row r="2195" spans="2:6" s="6" customFormat="1" x14ac:dyDescent="0.3">
      <c r="B2195" s="29"/>
      <c r="C2195" s="29"/>
      <c r="D2195" s="30"/>
      <c r="E2195" s="33"/>
      <c r="F2195" s="89"/>
    </row>
    <row r="2196" spans="2:6" s="6" customFormat="1" x14ac:dyDescent="0.3">
      <c r="B2196" s="29"/>
      <c r="C2196" s="29"/>
      <c r="D2196" s="30"/>
      <c r="E2196" s="33"/>
      <c r="F2196" s="89"/>
    </row>
    <row r="2197" spans="2:6" s="6" customFormat="1" x14ac:dyDescent="0.3">
      <c r="B2197" s="29"/>
      <c r="C2197" s="29"/>
      <c r="D2197" s="30"/>
      <c r="E2197" s="33"/>
      <c r="F2197" s="89"/>
    </row>
    <row r="2198" spans="2:6" s="6" customFormat="1" x14ac:dyDescent="0.3">
      <c r="B2198" s="29"/>
      <c r="C2198" s="29"/>
      <c r="D2198" s="30"/>
      <c r="E2198" s="33"/>
      <c r="F2198" s="89"/>
    </row>
    <row r="2199" spans="2:6" s="6" customFormat="1" x14ac:dyDescent="0.3">
      <c r="B2199" s="29"/>
      <c r="C2199" s="29"/>
      <c r="D2199" s="30"/>
      <c r="E2199" s="33"/>
      <c r="F2199" s="89"/>
    </row>
    <row r="2200" spans="2:6" s="6" customFormat="1" x14ac:dyDescent="0.3">
      <c r="B2200" s="29"/>
      <c r="C2200" s="29"/>
      <c r="D2200" s="30"/>
      <c r="E2200" s="33"/>
      <c r="F2200" s="89"/>
    </row>
    <row r="2201" spans="2:6" s="6" customFormat="1" x14ac:dyDescent="0.3">
      <c r="B2201" s="29"/>
      <c r="C2201" s="29"/>
      <c r="D2201" s="30"/>
      <c r="E2201" s="33"/>
      <c r="F2201" s="89"/>
    </row>
    <row r="2202" spans="2:6" s="6" customFormat="1" x14ac:dyDescent="0.3">
      <c r="B2202" s="29"/>
      <c r="C2202" s="29"/>
      <c r="D2202" s="30"/>
      <c r="E2202" s="33"/>
      <c r="F2202" s="89"/>
    </row>
    <row r="2203" spans="2:6" s="6" customFormat="1" x14ac:dyDescent="0.3">
      <c r="B2203" s="29"/>
      <c r="C2203" s="29"/>
      <c r="D2203" s="30"/>
      <c r="E2203" s="33"/>
      <c r="F2203" s="89"/>
    </row>
    <row r="2204" spans="2:6" s="6" customFormat="1" x14ac:dyDescent="0.3">
      <c r="B2204" s="29"/>
      <c r="C2204" s="29"/>
      <c r="D2204" s="30"/>
      <c r="E2204" s="33"/>
      <c r="F2204" s="89"/>
    </row>
    <row r="2205" spans="2:6" s="6" customFormat="1" x14ac:dyDescent="0.3">
      <c r="B2205" s="29"/>
      <c r="C2205" s="29"/>
      <c r="D2205" s="30"/>
      <c r="E2205" s="33"/>
      <c r="F2205" s="89"/>
    </row>
    <row r="2206" spans="2:6" s="6" customFormat="1" x14ac:dyDescent="0.3">
      <c r="B2206" s="29"/>
      <c r="C2206" s="29"/>
      <c r="D2206" s="30"/>
      <c r="E2206" s="33"/>
      <c r="F2206" s="89"/>
    </row>
    <row r="2207" spans="2:6" s="6" customFormat="1" x14ac:dyDescent="0.3">
      <c r="B2207" s="29"/>
      <c r="C2207" s="29"/>
      <c r="D2207" s="30"/>
      <c r="E2207" s="33"/>
      <c r="F2207" s="89"/>
    </row>
    <row r="2208" spans="2:6" s="6" customFormat="1" x14ac:dyDescent="0.3">
      <c r="B2208" s="29"/>
      <c r="C2208" s="29"/>
      <c r="D2208" s="30"/>
      <c r="E2208" s="33"/>
      <c r="F2208" s="89"/>
    </row>
    <row r="2209" spans="2:6" s="6" customFormat="1" x14ac:dyDescent="0.3">
      <c r="B2209" s="29"/>
      <c r="C2209" s="29"/>
      <c r="D2209" s="30"/>
      <c r="E2209" s="33"/>
      <c r="F2209" s="89"/>
    </row>
    <row r="2210" spans="2:6" s="6" customFormat="1" x14ac:dyDescent="0.3">
      <c r="B2210" s="29"/>
      <c r="C2210" s="29"/>
      <c r="D2210" s="30"/>
      <c r="E2210" s="33"/>
      <c r="F2210" s="89"/>
    </row>
    <row r="2211" spans="2:6" s="6" customFormat="1" x14ac:dyDescent="0.3">
      <c r="B2211" s="29"/>
      <c r="C2211" s="29"/>
      <c r="D2211" s="30"/>
      <c r="E2211" s="33"/>
      <c r="F2211" s="89"/>
    </row>
    <row r="2212" spans="2:6" s="6" customFormat="1" x14ac:dyDescent="0.3">
      <c r="B2212" s="29"/>
      <c r="C2212" s="29"/>
      <c r="D2212" s="30"/>
      <c r="E2212" s="33"/>
      <c r="F2212" s="89"/>
    </row>
    <row r="2213" spans="2:6" s="6" customFormat="1" x14ac:dyDescent="0.3">
      <c r="B2213" s="29"/>
      <c r="C2213" s="29"/>
      <c r="D2213" s="30"/>
      <c r="E2213" s="33"/>
      <c r="F2213" s="89"/>
    </row>
    <row r="2214" spans="2:6" s="6" customFormat="1" x14ac:dyDescent="0.3">
      <c r="B2214" s="29"/>
      <c r="C2214" s="29"/>
      <c r="D2214" s="30"/>
      <c r="E2214" s="33"/>
      <c r="F2214" s="89"/>
    </row>
    <row r="2215" spans="2:6" s="6" customFormat="1" x14ac:dyDescent="0.3">
      <c r="B2215" s="29"/>
      <c r="C2215" s="29"/>
      <c r="D2215" s="30"/>
      <c r="E2215" s="33"/>
      <c r="F2215" s="89"/>
    </row>
    <row r="2216" spans="2:6" s="6" customFormat="1" x14ac:dyDescent="0.3">
      <c r="B2216" s="29"/>
      <c r="C2216" s="29"/>
      <c r="D2216" s="30"/>
      <c r="E2216" s="33"/>
      <c r="F2216" s="89"/>
    </row>
    <row r="2217" spans="2:6" s="6" customFormat="1" x14ac:dyDescent="0.3">
      <c r="B2217" s="29"/>
      <c r="C2217" s="29"/>
      <c r="D2217" s="30"/>
      <c r="E2217" s="33"/>
      <c r="F2217" s="89"/>
    </row>
    <row r="2218" spans="2:6" s="6" customFormat="1" x14ac:dyDescent="0.3">
      <c r="B2218" s="29"/>
      <c r="C2218" s="29"/>
      <c r="D2218" s="30"/>
      <c r="E2218" s="33"/>
      <c r="F2218" s="89"/>
    </row>
    <row r="2219" spans="2:6" s="6" customFormat="1" x14ac:dyDescent="0.3">
      <c r="B2219" s="29"/>
      <c r="C2219" s="29"/>
      <c r="D2219" s="30"/>
      <c r="E2219" s="33"/>
      <c r="F2219" s="89"/>
    </row>
    <row r="2220" spans="2:6" s="6" customFormat="1" x14ac:dyDescent="0.3">
      <c r="B2220" s="29"/>
      <c r="C2220" s="29"/>
      <c r="D2220" s="30"/>
      <c r="E2220" s="33"/>
      <c r="F2220" s="89"/>
    </row>
    <row r="2221" spans="2:6" s="6" customFormat="1" x14ac:dyDescent="0.3">
      <c r="B2221" s="29"/>
      <c r="C2221" s="29"/>
      <c r="D2221" s="30"/>
      <c r="E2221" s="33"/>
      <c r="F2221" s="89"/>
    </row>
    <row r="2222" spans="2:6" s="6" customFormat="1" x14ac:dyDescent="0.3">
      <c r="B2222" s="29"/>
      <c r="C2222" s="29"/>
      <c r="D2222" s="30"/>
      <c r="E2222" s="33"/>
      <c r="F2222" s="89"/>
    </row>
    <row r="2223" spans="2:6" s="6" customFormat="1" x14ac:dyDescent="0.3">
      <c r="B2223" s="29"/>
      <c r="C2223" s="29"/>
      <c r="D2223" s="30"/>
      <c r="E2223" s="33"/>
      <c r="F2223" s="89"/>
    </row>
    <row r="2224" spans="2:6" s="6" customFormat="1" x14ac:dyDescent="0.3">
      <c r="B2224" s="29"/>
      <c r="C2224" s="29"/>
      <c r="D2224" s="30"/>
      <c r="E2224" s="33"/>
      <c r="F2224" s="89"/>
    </row>
    <row r="2225" spans="2:6" s="6" customFormat="1" x14ac:dyDescent="0.3">
      <c r="B2225" s="29"/>
      <c r="C2225" s="29"/>
      <c r="D2225" s="30"/>
      <c r="E2225" s="33"/>
      <c r="F2225" s="89"/>
    </row>
    <row r="2226" spans="2:6" s="6" customFormat="1" x14ac:dyDescent="0.3">
      <c r="B2226" s="29"/>
      <c r="C2226" s="29"/>
      <c r="D2226" s="30"/>
      <c r="E2226" s="33"/>
      <c r="F2226" s="89"/>
    </row>
    <row r="2227" spans="2:6" s="6" customFormat="1" x14ac:dyDescent="0.3">
      <c r="B2227" s="29"/>
      <c r="C2227" s="29"/>
      <c r="D2227" s="30"/>
      <c r="E2227" s="33"/>
      <c r="F2227" s="89"/>
    </row>
    <row r="2228" spans="2:6" s="6" customFormat="1" x14ac:dyDescent="0.3">
      <c r="B2228" s="29"/>
      <c r="C2228" s="29"/>
      <c r="D2228" s="30"/>
      <c r="E2228" s="33"/>
      <c r="F2228" s="89"/>
    </row>
    <row r="2229" spans="2:6" s="6" customFormat="1" x14ac:dyDescent="0.3">
      <c r="B2229" s="29"/>
      <c r="C2229" s="29"/>
      <c r="D2229" s="30"/>
      <c r="E2229" s="33"/>
      <c r="F2229" s="89"/>
    </row>
    <row r="2230" spans="2:6" s="6" customFormat="1" x14ac:dyDescent="0.3">
      <c r="B2230" s="29"/>
      <c r="C2230" s="29"/>
      <c r="D2230" s="30"/>
      <c r="E2230" s="33"/>
      <c r="F2230" s="89"/>
    </row>
    <row r="2231" spans="2:6" s="6" customFormat="1" x14ac:dyDescent="0.3">
      <c r="B2231" s="29"/>
      <c r="C2231" s="29"/>
      <c r="D2231" s="30"/>
      <c r="E2231" s="33"/>
      <c r="F2231" s="89"/>
    </row>
    <row r="2232" spans="2:6" s="6" customFormat="1" x14ac:dyDescent="0.3">
      <c r="B2232" s="29"/>
      <c r="C2232" s="29"/>
      <c r="D2232" s="30"/>
      <c r="E2232" s="33"/>
      <c r="F2232" s="89"/>
    </row>
    <row r="2233" spans="2:6" s="6" customFormat="1" x14ac:dyDescent="0.3">
      <c r="B2233" s="29"/>
      <c r="C2233" s="29"/>
      <c r="D2233" s="30"/>
      <c r="E2233" s="33"/>
      <c r="F2233" s="89"/>
    </row>
    <row r="2234" spans="2:6" s="6" customFormat="1" x14ac:dyDescent="0.3">
      <c r="B2234" s="29"/>
      <c r="C2234" s="29"/>
      <c r="D2234" s="30"/>
      <c r="E2234" s="33"/>
      <c r="F2234" s="89"/>
    </row>
    <row r="2235" spans="2:6" s="6" customFormat="1" x14ac:dyDescent="0.3">
      <c r="B2235" s="29"/>
      <c r="C2235" s="29"/>
      <c r="D2235" s="30"/>
      <c r="E2235" s="33"/>
      <c r="F2235" s="89"/>
    </row>
    <row r="2236" spans="2:6" s="6" customFormat="1" x14ac:dyDescent="0.3">
      <c r="B2236" s="29"/>
      <c r="C2236" s="29"/>
      <c r="D2236" s="30"/>
      <c r="E2236" s="33"/>
      <c r="F2236" s="89"/>
    </row>
    <row r="2237" spans="2:6" s="6" customFormat="1" x14ac:dyDescent="0.3">
      <c r="B2237" s="29"/>
      <c r="C2237" s="29"/>
      <c r="D2237" s="30"/>
      <c r="E2237" s="33"/>
      <c r="F2237" s="89"/>
    </row>
    <row r="2238" spans="2:6" s="6" customFormat="1" x14ac:dyDescent="0.3">
      <c r="B2238" s="29"/>
      <c r="C2238" s="29"/>
      <c r="D2238" s="30"/>
      <c r="E2238" s="33"/>
      <c r="F2238" s="89"/>
    </row>
    <row r="2239" spans="2:6" s="6" customFormat="1" x14ac:dyDescent="0.3">
      <c r="B2239" s="29"/>
      <c r="C2239" s="29"/>
      <c r="D2239" s="30"/>
      <c r="E2239" s="33"/>
      <c r="F2239" s="89"/>
    </row>
    <row r="2240" spans="2:6" s="6" customFormat="1" x14ac:dyDescent="0.3">
      <c r="B2240" s="29"/>
      <c r="C2240" s="29"/>
      <c r="D2240" s="30"/>
      <c r="E2240" s="33"/>
      <c r="F2240" s="89"/>
    </row>
    <row r="2241" spans="2:6" s="6" customFormat="1" x14ac:dyDescent="0.3">
      <c r="B2241" s="29"/>
      <c r="C2241" s="29"/>
      <c r="D2241" s="30"/>
      <c r="E2241" s="33"/>
      <c r="F2241" s="89"/>
    </row>
    <row r="2242" spans="2:6" s="6" customFormat="1" x14ac:dyDescent="0.3">
      <c r="B2242" s="29"/>
      <c r="C2242" s="29"/>
      <c r="D2242" s="30"/>
      <c r="E2242" s="33"/>
      <c r="F2242" s="89"/>
    </row>
    <row r="2243" spans="2:6" s="6" customFormat="1" x14ac:dyDescent="0.3">
      <c r="B2243" s="29"/>
      <c r="C2243" s="29"/>
      <c r="D2243" s="30"/>
      <c r="E2243" s="33"/>
      <c r="F2243" s="89"/>
    </row>
    <row r="2244" spans="2:6" s="6" customFormat="1" x14ac:dyDescent="0.3">
      <c r="B2244" s="29"/>
      <c r="C2244" s="29"/>
      <c r="D2244" s="30"/>
      <c r="E2244" s="33"/>
      <c r="F2244" s="89"/>
    </row>
    <row r="2245" spans="2:6" s="6" customFormat="1" x14ac:dyDescent="0.3">
      <c r="B2245" s="29"/>
      <c r="C2245" s="29"/>
      <c r="D2245" s="30"/>
      <c r="E2245" s="33"/>
      <c r="F2245" s="89"/>
    </row>
    <row r="2246" spans="2:6" s="6" customFormat="1" x14ac:dyDescent="0.3">
      <c r="B2246" s="29"/>
      <c r="C2246" s="29"/>
      <c r="D2246" s="30"/>
      <c r="E2246" s="33"/>
      <c r="F2246" s="89"/>
    </row>
    <row r="2247" spans="2:6" s="6" customFormat="1" x14ac:dyDescent="0.3">
      <c r="B2247" s="29"/>
      <c r="C2247" s="29"/>
      <c r="D2247" s="30"/>
      <c r="E2247" s="33"/>
      <c r="F2247" s="89"/>
    </row>
    <row r="2248" spans="2:6" s="6" customFormat="1" x14ac:dyDescent="0.3">
      <c r="B2248" s="29"/>
      <c r="C2248" s="29"/>
      <c r="D2248" s="30"/>
      <c r="E2248" s="33"/>
      <c r="F2248" s="89"/>
    </row>
    <row r="2249" spans="2:6" s="6" customFormat="1" x14ac:dyDescent="0.3">
      <c r="B2249" s="29"/>
      <c r="C2249" s="29"/>
      <c r="D2249" s="30"/>
      <c r="E2249" s="33"/>
      <c r="F2249" s="89"/>
    </row>
    <row r="2250" spans="2:6" s="6" customFormat="1" x14ac:dyDescent="0.3">
      <c r="B2250" s="29"/>
      <c r="C2250" s="29"/>
      <c r="D2250" s="30"/>
      <c r="E2250" s="33"/>
      <c r="F2250" s="89"/>
    </row>
    <row r="2251" spans="2:6" s="6" customFormat="1" x14ac:dyDescent="0.3">
      <c r="B2251" s="29"/>
      <c r="C2251" s="29"/>
      <c r="D2251" s="30"/>
      <c r="E2251" s="33"/>
      <c r="F2251" s="89"/>
    </row>
    <row r="2252" spans="2:6" s="6" customFormat="1" x14ac:dyDescent="0.3">
      <c r="B2252" s="29"/>
      <c r="C2252" s="29"/>
      <c r="D2252" s="30"/>
      <c r="E2252" s="33"/>
      <c r="F2252" s="89"/>
    </row>
    <row r="2253" spans="2:6" s="6" customFormat="1" x14ac:dyDescent="0.3">
      <c r="B2253" s="29"/>
      <c r="C2253" s="29"/>
      <c r="D2253" s="30"/>
      <c r="E2253" s="33"/>
      <c r="F2253" s="89"/>
    </row>
    <row r="2254" spans="2:6" s="6" customFormat="1" x14ac:dyDescent="0.3">
      <c r="B2254" s="29"/>
      <c r="C2254" s="29"/>
      <c r="D2254" s="30"/>
      <c r="E2254" s="33"/>
      <c r="F2254" s="89"/>
    </row>
    <row r="2255" spans="2:6" s="6" customFormat="1" x14ac:dyDescent="0.3">
      <c r="B2255" s="29"/>
      <c r="C2255" s="29"/>
      <c r="D2255" s="30"/>
      <c r="E2255" s="33"/>
      <c r="F2255" s="89"/>
    </row>
    <row r="2256" spans="2:6" s="6" customFormat="1" x14ac:dyDescent="0.3">
      <c r="B2256" s="29"/>
      <c r="C2256" s="29"/>
      <c r="D2256" s="30"/>
      <c r="E2256" s="33"/>
      <c r="F2256" s="89"/>
    </row>
    <row r="2257" spans="2:6" s="6" customFormat="1" x14ac:dyDescent="0.3">
      <c r="B2257" s="29"/>
      <c r="C2257" s="29"/>
      <c r="D2257" s="30"/>
      <c r="E2257" s="33"/>
      <c r="F2257" s="89"/>
    </row>
    <row r="2258" spans="2:6" s="6" customFormat="1" x14ac:dyDescent="0.3">
      <c r="B2258" s="29"/>
      <c r="C2258" s="29"/>
      <c r="D2258" s="30"/>
      <c r="E2258" s="33"/>
      <c r="F2258" s="89"/>
    </row>
    <row r="2259" spans="2:6" s="6" customFormat="1" x14ac:dyDescent="0.3">
      <c r="B2259" s="29"/>
      <c r="C2259" s="29"/>
      <c r="D2259" s="30"/>
      <c r="E2259" s="33"/>
      <c r="F2259" s="89"/>
    </row>
    <row r="2260" spans="2:6" s="6" customFormat="1" x14ac:dyDescent="0.3">
      <c r="B2260" s="29"/>
      <c r="C2260" s="29"/>
      <c r="D2260" s="30"/>
      <c r="E2260" s="33"/>
      <c r="F2260" s="89"/>
    </row>
    <row r="2261" spans="2:6" s="6" customFormat="1" x14ac:dyDescent="0.3">
      <c r="B2261" s="29"/>
      <c r="C2261" s="29"/>
      <c r="D2261" s="30"/>
      <c r="E2261" s="33"/>
      <c r="F2261" s="89"/>
    </row>
    <row r="2262" spans="2:6" s="6" customFormat="1" x14ac:dyDescent="0.3">
      <c r="B2262" s="29"/>
      <c r="C2262" s="29"/>
      <c r="D2262" s="30"/>
      <c r="E2262" s="33"/>
      <c r="F2262" s="89"/>
    </row>
    <row r="2263" spans="2:6" s="6" customFormat="1" x14ac:dyDescent="0.3">
      <c r="B2263" s="29"/>
      <c r="C2263" s="29"/>
      <c r="D2263" s="30"/>
      <c r="E2263" s="33"/>
      <c r="F2263" s="89"/>
    </row>
    <row r="2264" spans="2:6" s="6" customFormat="1" x14ac:dyDescent="0.3">
      <c r="B2264" s="29"/>
      <c r="C2264" s="29"/>
      <c r="D2264" s="30"/>
      <c r="E2264" s="33"/>
      <c r="F2264" s="89"/>
    </row>
    <row r="2265" spans="2:6" s="6" customFormat="1" x14ac:dyDescent="0.3">
      <c r="B2265" s="29"/>
      <c r="C2265" s="29"/>
      <c r="D2265" s="30"/>
      <c r="E2265" s="33"/>
      <c r="F2265" s="89"/>
    </row>
    <row r="2266" spans="2:6" s="6" customFormat="1" x14ac:dyDescent="0.3">
      <c r="B2266" s="29"/>
      <c r="C2266" s="29"/>
      <c r="D2266" s="30"/>
      <c r="E2266" s="33"/>
      <c r="F2266" s="89"/>
    </row>
    <row r="2267" spans="2:6" s="6" customFormat="1" x14ac:dyDescent="0.3">
      <c r="B2267" s="29"/>
      <c r="C2267" s="29"/>
      <c r="D2267" s="30"/>
      <c r="E2267" s="33"/>
      <c r="F2267" s="89"/>
    </row>
    <row r="2268" spans="2:6" s="6" customFormat="1" x14ac:dyDescent="0.3">
      <c r="B2268" s="29"/>
      <c r="C2268" s="29"/>
      <c r="D2268" s="30"/>
      <c r="E2268" s="33"/>
      <c r="F2268" s="89"/>
    </row>
    <row r="2269" spans="2:6" s="6" customFormat="1" x14ac:dyDescent="0.3">
      <c r="B2269" s="29"/>
      <c r="C2269" s="29"/>
      <c r="D2269" s="30"/>
      <c r="E2269" s="33"/>
      <c r="F2269" s="89"/>
    </row>
    <row r="2270" spans="2:6" s="6" customFormat="1" x14ac:dyDescent="0.3">
      <c r="B2270" s="29"/>
      <c r="C2270" s="29"/>
      <c r="D2270" s="30"/>
      <c r="E2270" s="33"/>
      <c r="F2270" s="89"/>
    </row>
    <row r="2271" spans="2:6" s="6" customFormat="1" x14ac:dyDescent="0.3">
      <c r="B2271" s="29"/>
      <c r="C2271" s="29"/>
      <c r="D2271" s="30"/>
      <c r="E2271" s="33"/>
      <c r="F2271" s="89"/>
    </row>
    <row r="2272" spans="2:6" s="6" customFormat="1" x14ac:dyDescent="0.3">
      <c r="B2272" s="29"/>
      <c r="C2272" s="29"/>
      <c r="D2272" s="30"/>
      <c r="E2272" s="33"/>
      <c r="F2272" s="89"/>
    </row>
    <row r="2273" spans="2:6" s="6" customFormat="1" x14ac:dyDescent="0.3">
      <c r="B2273" s="29"/>
      <c r="C2273" s="29"/>
      <c r="D2273" s="30"/>
      <c r="E2273" s="33"/>
      <c r="F2273" s="89"/>
    </row>
    <row r="2274" spans="2:6" s="6" customFormat="1" x14ac:dyDescent="0.3">
      <c r="B2274" s="29"/>
      <c r="C2274" s="29"/>
      <c r="D2274" s="30"/>
      <c r="E2274" s="33"/>
      <c r="F2274" s="89"/>
    </row>
    <row r="2275" spans="2:6" s="6" customFormat="1" x14ac:dyDescent="0.3">
      <c r="B2275" s="29"/>
      <c r="C2275" s="29"/>
      <c r="D2275" s="30"/>
      <c r="E2275" s="33"/>
      <c r="F2275" s="89"/>
    </row>
    <row r="2276" spans="2:6" s="6" customFormat="1" x14ac:dyDescent="0.3">
      <c r="B2276" s="29"/>
      <c r="C2276" s="29"/>
      <c r="D2276" s="30"/>
      <c r="E2276" s="33"/>
      <c r="F2276" s="89"/>
    </row>
    <row r="2277" spans="2:6" s="6" customFormat="1" x14ac:dyDescent="0.3">
      <c r="B2277" s="29"/>
      <c r="C2277" s="29"/>
      <c r="D2277" s="30"/>
      <c r="E2277" s="33"/>
      <c r="F2277" s="89"/>
    </row>
    <row r="2278" spans="2:6" s="6" customFormat="1" x14ac:dyDescent="0.3">
      <c r="B2278" s="29"/>
      <c r="C2278" s="29"/>
      <c r="D2278" s="30"/>
      <c r="E2278" s="33"/>
      <c r="F2278" s="89"/>
    </row>
    <row r="2279" spans="2:6" s="6" customFormat="1" x14ac:dyDescent="0.3">
      <c r="B2279" s="29"/>
      <c r="C2279" s="29"/>
      <c r="D2279" s="30"/>
      <c r="E2279" s="33"/>
      <c r="F2279" s="89"/>
    </row>
    <row r="2280" spans="2:6" s="6" customFormat="1" x14ac:dyDescent="0.3">
      <c r="B2280" s="29"/>
      <c r="C2280" s="29"/>
      <c r="D2280" s="30"/>
      <c r="E2280" s="33"/>
      <c r="F2280" s="89"/>
    </row>
    <row r="2281" spans="2:6" s="6" customFormat="1" x14ac:dyDescent="0.3">
      <c r="B2281" s="29"/>
      <c r="C2281" s="29"/>
      <c r="D2281" s="30"/>
      <c r="E2281" s="33"/>
      <c r="F2281" s="89"/>
    </row>
    <row r="2282" spans="2:6" s="6" customFormat="1" x14ac:dyDescent="0.3">
      <c r="B2282" s="29"/>
      <c r="C2282" s="29"/>
      <c r="D2282" s="30"/>
      <c r="E2282" s="33"/>
      <c r="F2282" s="89"/>
    </row>
    <row r="2283" spans="2:6" s="6" customFormat="1" x14ac:dyDescent="0.3">
      <c r="B2283" s="29"/>
      <c r="C2283" s="29"/>
      <c r="D2283" s="30"/>
      <c r="E2283" s="33"/>
      <c r="F2283" s="89"/>
    </row>
    <row r="2284" spans="2:6" s="6" customFormat="1" x14ac:dyDescent="0.3">
      <c r="B2284" s="29"/>
      <c r="C2284" s="29"/>
      <c r="D2284" s="30"/>
      <c r="E2284" s="33"/>
      <c r="F2284" s="89"/>
    </row>
    <row r="2285" spans="2:6" s="6" customFormat="1" x14ac:dyDescent="0.3">
      <c r="B2285" s="29"/>
      <c r="C2285" s="29"/>
      <c r="D2285" s="30"/>
      <c r="E2285" s="33"/>
      <c r="F2285" s="89"/>
    </row>
    <row r="2286" spans="2:6" s="6" customFormat="1" x14ac:dyDescent="0.3">
      <c r="B2286" s="29"/>
      <c r="C2286" s="29"/>
      <c r="D2286" s="30"/>
      <c r="E2286" s="33"/>
      <c r="F2286" s="89"/>
    </row>
    <row r="2287" spans="2:6" s="6" customFormat="1" x14ac:dyDescent="0.3">
      <c r="B2287" s="29"/>
      <c r="C2287" s="29"/>
      <c r="D2287" s="30"/>
      <c r="E2287" s="33"/>
      <c r="F2287" s="89"/>
    </row>
    <row r="2288" spans="2:6" s="6" customFormat="1" x14ac:dyDescent="0.3">
      <c r="B2288" s="29"/>
      <c r="C2288" s="29"/>
      <c r="D2288" s="30"/>
      <c r="E2288" s="33"/>
      <c r="F2288" s="89"/>
    </row>
    <row r="2289" spans="2:6" s="6" customFormat="1" x14ac:dyDescent="0.3">
      <c r="B2289" s="29"/>
      <c r="C2289" s="29"/>
      <c r="D2289" s="30"/>
      <c r="E2289" s="33"/>
      <c r="F2289" s="89"/>
    </row>
    <row r="2290" spans="2:6" s="6" customFormat="1" x14ac:dyDescent="0.3">
      <c r="B2290" s="29"/>
      <c r="C2290" s="29"/>
      <c r="D2290" s="30"/>
      <c r="E2290" s="33"/>
      <c r="F2290" s="89"/>
    </row>
    <row r="2291" spans="2:6" s="6" customFormat="1" x14ac:dyDescent="0.3">
      <c r="B2291" s="29"/>
      <c r="C2291" s="29"/>
      <c r="D2291" s="30"/>
      <c r="E2291" s="33"/>
      <c r="F2291" s="89"/>
    </row>
    <row r="2292" spans="2:6" s="6" customFormat="1" x14ac:dyDescent="0.3">
      <c r="B2292" s="29"/>
      <c r="C2292" s="29"/>
      <c r="D2292" s="30"/>
      <c r="E2292" s="33"/>
      <c r="F2292" s="89"/>
    </row>
    <row r="2293" spans="2:6" s="6" customFormat="1" x14ac:dyDescent="0.3">
      <c r="B2293" s="29"/>
      <c r="C2293" s="29"/>
      <c r="D2293" s="30"/>
      <c r="E2293" s="33"/>
      <c r="F2293" s="89"/>
    </row>
    <row r="2294" spans="2:6" s="6" customFormat="1" x14ac:dyDescent="0.3">
      <c r="B2294" s="29"/>
      <c r="C2294" s="29"/>
      <c r="D2294" s="30"/>
      <c r="E2294" s="33"/>
      <c r="F2294" s="89"/>
    </row>
    <row r="2295" spans="2:6" s="6" customFormat="1" x14ac:dyDescent="0.3">
      <c r="B2295" s="29"/>
      <c r="C2295" s="29"/>
      <c r="D2295" s="30"/>
      <c r="E2295" s="33"/>
      <c r="F2295" s="89"/>
    </row>
    <row r="2296" spans="2:6" s="6" customFormat="1" x14ac:dyDescent="0.3">
      <c r="B2296" s="29"/>
      <c r="C2296" s="29"/>
      <c r="D2296" s="30"/>
      <c r="E2296" s="33"/>
      <c r="F2296" s="89"/>
    </row>
    <row r="2297" spans="2:6" s="6" customFormat="1" x14ac:dyDescent="0.3">
      <c r="B2297" s="29"/>
      <c r="C2297" s="29"/>
      <c r="D2297" s="30"/>
      <c r="E2297" s="33"/>
      <c r="F2297" s="89"/>
    </row>
    <row r="2298" spans="2:6" s="6" customFormat="1" x14ac:dyDescent="0.3">
      <c r="B2298" s="29"/>
      <c r="C2298" s="29"/>
      <c r="D2298" s="30"/>
      <c r="E2298" s="33"/>
      <c r="F2298" s="89"/>
    </row>
    <row r="2299" spans="2:6" s="6" customFormat="1" x14ac:dyDescent="0.3">
      <c r="B2299" s="29"/>
      <c r="C2299" s="29"/>
      <c r="D2299" s="30"/>
      <c r="E2299" s="33"/>
      <c r="F2299" s="89"/>
    </row>
    <row r="2300" spans="2:6" s="6" customFormat="1" x14ac:dyDescent="0.3">
      <c r="B2300" s="29"/>
      <c r="C2300" s="29"/>
      <c r="D2300" s="30"/>
      <c r="E2300" s="33"/>
      <c r="F2300" s="89"/>
    </row>
    <row r="2301" spans="2:6" s="6" customFormat="1" x14ac:dyDescent="0.3">
      <c r="B2301" s="29"/>
      <c r="C2301" s="29"/>
      <c r="D2301" s="30"/>
      <c r="E2301" s="33"/>
      <c r="F2301" s="89"/>
    </row>
    <row r="2302" spans="2:6" s="6" customFormat="1" x14ac:dyDescent="0.3">
      <c r="B2302" s="29"/>
      <c r="C2302" s="29"/>
      <c r="D2302" s="30"/>
      <c r="E2302" s="33"/>
      <c r="F2302" s="89"/>
    </row>
    <row r="2303" spans="2:6" s="6" customFormat="1" x14ac:dyDescent="0.3">
      <c r="B2303" s="29"/>
      <c r="C2303" s="29"/>
      <c r="D2303" s="30"/>
      <c r="E2303" s="33"/>
      <c r="F2303" s="89"/>
    </row>
    <row r="2304" spans="2:6" s="6" customFormat="1" x14ac:dyDescent="0.3">
      <c r="B2304" s="29"/>
      <c r="C2304" s="29"/>
      <c r="D2304" s="30"/>
      <c r="E2304" s="33"/>
      <c r="F2304" s="89"/>
    </row>
    <row r="2305" spans="2:6" s="6" customFormat="1" x14ac:dyDescent="0.3">
      <c r="B2305" s="29"/>
      <c r="C2305" s="29"/>
      <c r="D2305" s="30"/>
      <c r="E2305" s="33"/>
      <c r="F2305" s="89"/>
    </row>
    <row r="2306" spans="2:6" s="6" customFormat="1" x14ac:dyDescent="0.3">
      <c r="B2306" s="29"/>
      <c r="C2306" s="29"/>
      <c r="D2306" s="30"/>
      <c r="E2306" s="33"/>
      <c r="F2306" s="89"/>
    </row>
    <row r="2307" spans="2:6" s="6" customFormat="1" x14ac:dyDescent="0.3">
      <c r="B2307" s="29"/>
      <c r="C2307" s="29"/>
      <c r="D2307" s="30"/>
      <c r="E2307" s="33"/>
      <c r="F2307" s="89"/>
    </row>
    <row r="2308" spans="2:6" s="6" customFormat="1" x14ac:dyDescent="0.3">
      <c r="B2308" s="29"/>
      <c r="C2308" s="29"/>
      <c r="D2308" s="30"/>
      <c r="E2308" s="33"/>
      <c r="F2308" s="89"/>
    </row>
    <row r="2309" spans="2:6" s="6" customFormat="1" x14ac:dyDescent="0.3">
      <c r="B2309" s="29"/>
      <c r="C2309" s="29"/>
      <c r="D2309" s="30"/>
      <c r="E2309" s="33"/>
      <c r="F2309" s="89"/>
    </row>
    <row r="2310" spans="2:6" s="6" customFormat="1" x14ac:dyDescent="0.3">
      <c r="B2310" s="29"/>
      <c r="C2310" s="29"/>
      <c r="D2310" s="30"/>
      <c r="E2310" s="33"/>
      <c r="F2310" s="89"/>
    </row>
    <row r="2311" spans="2:6" s="6" customFormat="1" x14ac:dyDescent="0.3">
      <c r="B2311" s="29"/>
      <c r="C2311" s="29"/>
      <c r="D2311" s="30"/>
      <c r="E2311" s="33"/>
      <c r="F2311" s="89"/>
    </row>
    <row r="2312" spans="2:6" s="6" customFormat="1" x14ac:dyDescent="0.3">
      <c r="B2312" s="29"/>
      <c r="C2312" s="29"/>
      <c r="D2312" s="30"/>
      <c r="E2312" s="33"/>
      <c r="F2312" s="89"/>
    </row>
    <row r="2313" spans="2:6" s="6" customFormat="1" x14ac:dyDescent="0.3">
      <c r="B2313" s="29"/>
      <c r="C2313" s="29"/>
      <c r="D2313" s="30"/>
      <c r="E2313" s="33"/>
      <c r="F2313" s="89"/>
    </row>
    <row r="2314" spans="2:6" s="6" customFormat="1" x14ac:dyDescent="0.3">
      <c r="B2314" s="29"/>
      <c r="C2314" s="29"/>
      <c r="D2314" s="30"/>
      <c r="E2314" s="33"/>
      <c r="F2314" s="89"/>
    </row>
    <row r="2315" spans="2:6" s="6" customFormat="1" x14ac:dyDescent="0.3">
      <c r="B2315" s="29"/>
      <c r="C2315" s="29"/>
      <c r="D2315" s="30"/>
      <c r="E2315" s="33"/>
      <c r="F2315" s="89"/>
    </row>
    <row r="2316" spans="2:6" s="6" customFormat="1" x14ac:dyDescent="0.3">
      <c r="B2316" s="29"/>
      <c r="C2316" s="29"/>
      <c r="D2316" s="30"/>
      <c r="E2316" s="33"/>
      <c r="F2316" s="89"/>
    </row>
    <row r="2317" spans="2:6" s="6" customFormat="1" x14ac:dyDescent="0.3">
      <c r="B2317" s="29"/>
      <c r="C2317" s="29"/>
      <c r="D2317" s="30"/>
      <c r="E2317" s="33"/>
      <c r="F2317" s="89"/>
    </row>
    <row r="2318" spans="2:6" s="6" customFormat="1" x14ac:dyDescent="0.3">
      <c r="B2318" s="29"/>
      <c r="C2318" s="29"/>
      <c r="D2318" s="30"/>
      <c r="E2318" s="33"/>
      <c r="F2318" s="89"/>
    </row>
    <row r="2319" spans="2:6" s="6" customFormat="1" x14ac:dyDescent="0.3">
      <c r="B2319" s="29"/>
      <c r="C2319" s="29"/>
      <c r="D2319" s="30"/>
      <c r="E2319" s="33"/>
      <c r="F2319" s="89"/>
    </row>
    <row r="2320" spans="2:6" s="6" customFormat="1" x14ac:dyDescent="0.3">
      <c r="B2320" s="29"/>
      <c r="C2320" s="29"/>
      <c r="D2320" s="30"/>
      <c r="E2320" s="33"/>
      <c r="F2320" s="89"/>
    </row>
    <row r="2321" spans="2:6" s="6" customFormat="1" x14ac:dyDescent="0.3">
      <c r="B2321" s="29"/>
      <c r="C2321" s="29"/>
      <c r="D2321" s="30"/>
      <c r="E2321" s="33"/>
      <c r="F2321" s="89"/>
    </row>
    <row r="2322" spans="2:6" s="6" customFormat="1" x14ac:dyDescent="0.3">
      <c r="B2322" s="29"/>
      <c r="C2322" s="29"/>
      <c r="D2322" s="30"/>
      <c r="E2322" s="33"/>
      <c r="F2322" s="89"/>
    </row>
    <row r="2323" spans="2:6" s="6" customFormat="1" x14ac:dyDescent="0.3">
      <c r="B2323" s="29"/>
      <c r="C2323" s="29"/>
      <c r="D2323" s="30"/>
      <c r="E2323" s="33"/>
      <c r="F2323" s="89"/>
    </row>
    <row r="2324" spans="2:6" s="6" customFormat="1" x14ac:dyDescent="0.3">
      <c r="B2324" s="29"/>
      <c r="C2324" s="29"/>
      <c r="D2324" s="30"/>
      <c r="E2324" s="33"/>
      <c r="F2324" s="89"/>
    </row>
    <row r="2325" spans="2:6" s="6" customFormat="1" x14ac:dyDescent="0.3">
      <c r="B2325" s="29"/>
      <c r="C2325" s="29"/>
      <c r="D2325" s="30"/>
      <c r="E2325" s="33"/>
      <c r="F2325" s="89"/>
    </row>
    <row r="2326" spans="2:6" s="6" customFormat="1" x14ac:dyDescent="0.3">
      <c r="B2326" s="29"/>
      <c r="C2326" s="29"/>
      <c r="D2326" s="30"/>
      <c r="E2326" s="33"/>
      <c r="F2326" s="89"/>
    </row>
    <row r="2327" spans="2:6" s="6" customFormat="1" x14ac:dyDescent="0.3">
      <c r="B2327" s="29"/>
      <c r="C2327" s="29"/>
      <c r="D2327" s="30"/>
      <c r="E2327" s="33"/>
      <c r="F2327" s="89"/>
    </row>
    <row r="2328" spans="2:6" s="6" customFormat="1" x14ac:dyDescent="0.3">
      <c r="B2328" s="29"/>
      <c r="C2328" s="29"/>
      <c r="D2328" s="30"/>
      <c r="E2328" s="33"/>
      <c r="F2328" s="89"/>
    </row>
    <row r="2329" spans="2:6" s="6" customFormat="1" x14ac:dyDescent="0.3">
      <c r="B2329" s="29"/>
      <c r="C2329" s="29"/>
      <c r="D2329" s="30"/>
      <c r="E2329" s="33"/>
      <c r="F2329" s="89"/>
    </row>
    <row r="2330" spans="2:6" s="6" customFormat="1" x14ac:dyDescent="0.3">
      <c r="B2330" s="29"/>
      <c r="C2330" s="29"/>
      <c r="D2330" s="30"/>
      <c r="E2330" s="33"/>
      <c r="F2330" s="89"/>
    </row>
    <row r="2331" spans="2:6" s="6" customFormat="1" x14ac:dyDescent="0.3">
      <c r="B2331" s="29"/>
      <c r="C2331" s="29"/>
      <c r="D2331" s="30"/>
      <c r="E2331" s="33"/>
      <c r="F2331" s="89"/>
    </row>
    <row r="2332" spans="2:6" s="6" customFormat="1" x14ac:dyDescent="0.3">
      <c r="B2332" s="29"/>
      <c r="C2332" s="29"/>
      <c r="D2332" s="30"/>
      <c r="E2332" s="33"/>
      <c r="F2332" s="89"/>
    </row>
    <row r="2333" spans="2:6" s="6" customFormat="1" x14ac:dyDescent="0.3">
      <c r="B2333" s="29"/>
      <c r="C2333" s="29"/>
      <c r="D2333" s="30"/>
      <c r="E2333" s="33"/>
      <c r="F2333" s="89"/>
    </row>
    <row r="2334" spans="2:6" s="6" customFormat="1" x14ac:dyDescent="0.3">
      <c r="B2334" s="29"/>
      <c r="C2334" s="29"/>
      <c r="D2334" s="30"/>
      <c r="E2334" s="33"/>
      <c r="F2334" s="89"/>
    </row>
    <row r="2335" spans="2:6" s="6" customFormat="1" x14ac:dyDescent="0.3">
      <c r="B2335" s="29"/>
      <c r="C2335" s="29"/>
      <c r="D2335" s="30"/>
      <c r="E2335" s="33"/>
      <c r="F2335" s="89"/>
    </row>
    <row r="2336" spans="2:6" s="6" customFormat="1" x14ac:dyDescent="0.3">
      <c r="B2336" s="29"/>
      <c r="C2336" s="29"/>
      <c r="D2336" s="30"/>
      <c r="E2336" s="33"/>
      <c r="F2336" s="89"/>
    </row>
    <row r="2337" spans="2:6" s="6" customFormat="1" x14ac:dyDescent="0.3">
      <c r="B2337" s="29"/>
      <c r="C2337" s="29"/>
      <c r="D2337" s="30"/>
      <c r="E2337" s="33"/>
      <c r="F2337" s="89"/>
    </row>
    <row r="2338" spans="2:6" s="6" customFormat="1" x14ac:dyDescent="0.3">
      <c r="B2338" s="29"/>
      <c r="C2338" s="29"/>
      <c r="D2338" s="30"/>
      <c r="E2338" s="33"/>
      <c r="F2338" s="89"/>
    </row>
    <row r="2339" spans="2:6" s="6" customFormat="1" x14ac:dyDescent="0.3">
      <c r="B2339" s="29"/>
      <c r="C2339" s="29"/>
      <c r="D2339" s="30"/>
      <c r="E2339" s="33"/>
      <c r="F2339" s="89"/>
    </row>
    <row r="2340" spans="2:6" s="6" customFormat="1" x14ac:dyDescent="0.3">
      <c r="B2340" s="29"/>
      <c r="C2340" s="29"/>
      <c r="D2340" s="30"/>
      <c r="E2340" s="33"/>
      <c r="F2340" s="89"/>
    </row>
    <row r="2341" spans="2:6" s="6" customFormat="1" x14ac:dyDescent="0.3">
      <c r="B2341" s="29"/>
      <c r="C2341" s="29"/>
      <c r="D2341" s="30"/>
      <c r="E2341" s="33"/>
      <c r="F2341" s="89"/>
    </row>
    <row r="2342" spans="2:6" s="6" customFormat="1" x14ac:dyDescent="0.3">
      <c r="B2342" s="29"/>
      <c r="C2342" s="29"/>
      <c r="D2342" s="30"/>
      <c r="E2342" s="33"/>
      <c r="F2342" s="89"/>
    </row>
    <row r="2343" spans="2:6" s="6" customFormat="1" x14ac:dyDescent="0.3">
      <c r="B2343" s="29"/>
      <c r="C2343" s="29"/>
      <c r="D2343" s="30"/>
      <c r="E2343" s="33"/>
      <c r="F2343" s="89"/>
    </row>
    <row r="2344" spans="2:6" s="6" customFormat="1" x14ac:dyDescent="0.3">
      <c r="B2344" s="29"/>
      <c r="C2344" s="29"/>
      <c r="D2344" s="30"/>
      <c r="E2344" s="33"/>
      <c r="F2344" s="89"/>
    </row>
    <row r="2345" spans="2:6" s="6" customFormat="1" x14ac:dyDescent="0.3">
      <c r="B2345" s="29"/>
      <c r="C2345" s="29"/>
      <c r="D2345" s="30"/>
      <c r="E2345" s="33"/>
      <c r="F2345" s="89"/>
    </row>
    <row r="2346" spans="2:6" s="6" customFormat="1" x14ac:dyDescent="0.3">
      <c r="B2346" s="29"/>
      <c r="C2346" s="29"/>
      <c r="D2346" s="30"/>
      <c r="E2346" s="33"/>
      <c r="F2346" s="89"/>
    </row>
    <row r="2347" spans="2:6" s="6" customFormat="1" x14ac:dyDescent="0.3">
      <c r="B2347" s="29"/>
      <c r="C2347" s="29"/>
      <c r="D2347" s="30"/>
      <c r="E2347" s="33"/>
      <c r="F2347" s="89"/>
    </row>
    <row r="2348" spans="2:6" s="6" customFormat="1" x14ac:dyDescent="0.3">
      <c r="B2348" s="29"/>
      <c r="C2348" s="29"/>
      <c r="D2348" s="30"/>
      <c r="E2348" s="33"/>
      <c r="F2348" s="89"/>
    </row>
    <row r="2349" spans="2:6" s="6" customFormat="1" x14ac:dyDescent="0.3">
      <c r="B2349" s="29"/>
      <c r="C2349" s="29"/>
      <c r="D2349" s="30"/>
      <c r="E2349" s="33"/>
      <c r="F2349" s="89"/>
    </row>
    <row r="2350" spans="2:6" s="6" customFormat="1" x14ac:dyDescent="0.3">
      <c r="B2350" s="29"/>
      <c r="C2350" s="29"/>
      <c r="D2350" s="30"/>
      <c r="E2350" s="33"/>
      <c r="F2350" s="89"/>
    </row>
    <row r="2351" spans="2:6" s="6" customFormat="1" x14ac:dyDescent="0.3">
      <c r="B2351" s="29"/>
      <c r="C2351" s="29"/>
      <c r="D2351" s="30"/>
      <c r="E2351" s="33"/>
      <c r="F2351" s="89"/>
    </row>
    <row r="2352" spans="2:6" s="6" customFormat="1" x14ac:dyDescent="0.3">
      <c r="B2352" s="29"/>
      <c r="C2352" s="29"/>
      <c r="D2352" s="30"/>
      <c r="E2352" s="33"/>
      <c r="F2352" s="89"/>
    </row>
    <row r="2353" spans="2:6" s="6" customFormat="1" x14ac:dyDescent="0.3">
      <c r="B2353" s="29"/>
      <c r="C2353" s="29"/>
      <c r="D2353" s="30"/>
      <c r="E2353" s="33"/>
      <c r="F2353" s="89"/>
    </row>
    <row r="2354" spans="2:6" s="6" customFormat="1" x14ac:dyDescent="0.3">
      <c r="B2354" s="29"/>
      <c r="C2354" s="29"/>
      <c r="D2354" s="30"/>
      <c r="E2354" s="33"/>
      <c r="F2354" s="89"/>
    </row>
    <row r="2355" spans="2:6" s="6" customFormat="1" x14ac:dyDescent="0.3">
      <c r="B2355" s="29"/>
      <c r="C2355" s="29"/>
      <c r="D2355" s="30"/>
      <c r="E2355" s="33"/>
      <c r="F2355" s="89"/>
    </row>
    <row r="2356" spans="2:6" s="6" customFormat="1" x14ac:dyDescent="0.3">
      <c r="B2356" s="29"/>
      <c r="C2356" s="29"/>
      <c r="D2356" s="30"/>
      <c r="E2356" s="33"/>
      <c r="F2356" s="89"/>
    </row>
    <row r="2357" spans="2:6" s="6" customFormat="1" x14ac:dyDescent="0.3">
      <c r="B2357" s="29"/>
      <c r="C2357" s="29"/>
      <c r="D2357" s="30"/>
      <c r="E2357" s="33"/>
      <c r="F2357" s="89"/>
    </row>
    <row r="2358" spans="2:6" s="6" customFormat="1" x14ac:dyDescent="0.3">
      <c r="B2358" s="29"/>
      <c r="C2358" s="29"/>
      <c r="D2358" s="30"/>
      <c r="E2358" s="33"/>
      <c r="F2358" s="89"/>
    </row>
    <row r="2359" spans="2:6" s="6" customFormat="1" x14ac:dyDescent="0.3">
      <c r="B2359" s="29"/>
      <c r="C2359" s="29"/>
      <c r="D2359" s="30"/>
      <c r="E2359" s="33"/>
      <c r="F2359" s="89"/>
    </row>
    <row r="2360" spans="2:6" s="6" customFormat="1" x14ac:dyDescent="0.3">
      <c r="B2360" s="29"/>
      <c r="C2360" s="29"/>
      <c r="D2360" s="30"/>
      <c r="E2360" s="33"/>
      <c r="F2360" s="89"/>
    </row>
    <row r="2361" spans="2:6" s="6" customFormat="1" x14ac:dyDescent="0.3">
      <c r="B2361" s="29"/>
      <c r="C2361" s="29"/>
      <c r="D2361" s="30"/>
      <c r="E2361" s="33"/>
      <c r="F2361" s="89"/>
    </row>
    <row r="2362" spans="2:6" s="6" customFormat="1" x14ac:dyDescent="0.3">
      <c r="B2362" s="29"/>
      <c r="C2362" s="29"/>
      <c r="D2362" s="30"/>
      <c r="E2362" s="33"/>
      <c r="F2362" s="89"/>
    </row>
    <row r="2363" spans="2:6" s="6" customFormat="1" x14ac:dyDescent="0.3">
      <c r="B2363" s="29"/>
      <c r="C2363" s="29"/>
      <c r="D2363" s="30"/>
      <c r="E2363" s="33"/>
      <c r="F2363" s="89"/>
    </row>
    <row r="2364" spans="2:6" s="6" customFormat="1" x14ac:dyDescent="0.3">
      <c r="B2364" s="29"/>
      <c r="C2364" s="29"/>
      <c r="D2364" s="30"/>
      <c r="E2364" s="33"/>
      <c r="F2364" s="89"/>
    </row>
    <row r="2365" spans="2:6" s="6" customFormat="1" x14ac:dyDescent="0.3">
      <c r="B2365" s="29"/>
      <c r="C2365" s="29"/>
      <c r="D2365" s="30"/>
      <c r="E2365" s="33"/>
      <c r="F2365" s="89"/>
    </row>
    <row r="2366" spans="2:6" s="6" customFormat="1" x14ac:dyDescent="0.3">
      <c r="B2366" s="29"/>
      <c r="C2366" s="29"/>
      <c r="D2366" s="30"/>
      <c r="E2366" s="33"/>
      <c r="F2366" s="89"/>
    </row>
    <row r="2367" spans="2:6" s="6" customFormat="1" x14ac:dyDescent="0.3">
      <c r="B2367" s="29"/>
      <c r="C2367" s="29"/>
      <c r="D2367" s="30"/>
      <c r="E2367" s="33"/>
      <c r="F2367" s="89"/>
    </row>
    <row r="2368" spans="2:6" s="6" customFormat="1" x14ac:dyDescent="0.3">
      <c r="B2368" s="29"/>
      <c r="C2368" s="29"/>
      <c r="D2368" s="30"/>
      <c r="E2368" s="33"/>
      <c r="F2368" s="89"/>
    </row>
    <row r="2369" spans="2:6" s="6" customFormat="1" x14ac:dyDescent="0.3">
      <c r="B2369" s="29"/>
      <c r="C2369" s="29"/>
      <c r="D2369" s="30"/>
      <c r="E2369" s="33"/>
      <c r="F2369" s="89"/>
    </row>
    <row r="2370" spans="2:6" s="6" customFormat="1" x14ac:dyDescent="0.3">
      <c r="B2370" s="29"/>
      <c r="C2370" s="29"/>
      <c r="D2370" s="30"/>
      <c r="E2370" s="33"/>
      <c r="F2370" s="89"/>
    </row>
    <row r="2371" spans="2:6" s="6" customFormat="1" x14ac:dyDescent="0.3">
      <c r="B2371" s="29"/>
      <c r="C2371" s="29"/>
      <c r="D2371" s="30"/>
      <c r="E2371" s="33"/>
      <c r="F2371" s="89"/>
    </row>
    <row r="2372" spans="2:6" s="6" customFormat="1" x14ac:dyDescent="0.3">
      <c r="B2372" s="29"/>
      <c r="C2372" s="29"/>
      <c r="D2372" s="30"/>
      <c r="E2372" s="33"/>
      <c r="F2372" s="89"/>
    </row>
    <row r="2373" spans="2:6" s="6" customFormat="1" x14ac:dyDescent="0.3">
      <c r="B2373" s="29"/>
      <c r="C2373" s="29"/>
      <c r="D2373" s="30"/>
      <c r="E2373" s="33"/>
      <c r="F2373" s="89"/>
    </row>
    <row r="2374" spans="2:6" s="6" customFormat="1" x14ac:dyDescent="0.3">
      <c r="B2374" s="29"/>
      <c r="C2374" s="29"/>
      <c r="D2374" s="30"/>
      <c r="E2374" s="33"/>
      <c r="F2374" s="89"/>
    </row>
    <row r="2375" spans="2:6" s="6" customFormat="1" x14ac:dyDescent="0.3">
      <c r="B2375" s="29"/>
      <c r="C2375" s="29"/>
      <c r="D2375" s="30"/>
      <c r="E2375" s="33"/>
      <c r="F2375" s="89"/>
    </row>
    <row r="2376" spans="2:6" s="6" customFormat="1" x14ac:dyDescent="0.3">
      <c r="B2376" s="29"/>
      <c r="C2376" s="29"/>
      <c r="D2376" s="30"/>
      <c r="E2376" s="33"/>
      <c r="F2376" s="89"/>
    </row>
    <row r="2377" spans="2:6" s="6" customFormat="1" x14ac:dyDescent="0.3">
      <c r="B2377" s="29"/>
      <c r="C2377" s="29"/>
      <c r="D2377" s="30"/>
      <c r="E2377" s="33"/>
      <c r="F2377" s="89"/>
    </row>
    <row r="2378" spans="2:6" s="6" customFormat="1" x14ac:dyDescent="0.3">
      <c r="B2378" s="29"/>
      <c r="C2378" s="29"/>
      <c r="D2378" s="30"/>
      <c r="E2378" s="33"/>
      <c r="F2378" s="89"/>
    </row>
    <row r="2379" spans="2:6" s="6" customFormat="1" x14ac:dyDescent="0.3">
      <c r="B2379" s="29"/>
      <c r="C2379" s="29"/>
      <c r="D2379" s="30"/>
      <c r="E2379" s="33"/>
      <c r="F2379" s="89"/>
    </row>
    <row r="2380" spans="2:6" s="6" customFormat="1" x14ac:dyDescent="0.3">
      <c r="B2380" s="29"/>
      <c r="C2380" s="29"/>
      <c r="D2380" s="30"/>
      <c r="E2380" s="33"/>
      <c r="F2380" s="89"/>
    </row>
    <row r="2381" spans="2:6" s="6" customFormat="1" x14ac:dyDescent="0.3">
      <c r="B2381" s="29"/>
      <c r="C2381" s="29"/>
      <c r="D2381" s="30"/>
      <c r="E2381" s="33"/>
      <c r="F2381" s="89"/>
    </row>
    <row r="2382" spans="2:6" s="6" customFormat="1" x14ac:dyDescent="0.3">
      <c r="B2382" s="29"/>
      <c r="C2382" s="29"/>
      <c r="D2382" s="30"/>
      <c r="E2382" s="33"/>
      <c r="F2382" s="89"/>
    </row>
    <row r="2383" spans="2:6" s="6" customFormat="1" x14ac:dyDescent="0.3">
      <c r="B2383" s="29"/>
      <c r="C2383" s="29"/>
      <c r="D2383" s="30"/>
      <c r="E2383" s="33"/>
      <c r="F2383" s="89"/>
    </row>
    <row r="2384" spans="2:6" s="6" customFormat="1" x14ac:dyDescent="0.3">
      <c r="B2384" s="29"/>
      <c r="C2384" s="29"/>
      <c r="D2384" s="30"/>
      <c r="E2384" s="33"/>
      <c r="F2384" s="89"/>
    </row>
    <row r="2385" spans="2:6" s="6" customFormat="1" x14ac:dyDescent="0.3">
      <c r="B2385" s="29"/>
      <c r="C2385" s="29"/>
      <c r="D2385" s="30"/>
      <c r="E2385" s="33"/>
      <c r="F2385" s="89"/>
    </row>
    <row r="2386" spans="2:6" s="6" customFormat="1" x14ac:dyDescent="0.3">
      <c r="B2386" s="29"/>
      <c r="C2386" s="29"/>
      <c r="D2386" s="30"/>
      <c r="E2386" s="33"/>
      <c r="F2386" s="89"/>
    </row>
    <row r="2387" spans="2:6" s="6" customFormat="1" x14ac:dyDescent="0.3">
      <c r="B2387" s="29"/>
      <c r="C2387" s="29"/>
      <c r="D2387" s="30"/>
      <c r="E2387" s="33"/>
      <c r="F2387" s="89"/>
    </row>
    <row r="2388" spans="2:6" s="6" customFormat="1" x14ac:dyDescent="0.3">
      <c r="B2388" s="29"/>
      <c r="C2388" s="29"/>
      <c r="D2388" s="30"/>
      <c r="E2388" s="33"/>
      <c r="F2388" s="89"/>
    </row>
    <row r="2389" spans="2:6" s="6" customFormat="1" x14ac:dyDescent="0.3">
      <c r="B2389" s="29"/>
      <c r="C2389" s="29"/>
      <c r="D2389" s="30"/>
      <c r="E2389" s="33"/>
      <c r="F2389" s="89"/>
    </row>
    <row r="2390" spans="2:6" s="6" customFormat="1" x14ac:dyDescent="0.3">
      <c r="B2390" s="29"/>
      <c r="C2390" s="29"/>
      <c r="D2390" s="30"/>
      <c r="E2390" s="33"/>
      <c r="F2390" s="89"/>
    </row>
    <row r="2391" spans="2:6" s="6" customFormat="1" x14ac:dyDescent="0.3">
      <c r="B2391" s="29"/>
      <c r="C2391" s="29"/>
      <c r="D2391" s="30"/>
      <c r="E2391" s="33"/>
      <c r="F2391" s="89"/>
    </row>
    <row r="2392" spans="2:6" s="6" customFormat="1" x14ac:dyDescent="0.3">
      <c r="B2392" s="29"/>
      <c r="C2392" s="29"/>
      <c r="D2392" s="30"/>
      <c r="E2392" s="33"/>
      <c r="F2392" s="89"/>
    </row>
    <row r="2393" spans="2:6" s="6" customFormat="1" x14ac:dyDescent="0.3">
      <c r="B2393" s="29"/>
      <c r="C2393" s="29"/>
      <c r="D2393" s="30"/>
      <c r="E2393" s="33"/>
      <c r="F2393" s="89"/>
    </row>
    <row r="2394" spans="2:6" s="6" customFormat="1" x14ac:dyDescent="0.3">
      <c r="B2394" s="29"/>
      <c r="C2394" s="29"/>
      <c r="D2394" s="30"/>
      <c r="E2394" s="33"/>
      <c r="F2394" s="89"/>
    </row>
    <row r="2395" spans="2:6" s="6" customFormat="1" x14ac:dyDescent="0.3">
      <c r="B2395" s="29"/>
      <c r="C2395" s="29"/>
      <c r="D2395" s="30"/>
      <c r="E2395" s="33"/>
      <c r="F2395" s="89"/>
    </row>
    <row r="2396" spans="2:6" s="6" customFormat="1" x14ac:dyDescent="0.3">
      <c r="B2396" s="29"/>
      <c r="C2396" s="29"/>
      <c r="D2396" s="30"/>
      <c r="E2396" s="33"/>
      <c r="F2396" s="89"/>
    </row>
    <row r="2397" spans="2:6" s="6" customFormat="1" x14ac:dyDescent="0.3">
      <c r="B2397" s="29"/>
      <c r="C2397" s="29"/>
      <c r="D2397" s="30"/>
      <c r="E2397" s="33"/>
      <c r="F2397" s="89"/>
    </row>
    <row r="2398" spans="2:6" s="6" customFormat="1" x14ac:dyDescent="0.3">
      <c r="B2398" s="29"/>
      <c r="C2398" s="29"/>
      <c r="D2398" s="30"/>
      <c r="E2398" s="33"/>
      <c r="F2398" s="89"/>
    </row>
    <row r="2399" spans="2:6" s="6" customFormat="1" x14ac:dyDescent="0.3">
      <c r="B2399" s="29"/>
      <c r="C2399" s="29"/>
      <c r="D2399" s="30"/>
      <c r="E2399" s="33"/>
      <c r="F2399" s="89"/>
    </row>
    <row r="2400" spans="2:6" s="6" customFormat="1" x14ac:dyDescent="0.3">
      <c r="B2400" s="29"/>
      <c r="C2400" s="29"/>
      <c r="D2400" s="30"/>
      <c r="E2400" s="33"/>
      <c r="F2400" s="89"/>
    </row>
    <row r="2401" spans="2:6" s="6" customFormat="1" x14ac:dyDescent="0.3">
      <c r="B2401" s="29"/>
      <c r="C2401" s="29"/>
      <c r="D2401" s="30"/>
      <c r="E2401" s="33"/>
      <c r="F2401" s="89"/>
    </row>
    <row r="2402" spans="2:6" s="6" customFormat="1" x14ac:dyDescent="0.3">
      <c r="B2402" s="29"/>
      <c r="C2402" s="29"/>
      <c r="D2402" s="30"/>
      <c r="E2402" s="33"/>
      <c r="F2402" s="89"/>
    </row>
    <row r="2403" spans="2:6" s="6" customFormat="1" x14ac:dyDescent="0.3">
      <c r="B2403" s="29"/>
      <c r="C2403" s="29"/>
      <c r="D2403" s="30"/>
      <c r="E2403" s="33"/>
      <c r="F2403" s="89"/>
    </row>
    <row r="2404" spans="2:6" s="6" customFormat="1" x14ac:dyDescent="0.3">
      <c r="B2404" s="29"/>
      <c r="C2404" s="29"/>
      <c r="D2404" s="30"/>
      <c r="E2404" s="33"/>
      <c r="F2404" s="89"/>
    </row>
    <row r="2405" spans="2:6" s="6" customFormat="1" x14ac:dyDescent="0.3">
      <c r="B2405" s="29"/>
      <c r="C2405" s="29"/>
      <c r="D2405" s="30"/>
      <c r="E2405" s="33"/>
      <c r="F2405" s="89"/>
    </row>
    <row r="2406" spans="2:6" s="6" customFormat="1" x14ac:dyDescent="0.3">
      <c r="B2406" s="29"/>
      <c r="C2406" s="29"/>
      <c r="D2406" s="30"/>
      <c r="E2406" s="33"/>
      <c r="F2406" s="89"/>
    </row>
    <row r="2407" spans="2:6" s="6" customFormat="1" x14ac:dyDescent="0.3">
      <c r="B2407" s="29"/>
      <c r="C2407" s="29"/>
      <c r="D2407" s="30"/>
      <c r="E2407" s="33"/>
      <c r="F2407" s="89"/>
    </row>
    <row r="2408" spans="2:6" s="6" customFormat="1" x14ac:dyDescent="0.3">
      <c r="B2408" s="29"/>
      <c r="C2408" s="29"/>
      <c r="D2408" s="30"/>
      <c r="E2408" s="33"/>
      <c r="F2408" s="89"/>
    </row>
    <row r="2409" spans="2:6" s="6" customFormat="1" x14ac:dyDescent="0.3">
      <c r="B2409" s="29"/>
      <c r="C2409" s="29"/>
      <c r="D2409" s="30"/>
      <c r="E2409" s="33"/>
      <c r="F2409" s="89"/>
    </row>
    <row r="2410" spans="2:6" s="6" customFormat="1" x14ac:dyDescent="0.3">
      <c r="B2410" s="29"/>
      <c r="C2410" s="29"/>
      <c r="D2410" s="30"/>
      <c r="E2410" s="33"/>
      <c r="F2410" s="89"/>
    </row>
    <row r="2411" spans="2:6" s="6" customFormat="1" x14ac:dyDescent="0.3">
      <c r="B2411" s="29"/>
      <c r="C2411" s="29"/>
      <c r="D2411" s="30"/>
      <c r="E2411" s="33"/>
      <c r="F2411" s="89"/>
    </row>
    <row r="2412" spans="2:6" s="6" customFormat="1" x14ac:dyDescent="0.3">
      <c r="B2412" s="29"/>
      <c r="C2412" s="29"/>
      <c r="D2412" s="30"/>
      <c r="E2412" s="33"/>
      <c r="F2412" s="89"/>
    </row>
    <row r="2413" spans="2:6" s="6" customFormat="1" x14ac:dyDescent="0.3">
      <c r="B2413" s="29"/>
      <c r="C2413" s="29"/>
      <c r="D2413" s="30"/>
      <c r="E2413" s="33"/>
      <c r="F2413" s="89"/>
    </row>
    <row r="2414" spans="2:6" s="6" customFormat="1" x14ac:dyDescent="0.3">
      <c r="B2414" s="29"/>
      <c r="C2414" s="29"/>
      <c r="D2414" s="30"/>
      <c r="E2414" s="33"/>
      <c r="F2414" s="89"/>
    </row>
    <row r="2415" spans="2:6" s="6" customFormat="1" x14ac:dyDescent="0.3">
      <c r="B2415" s="29"/>
      <c r="C2415" s="29"/>
      <c r="D2415" s="30"/>
      <c r="E2415" s="33"/>
      <c r="F2415" s="89"/>
    </row>
    <row r="2416" spans="2:6" s="6" customFormat="1" x14ac:dyDescent="0.3">
      <c r="B2416" s="29"/>
      <c r="C2416" s="29"/>
      <c r="D2416" s="30"/>
      <c r="E2416" s="33"/>
      <c r="F2416" s="89"/>
    </row>
    <row r="2417" spans="2:6" s="6" customFormat="1" x14ac:dyDescent="0.3">
      <c r="B2417" s="29"/>
      <c r="C2417" s="29"/>
      <c r="D2417" s="30"/>
      <c r="E2417" s="33"/>
      <c r="F2417" s="89"/>
    </row>
    <row r="2418" spans="2:6" s="6" customFormat="1" x14ac:dyDescent="0.3">
      <c r="B2418" s="29"/>
      <c r="C2418" s="29"/>
      <c r="D2418" s="30"/>
      <c r="E2418" s="33"/>
      <c r="F2418" s="89"/>
    </row>
    <row r="2419" spans="2:6" s="6" customFormat="1" x14ac:dyDescent="0.3">
      <c r="B2419" s="29"/>
      <c r="C2419" s="29"/>
      <c r="D2419" s="30"/>
      <c r="E2419" s="33"/>
      <c r="F2419" s="89"/>
    </row>
    <row r="2420" spans="2:6" s="6" customFormat="1" x14ac:dyDescent="0.3">
      <c r="B2420" s="29"/>
      <c r="C2420" s="29"/>
      <c r="D2420" s="30"/>
      <c r="E2420" s="33"/>
      <c r="F2420" s="89"/>
    </row>
    <row r="2421" spans="2:6" s="6" customFormat="1" x14ac:dyDescent="0.3">
      <c r="B2421" s="29"/>
      <c r="C2421" s="29"/>
      <c r="D2421" s="30"/>
      <c r="E2421" s="33"/>
      <c r="F2421" s="89"/>
    </row>
    <row r="2422" spans="2:6" s="6" customFormat="1" x14ac:dyDescent="0.3">
      <c r="B2422" s="29"/>
      <c r="C2422" s="29"/>
      <c r="D2422" s="30"/>
      <c r="E2422" s="33"/>
      <c r="F2422" s="89"/>
    </row>
    <row r="2423" spans="2:6" s="6" customFormat="1" x14ac:dyDescent="0.3">
      <c r="B2423" s="29"/>
      <c r="C2423" s="29"/>
      <c r="D2423" s="30"/>
      <c r="E2423" s="33"/>
      <c r="F2423" s="89"/>
    </row>
    <row r="2424" spans="2:6" s="6" customFormat="1" x14ac:dyDescent="0.3">
      <c r="B2424" s="29"/>
      <c r="C2424" s="29"/>
      <c r="D2424" s="30"/>
      <c r="E2424" s="33"/>
      <c r="F2424" s="89"/>
    </row>
    <row r="2425" spans="2:6" s="6" customFormat="1" x14ac:dyDescent="0.3">
      <c r="B2425" s="29"/>
      <c r="C2425" s="29"/>
      <c r="D2425" s="30"/>
      <c r="E2425" s="33"/>
      <c r="F2425" s="89"/>
    </row>
    <row r="2426" spans="2:6" s="6" customFormat="1" x14ac:dyDescent="0.3">
      <c r="B2426" s="29"/>
      <c r="C2426" s="29"/>
      <c r="D2426" s="30"/>
      <c r="E2426" s="33"/>
      <c r="F2426" s="89"/>
    </row>
    <row r="2427" spans="2:6" s="6" customFormat="1" x14ac:dyDescent="0.3">
      <c r="B2427" s="29"/>
      <c r="C2427" s="29"/>
      <c r="D2427" s="30"/>
      <c r="E2427" s="33"/>
      <c r="F2427" s="89"/>
    </row>
    <row r="2428" spans="2:6" s="6" customFormat="1" x14ac:dyDescent="0.3">
      <c r="B2428" s="29"/>
      <c r="C2428" s="29"/>
      <c r="D2428" s="30"/>
      <c r="E2428" s="33"/>
      <c r="F2428" s="89"/>
    </row>
    <row r="2429" spans="2:6" s="6" customFormat="1" x14ac:dyDescent="0.3">
      <c r="B2429" s="29"/>
      <c r="C2429" s="29"/>
      <c r="D2429" s="30"/>
      <c r="E2429" s="33"/>
      <c r="F2429" s="89"/>
    </row>
    <row r="2430" spans="2:6" s="6" customFormat="1" x14ac:dyDescent="0.3">
      <c r="B2430" s="29"/>
      <c r="C2430" s="29"/>
      <c r="D2430" s="30"/>
      <c r="E2430" s="33"/>
      <c r="F2430" s="89"/>
    </row>
    <row r="2431" spans="2:6" s="6" customFormat="1" x14ac:dyDescent="0.3">
      <c r="B2431" s="29"/>
      <c r="C2431" s="29"/>
      <c r="D2431" s="30"/>
      <c r="E2431" s="33"/>
      <c r="F2431" s="89"/>
    </row>
    <row r="2432" spans="2:6" s="6" customFormat="1" x14ac:dyDescent="0.3">
      <c r="B2432" s="29"/>
      <c r="C2432" s="29"/>
      <c r="D2432" s="30"/>
      <c r="E2432" s="33"/>
      <c r="F2432" s="89"/>
    </row>
    <row r="2433" spans="2:6" s="6" customFormat="1" x14ac:dyDescent="0.3">
      <c r="B2433" s="29"/>
      <c r="C2433" s="29"/>
      <c r="D2433" s="30"/>
      <c r="E2433" s="33"/>
      <c r="F2433" s="89"/>
    </row>
    <row r="2434" spans="2:6" s="6" customFormat="1" x14ac:dyDescent="0.3">
      <c r="B2434" s="29"/>
      <c r="C2434" s="29"/>
      <c r="D2434" s="30"/>
      <c r="E2434" s="33"/>
      <c r="F2434" s="89"/>
    </row>
    <row r="2435" spans="2:6" s="6" customFormat="1" x14ac:dyDescent="0.3">
      <c r="B2435" s="29"/>
      <c r="C2435" s="29"/>
      <c r="D2435" s="30"/>
      <c r="E2435" s="33"/>
      <c r="F2435" s="89"/>
    </row>
    <row r="2436" spans="2:6" s="6" customFormat="1" x14ac:dyDescent="0.3">
      <c r="B2436" s="29"/>
      <c r="C2436" s="29"/>
      <c r="D2436" s="30"/>
      <c r="E2436" s="33"/>
      <c r="F2436" s="89"/>
    </row>
    <row r="2437" spans="2:6" s="6" customFormat="1" x14ac:dyDescent="0.3">
      <c r="B2437" s="29"/>
      <c r="C2437" s="29"/>
      <c r="D2437" s="30"/>
      <c r="E2437" s="33"/>
      <c r="F2437" s="89"/>
    </row>
    <row r="2438" spans="2:6" s="6" customFormat="1" x14ac:dyDescent="0.3">
      <c r="B2438" s="29"/>
      <c r="C2438" s="29"/>
      <c r="D2438" s="30"/>
      <c r="E2438" s="33"/>
      <c r="F2438" s="89"/>
    </row>
    <row r="2439" spans="2:6" s="6" customFormat="1" x14ac:dyDescent="0.3">
      <c r="B2439" s="29"/>
      <c r="C2439" s="29"/>
      <c r="D2439" s="30"/>
      <c r="E2439" s="33"/>
      <c r="F2439" s="89"/>
    </row>
    <row r="2440" spans="2:6" s="6" customFormat="1" x14ac:dyDescent="0.3">
      <c r="B2440" s="29"/>
      <c r="C2440" s="29"/>
      <c r="D2440" s="30"/>
      <c r="E2440" s="33"/>
      <c r="F2440" s="89"/>
    </row>
    <row r="2441" spans="2:6" s="6" customFormat="1" x14ac:dyDescent="0.3">
      <c r="B2441" s="29"/>
      <c r="C2441" s="29"/>
      <c r="D2441" s="30"/>
      <c r="E2441" s="33"/>
      <c r="F2441" s="89"/>
    </row>
    <row r="2442" spans="2:6" s="6" customFormat="1" x14ac:dyDescent="0.3">
      <c r="B2442" s="29"/>
      <c r="C2442" s="29"/>
      <c r="D2442" s="30"/>
      <c r="E2442" s="33"/>
      <c r="F2442" s="89"/>
    </row>
    <row r="2443" spans="2:6" s="6" customFormat="1" x14ac:dyDescent="0.3">
      <c r="B2443" s="29"/>
      <c r="C2443" s="29"/>
      <c r="D2443" s="30"/>
      <c r="E2443" s="33"/>
      <c r="F2443" s="89"/>
    </row>
    <row r="2444" spans="2:6" s="6" customFormat="1" x14ac:dyDescent="0.3">
      <c r="B2444" s="29"/>
      <c r="C2444" s="29"/>
      <c r="D2444" s="30"/>
      <c r="E2444" s="33"/>
      <c r="F2444" s="89"/>
    </row>
    <row r="2445" spans="2:6" s="6" customFormat="1" x14ac:dyDescent="0.3">
      <c r="B2445" s="29"/>
      <c r="C2445" s="29"/>
      <c r="D2445" s="30"/>
      <c r="E2445" s="33"/>
      <c r="F2445" s="89"/>
    </row>
    <row r="2446" spans="2:6" s="6" customFormat="1" x14ac:dyDescent="0.3">
      <c r="B2446" s="29"/>
      <c r="C2446" s="29"/>
      <c r="D2446" s="30"/>
      <c r="E2446" s="33"/>
      <c r="F2446" s="89"/>
    </row>
    <row r="2447" spans="2:6" s="6" customFormat="1" x14ac:dyDescent="0.3">
      <c r="B2447" s="29"/>
      <c r="C2447" s="29"/>
      <c r="D2447" s="30"/>
      <c r="E2447" s="33"/>
      <c r="F2447" s="89"/>
    </row>
    <row r="2448" spans="2:6" s="6" customFormat="1" x14ac:dyDescent="0.3">
      <c r="B2448" s="29"/>
      <c r="C2448" s="29"/>
      <c r="D2448" s="30"/>
      <c r="E2448" s="33"/>
      <c r="F2448" s="89"/>
    </row>
    <row r="2449" spans="2:6" s="6" customFormat="1" x14ac:dyDescent="0.3">
      <c r="B2449" s="29"/>
      <c r="C2449" s="29"/>
      <c r="D2449" s="30"/>
      <c r="E2449" s="33"/>
      <c r="F2449" s="89"/>
    </row>
    <row r="2450" spans="2:6" s="6" customFormat="1" x14ac:dyDescent="0.3">
      <c r="B2450" s="29"/>
      <c r="C2450" s="29"/>
      <c r="D2450" s="30"/>
      <c r="E2450" s="33"/>
      <c r="F2450" s="89"/>
    </row>
    <row r="2451" spans="2:6" s="6" customFormat="1" x14ac:dyDescent="0.3">
      <c r="B2451" s="29"/>
      <c r="C2451" s="29"/>
      <c r="D2451" s="30"/>
      <c r="E2451" s="33"/>
      <c r="F2451" s="89"/>
    </row>
    <row r="2452" spans="2:6" s="6" customFormat="1" x14ac:dyDescent="0.3">
      <c r="B2452" s="29"/>
      <c r="C2452" s="29"/>
      <c r="D2452" s="30"/>
      <c r="E2452" s="33"/>
      <c r="F2452" s="89"/>
    </row>
    <row r="2453" spans="2:6" s="6" customFormat="1" x14ac:dyDescent="0.3">
      <c r="B2453" s="29"/>
      <c r="C2453" s="29"/>
      <c r="D2453" s="30"/>
      <c r="E2453" s="33"/>
      <c r="F2453" s="89"/>
    </row>
    <row r="2454" spans="2:6" s="6" customFormat="1" x14ac:dyDescent="0.3">
      <c r="B2454" s="29"/>
      <c r="C2454" s="29"/>
      <c r="D2454" s="30"/>
      <c r="E2454" s="33"/>
      <c r="F2454" s="89"/>
    </row>
    <row r="2455" spans="2:6" s="6" customFormat="1" x14ac:dyDescent="0.3">
      <c r="B2455" s="29"/>
      <c r="C2455" s="29"/>
      <c r="D2455" s="30"/>
      <c r="E2455" s="33"/>
      <c r="F2455" s="89"/>
    </row>
    <row r="2456" spans="2:6" s="6" customFormat="1" x14ac:dyDescent="0.3">
      <c r="B2456" s="29"/>
      <c r="C2456" s="29"/>
      <c r="D2456" s="30"/>
      <c r="E2456" s="33"/>
      <c r="F2456" s="89"/>
    </row>
    <row r="2457" spans="2:6" s="6" customFormat="1" x14ac:dyDescent="0.3">
      <c r="B2457" s="29"/>
      <c r="C2457" s="29"/>
      <c r="D2457" s="30"/>
      <c r="E2457" s="33"/>
      <c r="F2457" s="89"/>
    </row>
    <row r="2458" spans="2:6" s="6" customFormat="1" x14ac:dyDescent="0.3">
      <c r="B2458" s="29"/>
      <c r="C2458" s="29"/>
      <c r="D2458" s="30"/>
      <c r="E2458" s="33"/>
      <c r="F2458" s="89"/>
    </row>
    <row r="2459" spans="2:6" s="6" customFormat="1" x14ac:dyDescent="0.3">
      <c r="B2459" s="29"/>
      <c r="C2459" s="29"/>
      <c r="D2459" s="30"/>
      <c r="E2459" s="33"/>
      <c r="F2459" s="89"/>
    </row>
    <row r="2460" spans="2:6" s="6" customFormat="1" x14ac:dyDescent="0.3">
      <c r="B2460" s="29"/>
      <c r="C2460" s="29"/>
      <c r="D2460" s="30"/>
      <c r="E2460" s="33"/>
      <c r="F2460" s="89"/>
    </row>
    <row r="2461" spans="2:6" s="6" customFormat="1" x14ac:dyDescent="0.3">
      <c r="B2461" s="29"/>
      <c r="C2461" s="29"/>
      <c r="D2461" s="30"/>
      <c r="E2461" s="33"/>
      <c r="F2461" s="89"/>
    </row>
    <row r="2462" spans="2:6" s="6" customFormat="1" x14ac:dyDescent="0.3">
      <c r="B2462" s="29"/>
      <c r="C2462" s="29"/>
      <c r="D2462" s="30"/>
      <c r="E2462" s="33"/>
      <c r="F2462" s="89"/>
    </row>
    <row r="2463" spans="2:6" s="6" customFormat="1" x14ac:dyDescent="0.3">
      <c r="B2463" s="29"/>
      <c r="C2463" s="29"/>
      <c r="D2463" s="30"/>
      <c r="E2463" s="33"/>
      <c r="F2463" s="89"/>
    </row>
    <row r="2464" spans="2:6" s="6" customFormat="1" x14ac:dyDescent="0.3">
      <c r="B2464" s="29"/>
      <c r="C2464" s="29"/>
      <c r="D2464" s="30"/>
      <c r="E2464" s="33"/>
      <c r="F2464" s="89"/>
    </row>
    <row r="2465" spans="2:6" s="6" customFormat="1" x14ac:dyDescent="0.3">
      <c r="B2465" s="29"/>
      <c r="C2465" s="29"/>
      <c r="D2465" s="30"/>
      <c r="E2465" s="33"/>
      <c r="F2465" s="89"/>
    </row>
    <row r="2466" spans="2:6" s="6" customFormat="1" x14ac:dyDescent="0.3">
      <c r="B2466" s="29"/>
      <c r="C2466" s="29"/>
      <c r="D2466" s="30"/>
      <c r="E2466" s="33"/>
      <c r="F2466" s="89"/>
    </row>
    <row r="2467" spans="2:6" s="6" customFormat="1" x14ac:dyDescent="0.3">
      <c r="B2467" s="29"/>
      <c r="C2467" s="29"/>
      <c r="D2467" s="30"/>
      <c r="E2467" s="33"/>
      <c r="F2467" s="89"/>
    </row>
    <row r="2468" spans="2:6" s="6" customFormat="1" x14ac:dyDescent="0.3">
      <c r="B2468" s="29"/>
      <c r="C2468" s="29"/>
      <c r="D2468" s="30"/>
      <c r="E2468" s="33"/>
      <c r="F2468" s="89"/>
    </row>
    <row r="2469" spans="2:6" s="6" customFormat="1" x14ac:dyDescent="0.3">
      <c r="B2469" s="29"/>
      <c r="C2469" s="29"/>
      <c r="D2469" s="30"/>
      <c r="E2469" s="33"/>
      <c r="F2469" s="89"/>
    </row>
    <row r="2470" spans="2:6" s="6" customFormat="1" x14ac:dyDescent="0.3">
      <c r="B2470" s="29"/>
      <c r="C2470" s="29"/>
      <c r="D2470" s="30"/>
      <c r="E2470" s="33"/>
      <c r="F2470" s="89"/>
    </row>
    <row r="2471" spans="2:6" s="6" customFormat="1" x14ac:dyDescent="0.3">
      <c r="B2471" s="29"/>
      <c r="C2471" s="29"/>
      <c r="D2471" s="30"/>
      <c r="E2471" s="33"/>
      <c r="F2471" s="89"/>
    </row>
    <row r="2472" spans="2:6" s="6" customFormat="1" x14ac:dyDescent="0.3">
      <c r="B2472" s="29"/>
      <c r="C2472" s="29"/>
      <c r="D2472" s="30"/>
      <c r="E2472" s="33"/>
      <c r="F2472" s="89"/>
    </row>
    <row r="2473" spans="2:6" s="6" customFormat="1" x14ac:dyDescent="0.3">
      <c r="B2473" s="29"/>
      <c r="C2473" s="29"/>
      <c r="D2473" s="30"/>
      <c r="E2473" s="33"/>
      <c r="F2473" s="89"/>
    </row>
    <row r="2474" spans="2:6" s="6" customFormat="1" x14ac:dyDescent="0.3">
      <c r="B2474" s="29"/>
      <c r="C2474" s="29"/>
      <c r="D2474" s="30"/>
      <c r="E2474" s="33"/>
      <c r="F2474" s="89"/>
    </row>
    <row r="2475" spans="2:6" s="6" customFormat="1" x14ac:dyDescent="0.3">
      <c r="B2475" s="29"/>
      <c r="C2475" s="29"/>
      <c r="D2475" s="30"/>
      <c r="E2475" s="33"/>
      <c r="F2475" s="89"/>
    </row>
    <row r="2476" spans="2:6" s="6" customFormat="1" x14ac:dyDescent="0.3">
      <c r="B2476" s="29"/>
      <c r="C2476" s="29"/>
      <c r="D2476" s="30"/>
      <c r="E2476" s="33"/>
      <c r="F2476" s="89"/>
    </row>
    <row r="2477" spans="2:6" s="6" customFormat="1" x14ac:dyDescent="0.3">
      <c r="B2477" s="29"/>
      <c r="C2477" s="29"/>
      <c r="D2477" s="30"/>
      <c r="E2477" s="33"/>
      <c r="F2477" s="89"/>
    </row>
    <row r="2478" spans="2:6" s="6" customFormat="1" x14ac:dyDescent="0.3">
      <c r="B2478" s="29"/>
      <c r="C2478" s="29"/>
      <c r="D2478" s="30"/>
      <c r="E2478" s="33"/>
      <c r="F2478" s="89"/>
    </row>
    <row r="2479" spans="2:6" s="6" customFormat="1" x14ac:dyDescent="0.3">
      <c r="B2479" s="29"/>
      <c r="C2479" s="29"/>
      <c r="D2479" s="30"/>
      <c r="E2479" s="33"/>
      <c r="F2479" s="89"/>
    </row>
    <row r="2480" spans="2:6" s="6" customFormat="1" x14ac:dyDescent="0.3">
      <c r="B2480" s="29"/>
      <c r="C2480" s="29"/>
      <c r="D2480" s="30"/>
      <c r="E2480" s="33"/>
      <c r="F2480" s="89"/>
    </row>
    <row r="2481" spans="2:6" s="6" customFormat="1" x14ac:dyDescent="0.3">
      <c r="B2481" s="29"/>
      <c r="C2481" s="29"/>
      <c r="D2481" s="30"/>
      <c r="E2481" s="33"/>
      <c r="F2481" s="89"/>
    </row>
    <row r="2482" spans="2:6" s="6" customFormat="1" x14ac:dyDescent="0.3">
      <c r="B2482" s="29"/>
      <c r="C2482" s="29"/>
      <c r="D2482" s="30"/>
      <c r="E2482" s="33"/>
      <c r="F2482" s="89"/>
    </row>
    <row r="2483" spans="2:6" s="6" customFormat="1" x14ac:dyDescent="0.3">
      <c r="B2483" s="29"/>
      <c r="C2483" s="29"/>
      <c r="D2483" s="30"/>
      <c r="E2483" s="33"/>
      <c r="F2483" s="89"/>
    </row>
    <row r="2484" spans="2:6" s="6" customFormat="1" x14ac:dyDescent="0.3">
      <c r="B2484" s="29"/>
      <c r="C2484" s="29"/>
      <c r="D2484" s="30"/>
      <c r="E2484" s="33"/>
      <c r="F2484" s="89"/>
    </row>
    <row r="2485" spans="2:6" s="6" customFormat="1" x14ac:dyDescent="0.3">
      <c r="B2485" s="29"/>
      <c r="C2485" s="29"/>
      <c r="D2485" s="30"/>
      <c r="E2485" s="33"/>
      <c r="F2485" s="89"/>
    </row>
    <row r="2486" spans="2:6" s="6" customFormat="1" x14ac:dyDescent="0.3">
      <c r="B2486" s="29"/>
      <c r="C2486" s="29"/>
      <c r="D2486" s="30"/>
      <c r="E2486" s="33"/>
      <c r="F2486" s="89"/>
    </row>
    <row r="2487" spans="2:6" s="6" customFormat="1" x14ac:dyDescent="0.3">
      <c r="B2487" s="29"/>
      <c r="C2487" s="29"/>
      <c r="D2487" s="30"/>
      <c r="E2487" s="33"/>
      <c r="F2487" s="89"/>
    </row>
    <row r="2488" spans="2:6" s="6" customFormat="1" x14ac:dyDescent="0.3">
      <c r="B2488" s="29"/>
      <c r="C2488" s="29"/>
      <c r="D2488" s="30"/>
      <c r="E2488" s="33"/>
      <c r="F2488" s="89"/>
    </row>
    <row r="2489" spans="2:6" s="6" customFormat="1" x14ac:dyDescent="0.3">
      <c r="B2489" s="29"/>
      <c r="C2489" s="29"/>
      <c r="D2489" s="30"/>
      <c r="E2489" s="33"/>
      <c r="F2489" s="89"/>
    </row>
    <row r="2490" spans="2:6" s="6" customFormat="1" x14ac:dyDescent="0.3">
      <c r="B2490" s="29"/>
      <c r="C2490" s="29"/>
      <c r="D2490" s="30"/>
      <c r="E2490" s="33"/>
      <c r="F2490" s="89"/>
    </row>
    <row r="2491" spans="2:6" s="6" customFormat="1" x14ac:dyDescent="0.3">
      <c r="B2491" s="29"/>
      <c r="C2491" s="29"/>
      <c r="D2491" s="30"/>
      <c r="E2491" s="33"/>
      <c r="F2491" s="89"/>
    </row>
    <row r="2492" spans="2:6" s="6" customFormat="1" x14ac:dyDescent="0.3">
      <c r="B2492" s="29"/>
      <c r="C2492" s="29"/>
      <c r="D2492" s="30"/>
      <c r="E2492" s="33"/>
      <c r="F2492" s="89"/>
    </row>
    <row r="2493" spans="2:6" s="6" customFormat="1" x14ac:dyDescent="0.3">
      <c r="B2493" s="29"/>
      <c r="C2493" s="29"/>
      <c r="D2493" s="30"/>
      <c r="E2493" s="33"/>
      <c r="F2493" s="89"/>
    </row>
    <row r="2494" spans="2:6" s="6" customFormat="1" x14ac:dyDescent="0.3">
      <c r="B2494" s="29"/>
      <c r="C2494" s="29"/>
      <c r="D2494" s="30"/>
      <c r="E2494" s="33"/>
      <c r="F2494" s="89"/>
    </row>
    <row r="2495" spans="2:6" s="6" customFormat="1" x14ac:dyDescent="0.3">
      <c r="B2495" s="29"/>
      <c r="C2495" s="29"/>
      <c r="D2495" s="30"/>
      <c r="E2495" s="33"/>
      <c r="F2495" s="89"/>
    </row>
    <row r="2496" spans="2:6" s="6" customFormat="1" x14ac:dyDescent="0.3">
      <c r="B2496" s="29"/>
      <c r="C2496" s="29"/>
      <c r="D2496" s="30"/>
      <c r="E2496" s="33"/>
      <c r="F2496" s="89"/>
    </row>
    <row r="2497" spans="2:6" s="6" customFormat="1" x14ac:dyDescent="0.3">
      <c r="B2497" s="29"/>
      <c r="C2497" s="29"/>
      <c r="D2497" s="30"/>
      <c r="E2497" s="33"/>
      <c r="F2497" s="89"/>
    </row>
    <row r="2498" spans="2:6" s="6" customFormat="1" x14ac:dyDescent="0.3">
      <c r="B2498" s="29"/>
      <c r="C2498" s="29"/>
      <c r="D2498" s="30"/>
      <c r="E2498" s="33"/>
      <c r="F2498" s="89"/>
    </row>
    <row r="2499" spans="2:6" s="6" customFormat="1" x14ac:dyDescent="0.3">
      <c r="B2499" s="29"/>
      <c r="C2499" s="29"/>
      <c r="D2499" s="30"/>
      <c r="E2499" s="33"/>
      <c r="F2499" s="89"/>
    </row>
    <row r="2500" spans="2:6" s="6" customFormat="1" x14ac:dyDescent="0.3">
      <c r="B2500" s="29"/>
      <c r="C2500" s="29"/>
      <c r="D2500" s="30"/>
      <c r="E2500" s="33"/>
      <c r="F2500" s="89"/>
    </row>
    <row r="2501" spans="2:6" s="6" customFormat="1" x14ac:dyDescent="0.3">
      <c r="B2501" s="29"/>
      <c r="C2501" s="29"/>
      <c r="D2501" s="30"/>
      <c r="E2501" s="33"/>
      <c r="F2501" s="89"/>
    </row>
    <row r="2502" spans="2:6" s="6" customFormat="1" x14ac:dyDescent="0.3">
      <c r="B2502" s="29"/>
      <c r="C2502" s="29"/>
      <c r="D2502" s="30"/>
      <c r="E2502" s="33"/>
      <c r="F2502" s="89"/>
    </row>
    <row r="2503" spans="2:6" s="6" customFormat="1" x14ac:dyDescent="0.3">
      <c r="B2503" s="29"/>
      <c r="C2503" s="29"/>
      <c r="D2503" s="30"/>
      <c r="E2503" s="33"/>
      <c r="F2503" s="89"/>
    </row>
    <row r="2504" spans="2:6" s="6" customFormat="1" x14ac:dyDescent="0.3">
      <c r="B2504" s="29"/>
      <c r="C2504" s="29"/>
      <c r="D2504" s="30"/>
      <c r="E2504" s="33"/>
      <c r="F2504" s="89"/>
    </row>
    <row r="2505" spans="2:6" s="6" customFormat="1" x14ac:dyDescent="0.3">
      <c r="B2505" s="29"/>
      <c r="C2505" s="29"/>
      <c r="D2505" s="30"/>
      <c r="E2505" s="33"/>
      <c r="F2505" s="89"/>
    </row>
    <row r="2506" spans="2:6" s="6" customFormat="1" x14ac:dyDescent="0.3">
      <c r="B2506" s="29"/>
      <c r="C2506" s="29"/>
      <c r="D2506" s="30"/>
      <c r="E2506" s="33"/>
      <c r="F2506" s="89"/>
    </row>
    <row r="2507" spans="2:6" s="6" customFormat="1" x14ac:dyDescent="0.3">
      <c r="B2507" s="29"/>
      <c r="C2507" s="29"/>
      <c r="D2507" s="30"/>
      <c r="E2507" s="33"/>
      <c r="F2507" s="89"/>
    </row>
    <row r="2508" spans="2:6" s="6" customFormat="1" x14ac:dyDescent="0.3">
      <c r="B2508" s="29"/>
      <c r="C2508" s="29"/>
      <c r="D2508" s="30"/>
      <c r="E2508" s="33"/>
      <c r="F2508" s="89"/>
    </row>
    <row r="2509" spans="2:6" s="6" customFormat="1" x14ac:dyDescent="0.3">
      <c r="B2509" s="29"/>
      <c r="C2509" s="29"/>
      <c r="D2509" s="30"/>
      <c r="E2509" s="33"/>
      <c r="F2509" s="89"/>
    </row>
    <row r="2510" spans="2:6" s="6" customFormat="1" x14ac:dyDescent="0.3">
      <c r="B2510" s="29"/>
      <c r="C2510" s="29"/>
      <c r="D2510" s="30"/>
      <c r="E2510" s="33"/>
      <c r="F2510" s="89"/>
    </row>
    <row r="2511" spans="2:6" s="6" customFormat="1" x14ac:dyDescent="0.3">
      <c r="B2511" s="29"/>
      <c r="C2511" s="29"/>
      <c r="D2511" s="30"/>
      <c r="E2511" s="33"/>
      <c r="F2511" s="89"/>
    </row>
    <row r="2512" spans="2:6" s="6" customFormat="1" x14ac:dyDescent="0.3">
      <c r="B2512" s="29"/>
      <c r="C2512" s="29"/>
      <c r="D2512" s="30"/>
      <c r="E2512" s="33"/>
      <c r="F2512" s="89"/>
    </row>
    <row r="2513" spans="2:6" s="6" customFormat="1" x14ac:dyDescent="0.3">
      <c r="B2513" s="29"/>
      <c r="C2513" s="29"/>
      <c r="D2513" s="30"/>
      <c r="E2513" s="33"/>
      <c r="F2513" s="89"/>
    </row>
    <row r="2514" spans="2:6" s="6" customFormat="1" x14ac:dyDescent="0.3">
      <c r="B2514" s="29"/>
      <c r="C2514" s="29"/>
      <c r="D2514" s="30"/>
      <c r="E2514" s="33"/>
      <c r="F2514" s="89"/>
    </row>
    <row r="2515" spans="2:6" s="6" customFormat="1" x14ac:dyDescent="0.3">
      <c r="B2515" s="29"/>
      <c r="C2515" s="29"/>
      <c r="D2515" s="30"/>
      <c r="E2515" s="33"/>
      <c r="F2515" s="89"/>
    </row>
    <row r="2516" spans="2:6" s="6" customFormat="1" x14ac:dyDescent="0.3">
      <c r="B2516" s="29"/>
      <c r="C2516" s="29"/>
      <c r="D2516" s="30"/>
      <c r="E2516" s="33"/>
      <c r="F2516" s="89"/>
    </row>
    <row r="2517" spans="2:6" s="6" customFormat="1" x14ac:dyDescent="0.3">
      <c r="B2517" s="29"/>
      <c r="C2517" s="29"/>
      <c r="D2517" s="30"/>
      <c r="E2517" s="33"/>
      <c r="F2517" s="89"/>
    </row>
    <row r="2518" spans="2:6" s="6" customFormat="1" x14ac:dyDescent="0.3">
      <c r="B2518" s="29"/>
      <c r="C2518" s="29"/>
      <c r="D2518" s="30"/>
      <c r="E2518" s="33"/>
      <c r="F2518" s="89"/>
    </row>
    <row r="2519" spans="2:6" s="6" customFormat="1" x14ac:dyDescent="0.3">
      <c r="B2519" s="29"/>
      <c r="C2519" s="29"/>
      <c r="D2519" s="30"/>
      <c r="E2519" s="33"/>
      <c r="F2519" s="89"/>
    </row>
    <row r="2520" spans="2:6" s="6" customFormat="1" x14ac:dyDescent="0.3">
      <c r="B2520" s="29"/>
      <c r="C2520" s="29"/>
      <c r="D2520" s="30"/>
      <c r="E2520" s="33"/>
      <c r="F2520" s="89"/>
    </row>
    <row r="2521" spans="2:6" s="6" customFormat="1" x14ac:dyDescent="0.3">
      <c r="B2521" s="29"/>
      <c r="C2521" s="29"/>
      <c r="D2521" s="30"/>
      <c r="E2521" s="33"/>
      <c r="F2521" s="89"/>
    </row>
    <row r="2522" spans="2:6" s="6" customFormat="1" x14ac:dyDescent="0.3">
      <c r="B2522" s="29"/>
      <c r="C2522" s="29"/>
      <c r="D2522" s="30"/>
      <c r="E2522" s="33"/>
      <c r="F2522" s="89"/>
    </row>
    <row r="2523" spans="2:6" s="6" customFormat="1" x14ac:dyDescent="0.3">
      <c r="B2523" s="29"/>
      <c r="C2523" s="29"/>
      <c r="D2523" s="30"/>
      <c r="E2523" s="33"/>
      <c r="F2523" s="89"/>
    </row>
    <row r="2524" spans="2:6" s="6" customFormat="1" x14ac:dyDescent="0.3">
      <c r="B2524" s="29"/>
      <c r="C2524" s="29"/>
      <c r="D2524" s="30"/>
      <c r="E2524" s="33"/>
      <c r="F2524" s="89"/>
    </row>
    <row r="2525" spans="2:6" s="6" customFormat="1" x14ac:dyDescent="0.3">
      <c r="B2525" s="29"/>
      <c r="C2525" s="29"/>
      <c r="D2525" s="30"/>
      <c r="E2525" s="33"/>
      <c r="F2525" s="89"/>
    </row>
    <row r="2526" spans="2:6" s="6" customFormat="1" x14ac:dyDescent="0.3">
      <c r="B2526" s="29"/>
      <c r="C2526" s="29"/>
      <c r="D2526" s="30"/>
      <c r="E2526" s="33"/>
      <c r="F2526" s="89"/>
    </row>
    <row r="2527" spans="2:6" s="6" customFormat="1" x14ac:dyDescent="0.3">
      <c r="B2527" s="29"/>
      <c r="C2527" s="29"/>
      <c r="D2527" s="30"/>
      <c r="E2527" s="33"/>
      <c r="F2527" s="89"/>
    </row>
    <row r="2528" spans="2:6" s="6" customFormat="1" x14ac:dyDescent="0.3">
      <c r="B2528" s="29"/>
      <c r="C2528" s="29"/>
      <c r="D2528" s="30"/>
      <c r="E2528" s="33"/>
      <c r="F2528" s="89"/>
    </row>
    <row r="2529" spans="2:6" s="6" customFormat="1" x14ac:dyDescent="0.3">
      <c r="B2529" s="29"/>
      <c r="C2529" s="29"/>
      <c r="D2529" s="30"/>
      <c r="E2529" s="33"/>
      <c r="F2529" s="89"/>
    </row>
    <row r="2530" spans="2:6" s="6" customFormat="1" x14ac:dyDescent="0.3">
      <c r="B2530" s="29"/>
      <c r="C2530" s="29"/>
      <c r="D2530" s="30"/>
      <c r="E2530" s="33"/>
      <c r="F2530" s="89"/>
    </row>
    <row r="2531" spans="2:6" s="6" customFormat="1" x14ac:dyDescent="0.3">
      <c r="B2531" s="29"/>
      <c r="C2531" s="29"/>
      <c r="D2531" s="30"/>
      <c r="E2531" s="33"/>
      <c r="F2531" s="89"/>
    </row>
    <row r="2532" spans="2:6" s="6" customFormat="1" x14ac:dyDescent="0.3">
      <c r="B2532" s="29"/>
      <c r="C2532" s="29"/>
      <c r="D2532" s="30"/>
      <c r="E2532" s="33"/>
      <c r="F2532" s="89"/>
    </row>
    <row r="2533" spans="2:6" s="6" customFormat="1" x14ac:dyDescent="0.3">
      <c r="B2533" s="29"/>
      <c r="C2533" s="29"/>
      <c r="D2533" s="30"/>
      <c r="E2533" s="33"/>
      <c r="F2533" s="89"/>
    </row>
    <row r="2534" spans="2:6" s="6" customFormat="1" x14ac:dyDescent="0.3">
      <c r="B2534" s="29"/>
      <c r="C2534" s="29"/>
      <c r="D2534" s="30"/>
      <c r="E2534" s="33"/>
      <c r="F2534" s="89"/>
    </row>
    <row r="2535" spans="2:6" s="6" customFormat="1" x14ac:dyDescent="0.3">
      <c r="B2535" s="29"/>
      <c r="C2535" s="29"/>
      <c r="D2535" s="30"/>
      <c r="E2535" s="33"/>
      <c r="F2535" s="89"/>
    </row>
    <row r="2536" spans="2:6" s="6" customFormat="1" x14ac:dyDescent="0.3">
      <c r="B2536" s="29"/>
      <c r="C2536" s="29"/>
      <c r="D2536" s="30"/>
      <c r="E2536" s="33"/>
      <c r="F2536" s="89"/>
    </row>
    <row r="2537" spans="2:6" s="6" customFormat="1" x14ac:dyDescent="0.3">
      <c r="B2537" s="29"/>
      <c r="C2537" s="29"/>
      <c r="D2537" s="30"/>
      <c r="E2537" s="33"/>
      <c r="F2537" s="89"/>
    </row>
    <row r="2538" spans="2:6" s="6" customFormat="1" x14ac:dyDescent="0.3">
      <c r="B2538" s="29"/>
      <c r="C2538" s="29"/>
      <c r="D2538" s="30"/>
      <c r="E2538" s="33"/>
      <c r="F2538" s="89"/>
    </row>
    <row r="2539" spans="2:6" s="6" customFormat="1" x14ac:dyDescent="0.3">
      <c r="B2539" s="29"/>
      <c r="C2539" s="29"/>
      <c r="D2539" s="30"/>
      <c r="E2539" s="33"/>
      <c r="F2539" s="89"/>
    </row>
    <row r="2540" spans="2:6" s="6" customFormat="1" x14ac:dyDescent="0.3">
      <c r="B2540" s="29"/>
      <c r="C2540" s="29"/>
      <c r="D2540" s="30"/>
      <c r="E2540" s="33"/>
      <c r="F2540" s="89"/>
    </row>
    <row r="2541" spans="2:6" s="6" customFormat="1" x14ac:dyDescent="0.3">
      <c r="B2541" s="29"/>
      <c r="C2541" s="29"/>
      <c r="D2541" s="30"/>
      <c r="E2541" s="33"/>
      <c r="F2541" s="89"/>
    </row>
    <row r="2542" spans="2:6" s="6" customFormat="1" x14ac:dyDescent="0.3">
      <c r="B2542" s="29"/>
      <c r="C2542" s="29"/>
      <c r="D2542" s="30"/>
      <c r="E2542" s="33"/>
      <c r="F2542" s="89"/>
    </row>
    <row r="2543" spans="2:6" s="6" customFormat="1" x14ac:dyDescent="0.3">
      <c r="B2543" s="29"/>
      <c r="C2543" s="29"/>
      <c r="D2543" s="30"/>
      <c r="E2543" s="33"/>
      <c r="F2543" s="89"/>
    </row>
    <row r="2544" spans="2:6" s="6" customFormat="1" x14ac:dyDescent="0.3">
      <c r="B2544" s="29"/>
      <c r="C2544" s="29"/>
      <c r="D2544" s="30"/>
      <c r="E2544" s="33"/>
      <c r="F2544" s="89"/>
    </row>
    <row r="2545" spans="2:6" s="6" customFormat="1" x14ac:dyDescent="0.3">
      <c r="B2545" s="29"/>
      <c r="C2545" s="29"/>
      <c r="D2545" s="30"/>
      <c r="E2545" s="33"/>
      <c r="F2545" s="89"/>
    </row>
    <row r="2546" spans="2:6" s="6" customFormat="1" x14ac:dyDescent="0.3">
      <c r="B2546" s="29"/>
      <c r="C2546" s="29"/>
      <c r="D2546" s="30"/>
      <c r="E2546" s="33"/>
      <c r="F2546" s="89"/>
    </row>
    <row r="2547" spans="2:6" s="6" customFormat="1" x14ac:dyDescent="0.3">
      <c r="B2547" s="29"/>
      <c r="C2547" s="29"/>
      <c r="D2547" s="30"/>
      <c r="E2547" s="33"/>
      <c r="F2547" s="89"/>
    </row>
    <row r="2548" spans="2:6" s="6" customFormat="1" x14ac:dyDescent="0.3">
      <c r="B2548" s="29"/>
      <c r="C2548" s="29"/>
      <c r="D2548" s="30"/>
      <c r="E2548" s="33"/>
      <c r="F2548" s="89"/>
    </row>
    <row r="2549" spans="2:6" s="6" customFormat="1" x14ac:dyDescent="0.3">
      <c r="B2549" s="29"/>
      <c r="C2549" s="29"/>
      <c r="D2549" s="30"/>
      <c r="E2549" s="33"/>
      <c r="F2549" s="89"/>
    </row>
    <row r="2550" spans="2:6" s="6" customFormat="1" x14ac:dyDescent="0.3">
      <c r="B2550" s="29"/>
      <c r="C2550" s="29"/>
      <c r="D2550" s="30"/>
      <c r="E2550" s="33"/>
      <c r="F2550" s="89"/>
    </row>
    <row r="2551" spans="2:6" s="6" customFormat="1" x14ac:dyDescent="0.3">
      <c r="B2551" s="29"/>
      <c r="C2551" s="29"/>
      <c r="D2551" s="30"/>
      <c r="E2551" s="33"/>
      <c r="F2551" s="89"/>
    </row>
    <row r="2552" spans="2:6" s="6" customFormat="1" x14ac:dyDescent="0.3">
      <c r="B2552" s="29"/>
      <c r="C2552" s="29"/>
      <c r="D2552" s="30"/>
      <c r="E2552" s="33"/>
      <c r="F2552" s="89"/>
    </row>
    <row r="2553" spans="2:6" s="6" customFormat="1" x14ac:dyDescent="0.3">
      <c r="B2553" s="29"/>
      <c r="C2553" s="29"/>
      <c r="D2553" s="30"/>
      <c r="E2553" s="33"/>
      <c r="F2553" s="89"/>
    </row>
    <row r="2554" spans="2:6" s="6" customFormat="1" x14ac:dyDescent="0.3">
      <c r="B2554" s="29"/>
      <c r="C2554" s="29"/>
      <c r="D2554" s="30"/>
      <c r="E2554" s="33"/>
      <c r="F2554" s="89"/>
    </row>
    <row r="2555" spans="2:6" s="6" customFormat="1" x14ac:dyDescent="0.3">
      <c r="B2555" s="29"/>
      <c r="C2555" s="29"/>
      <c r="D2555" s="30"/>
      <c r="E2555" s="33"/>
      <c r="F2555" s="89"/>
    </row>
    <row r="2556" spans="2:6" s="6" customFormat="1" x14ac:dyDescent="0.3">
      <c r="B2556" s="29"/>
      <c r="C2556" s="29"/>
      <c r="D2556" s="30"/>
      <c r="E2556" s="33"/>
      <c r="F2556" s="89"/>
    </row>
    <row r="2557" spans="2:6" s="6" customFormat="1" x14ac:dyDescent="0.3">
      <c r="B2557" s="29"/>
      <c r="C2557" s="29"/>
      <c r="D2557" s="30"/>
      <c r="E2557" s="33"/>
      <c r="F2557" s="89"/>
    </row>
    <row r="2558" spans="2:6" s="6" customFormat="1" x14ac:dyDescent="0.3">
      <c r="B2558" s="29"/>
      <c r="C2558" s="29"/>
      <c r="D2558" s="30"/>
      <c r="E2558" s="33"/>
      <c r="F2558" s="89"/>
    </row>
    <row r="2559" spans="2:6" s="6" customFormat="1" x14ac:dyDescent="0.3">
      <c r="B2559" s="29"/>
      <c r="C2559" s="29"/>
      <c r="D2559" s="30"/>
      <c r="E2559" s="33"/>
      <c r="F2559" s="89"/>
    </row>
    <row r="2560" spans="2:6" s="6" customFormat="1" x14ac:dyDescent="0.3">
      <c r="B2560" s="29"/>
      <c r="C2560" s="29"/>
      <c r="D2560" s="30"/>
      <c r="E2560" s="33"/>
      <c r="F2560" s="89"/>
    </row>
    <row r="2561" spans="2:6" s="6" customFormat="1" x14ac:dyDescent="0.3">
      <c r="B2561" s="29"/>
      <c r="C2561" s="29"/>
      <c r="D2561" s="30"/>
      <c r="E2561" s="33"/>
      <c r="F2561" s="89"/>
    </row>
    <row r="2562" spans="2:6" s="6" customFormat="1" x14ac:dyDescent="0.3">
      <c r="B2562" s="29"/>
      <c r="C2562" s="29"/>
      <c r="D2562" s="30"/>
      <c r="E2562" s="33"/>
      <c r="F2562" s="89"/>
    </row>
    <row r="2563" spans="2:6" s="6" customFormat="1" x14ac:dyDescent="0.3">
      <c r="B2563" s="29"/>
      <c r="C2563" s="29"/>
      <c r="D2563" s="30"/>
      <c r="E2563" s="33"/>
      <c r="F2563" s="89"/>
    </row>
    <row r="2564" spans="2:6" s="6" customFormat="1" x14ac:dyDescent="0.3">
      <c r="B2564" s="29"/>
      <c r="C2564" s="29"/>
      <c r="D2564" s="30"/>
      <c r="E2564" s="33"/>
      <c r="F2564" s="89"/>
    </row>
    <row r="2565" spans="2:6" s="6" customFormat="1" x14ac:dyDescent="0.3">
      <c r="B2565" s="29"/>
      <c r="C2565" s="29"/>
      <c r="D2565" s="30"/>
      <c r="E2565" s="33"/>
      <c r="F2565" s="89"/>
    </row>
    <row r="2566" spans="2:6" s="6" customFormat="1" x14ac:dyDescent="0.3">
      <c r="B2566" s="29"/>
      <c r="C2566" s="29"/>
      <c r="D2566" s="30"/>
      <c r="E2566" s="33"/>
      <c r="F2566" s="89"/>
    </row>
    <row r="2567" spans="2:6" s="6" customFormat="1" x14ac:dyDescent="0.3">
      <c r="B2567" s="29"/>
      <c r="C2567" s="29"/>
      <c r="D2567" s="30"/>
      <c r="E2567" s="33"/>
      <c r="F2567" s="89"/>
    </row>
    <row r="2568" spans="2:6" s="6" customFormat="1" x14ac:dyDescent="0.3">
      <c r="B2568" s="29"/>
      <c r="C2568" s="29"/>
      <c r="D2568" s="30"/>
      <c r="E2568" s="33"/>
      <c r="F2568" s="89"/>
    </row>
    <row r="2569" spans="2:6" s="6" customFormat="1" x14ac:dyDescent="0.3">
      <c r="B2569" s="29"/>
      <c r="C2569" s="29"/>
      <c r="D2569" s="30"/>
      <c r="E2569" s="33"/>
      <c r="F2569" s="89"/>
    </row>
    <row r="2570" spans="2:6" s="6" customFormat="1" x14ac:dyDescent="0.3">
      <c r="B2570" s="29"/>
      <c r="C2570" s="29"/>
      <c r="D2570" s="30"/>
      <c r="E2570" s="33"/>
      <c r="F2570" s="89"/>
    </row>
    <row r="2571" spans="2:6" s="6" customFormat="1" x14ac:dyDescent="0.3">
      <c r="B2571" s="29"/>
      <c r="C2571" s="29"/>
      <c r="D2571" s="30"/>
      <c r="E2571" s="33"/>
      <c r="F2571" s="89"/>
    </row>
    <row r="2572" spans="2:6" s="6" customFormat="1" x14ac:dyDescent="0.3">
      <c r="B2572" s="29"/>
      <c r="C2572" s="29"/>
      <c r="D2572" s="30"/>
      <c r="E2572" s="33"/>
      <c r="F2572" s="89"/>
    </row>
    <row r="2573" spans="2:6" s="6" customFormat="1" x14ac:dyDescent="0.3">
      <c r="B2573" s="29"/>
      <c r="C2573" s="29"/>
      <c r="D2573" s="30"/>
      <c r="E2573" s="33"/>
      <c r="F2573" s="89"/>
    </row>
    <row r="2574" spans="2:6" s="6" customFormat="1" x14ac:dyDescent="0.3">
      <c r="B2574" s="29"/>
      <c r="C2574" s="29"/>
      <c r="D2574" s="30"/>
      <c r="E2574" s="33"/>
      <c r="F2574" s="89"/>
    </row>
    <row r="2575" spans="2:6" s="6" customFormat="1" x14ac:dyDescent="0.3">
      <c r="B2575" s="29"/>
      <c r="C2575" s="29"/>
      <c r="D2575" s="30"/>
      <c r="E2575" s="33"/>
      <c r="F2575" s="89"/>
    </row>
    <row r="2576" spans="2:6" s="6" customFormat="1" x14ac:dyDescent="0.3">
      <c r="B2576" s="29"/>
      <c r="C2576" s="29"/>
      <c r="D2576" s="30"/>
      <c r="E2576" s="33"/>
      <c r="F2576" s="89"/>
    </row>
    <row r="2577" spans="2:6" s="6" customFormat="1" x14ac:dyDescent="0.3">
      <c r="B2577" s="29"/>
      <c r="C2577" s="29"/>
      <c r="D2577" s="30"/>
      <c r="E2577" s="33"/>
      <c r="F2577" s="89"/>
    </row>
    <row r="2578" spans="2:6" s="6" customFormat="1" x14ac:dyDescent="0.3">
      <c r="B2578" s="29"/>
      <c r="C2578" s="29"/>
      <c r="D2578" s="30"/>
      <c r="E2578" s="33"/>
      <c r="F2578" s="89"/>
    </row>
    <row r="2579" spans="2:6" s="6" customFormat="1" x14ac:dyDescent="0.3">
      <c r="B2579" s="29"/>
      <c r="C2579" s="29"/>
      <c r="D2579" s="30"/>
      <c r="E2579" s="33"/>
      <c r="F2579" s="89"/>
    </row>
    <row r="2580" spans="2:6" s="6" customFormat="1" x14ac:dyDescent="0.3">
      <c r="B2580" s="29"/>
      <c r="C2580" s="29"/>
      <c r="D2580" s="30"/>
      <c r="E2580" s="33"/>
      <c r="F2580" s="89"/>
    </row>
    <row r="2581" spans="2:6" s="6" customFormat="1" x14ac:dyDescent="0.3">
      <c r="B2581" s="29"/>
      <c r="C2581" s="29"/>
      <c r="D2581" s="30"/>
      <c r="E2581" s="33"/>
      <c r="F2581" s="89"/>
    </row>
    <row r="2582" spans="2:6" s="6" customFormat="1" x14ac:dyDescent="0.3">
      <c r="B2582" s="29"/>
      <c r="C2582" s="29"/>
      <c r="D2582" s="30"/>
      <c r="E2582" s="33"/>
      <c r="F2582" s="89"/>
    </row>
    <row r="2583" spans="2:6" s="6" customFormat="1" x14ac:dyDescent="0.3">
      <c r="B2583" s="29"/>
      <c r="C2583" s="29"/>
      <c r="D2583" s="30"/>
      <c r="E2583" s="33"/>
      <c r="F2583" s="89"/>
    </row>
    <row r="2584" spans="2:6" s="6" customFormat="1" x14ac:dyDescent="0.3">
      <c r="B2584" s="29"/>
      <c r="C2584" s="29"/>
      <c r="D2584" s="30"/>
      <c r="E2584" s="33"/>
      <c r="F2584" s="89"/>
    </row>
    <row r="2585" spans="2:6" s="6" customFormat="1" x14ac:dyDescent="0.3">
      <c r="B2585" s="29"/>
      <c r="C2585" s="29"/>
      <c r="D2585" s="30"/>
      <c r="E2585" s="33"/>
      <c r="F2585" s="89"/>
    </row>
    <row r="2586" spans="2:6" s="6" customFormat="1" x14ac:dyDescent="0.3">
      <c r="B2586" s="29"/>
      <c r="C2586" s="29"/>
      <c r="D2586" s="30"/>
      <c r="E2586" s="33"/>
      <c r="F2586" s="89"/>
    </row>
    <row r="2587" spans="2:6" s="6" customFormat="1" x14ac:dyDescent="0.3">
      <c r="B2587" s="29"/>
      <c r="C2587" s="29"/>
      <c r="D2587" s="30"/>
      <c r="E2587" s="33"/>
      <c r="F2587" s="89"/>
    </row>
    <row r="2588" spans="2:6" s="6" customFormat="1" x14ac:dyDescent="0.3">
      <c r="B2588" s="29"/>
      <c r="C2588" s="29"/>
      <c r="D2588" s="30"/>
      <c r="E2588" s="33"/>
      <c r="F2588" s="89"/>
    </row>
    <row r="2589" spans="2:6" s="6" customFormat="1" x14ac:dyDescent="0.3">
      <c r="B2589" s="29"/>
      <c r="C2589" s="29"/>
      <c r="D2589" s="30"/>
      <c r="E2589" s="33"/>
      <c r="F2589" s="89"/>
    </row>
    <row r="2590" spans="2:6" s="6" customFormat="1" x14ac:dyDescent="0.3">
      <c r="B2590" s="29"/>
      <c r="C2590" s="29"/>
      <c r="D2590" s="30"/>
      <c r="E2590" s="33"/>
      <c r="F2590" s="89"/>
    </row>
    <row r="2591" spans="2:6" s="6" customFormat="1" x14ac:dyDescent="0.3">
      <c r="B2591" s="29"/>
      <c r="C2591" s="29"/>
      <c r="D2591" s="30"/>
      <c r="E2591" s="33"/>
      <c r="F2591" s="89"/>
    </row>
    <row r="2592" spans="2:6" s="6" customFormat="1" x14ac:dyDescent="0.3">
      <c r="B2592" s="29"/>
      <c r="C2592" s="29"/>
      <c r="D2592" s="30"/>
      <c r="E2592" s="33"/>
      <c r="F2592" s="89"/>
    </row>
    <row r="2593" spans="2:6" s="6" customFormat="1" x14ac:dyDescent="0.3">
      <c r="B2593" s="29"/>
      <c r="C2593" s="29"/>
      <c r="D2593" s="30"/>
      <c r="E2593" s="33"/>
      <c r="F2593" s="89"/>
    </row>
    <row r="2594" spans="2:6" s="6" customFormat="1" x14ac:dyDescent="0.3">
      <c r="B2594" s="29"/>
      <c r="C2594" s="29"/>
      <c r="D2594" s="30"/>
      <c r="E2594" s="33"/>
      <c r="F2594" s="89"/>
    </row>
    <row r="2595" spans="2:6" s="6" customFormat="1" x14ac:dyDescent="0.3">
      <c r="B2595" s="29"/>
      <c r="C2595" s="29"/>
      <c r="D2595" s="30"/>
      <c r="E2595" s="33"/>
      <c r="F2595" s="89"/>
    </row>
    <row r="2596" spans="2:6" s="6" customFormat="1" x14ac:dyDescent="0.3">
      <c r="B2596" s="29"/>
      <c r="C2596" s="29"/>
      <c r="D2596" s="30"/>
      <c r="E2596" s="33"/>
      <c r="F2596" s="89"/>
    </row>
    <row r="2597" spans="2:6" s="6" customFormat="1" x14ac:dyDescent="0.3">
      <c r="B2597" s="29"/>
      <c r="C2597" s="29"/>
      <c r="D2597" s="30"/>
      <c r="E2597" s="33"/>
      <c r="F2597" s="89"/>
    </row>
    <row r="2598" spans="2:6" s="6" customFormat="1" x14ac:dyDescent="0.3">
      <c r="B2598" s="29"/>
      <c r="C2598" s="29"/>
      <c r="D2598" s="30"/>
      <c r="E2598" s="33"/>
      <c r="F2598" s="89"/>
    </row>
    <row r="2599" spans="2:6" s="6" customFormat="1" x14ac:dyDescent="0.3">
      <c r="B2599" s="29"/>
      <c r="C2599" s="29"/>
      <c r="D2599" s="30"/>
      <c r="E2599" s="33"/>
      <c r="F2599" s="89"/>
    </row>
    <row r="2600" spans="2:6" s="6" customFormat="1" x14ac:dyDescent="0.3">
      <c r="B2600" s="29"/>
      <c r="C2600" s="29"/>
      <c r="D2600" s="30"/>
      <c r="E2600" s="33"/>
      <c r="F2600" s="89"/>
    </row>
    <row r="2601" spans="2:6" s="6" customFormat="1" x14ac:dyDescent="0.3">
      <c r="B2601" s="29"/>
      <c r="C2601" s="29"/>
      <c r="D2601" s="30"/>
      <c r="E2601" s="33"/>
      <c r="F2601" s="89"/>
    </row>
    <row r="2602" spans="2:6" s="6" customFormat="1" x14ac:dyDescent="0.3">
      <c r="B2602" s="29"/>
      <c r="C2602" s="29"/>
      <c r="D2602" s="30"/>
      <c r="E2602" s="33"/>
      <c r="F2602" s="89"/>
    </row>
    <row r="2603" spans="2:6" s="6" customFormat="1" x14ac:dyDescent="0.3">
      <c r="B2603" s="29"/>
      <c r="C2603" s="29"/>
      <c r="D2603" s="30"/>
      <c r="E2603" s="33"/>
      <c r="F2603" s="89"/>
    </row>
    <row r="2604" spans="2:6" s="6" customFormat="1" x14ac:dyDescent="0.3">
      <c r="B2604" s="29"/>
      <c r="C2604" s="29"/>
      <c r="D2604" s="30"/>
      <c r="E2604" s="33"/>
      <c r="F2604" s="89"/>
    </row>
    <row r="2605" spans="2:6" s="6" customFormat="1" x14ac:dyDescent="0.3">
      <c r="B2605" s="29"/>
      <c r="C2605" s="29"/>
      <c r="D2605" s="30"/>
      <c r="E2605" s="33"/>
      <c r="F2605" s="89"/>
    </row>
    <row r="2606" spans="2:6" s="6" customFormat="1" x14ac:dyDescent="0.3">
      <c r="B2606" s="29"/>
      <c r="C2606" s="29"/>
      <c r="D2606" s="30"/>
      <c r="E2606" s="33"/>
      <c r="F2606" s="89"/>
    </row>
    <row r="2607" spans="2:6" s="6" customFormat="1" x14ac:dyDescent="0.3">
      <c r="B2607" s="29"/>
      <c r="C2607" s="29"/>
      <c r="D2607" s="30"/>
      <c r="E2607" s="33"/>
      <c r="F2607" s="89"/>
    </row>
    <row r="2608" spans="2:6" s="6" customFormat="1" x14ac:dyDescent="0.3">
      <c r="B2608" s="29"/>
      <c r="C2608" s="29"/>
      <c r="D2608" s="30"/>
      <c r="E2608" s="33"/>
      <c r="F2608" s="89"/>
    </row>
    <row r="2609" spans="2:6" s="6" customFormat="1" x14ac:dyDescent="0.3">
      <c r="B2609" s="29"/>
      <c r="C2609" s="29"/>
      <c r="D2609" s="30"/>
      <c r="E2609" s="33"/>
      <c r="F2609" s="89"/>
    </row>
    <row r="2610" spans="2:6" s="6" customFormat="1" x14ac:dyDescent="0.3">
      <c r="B2610" s="29"/>
      <c r="C2610" s="29"/>
      <c r="D2610" s="30"/>
      <c r="E2610" s="33"/>
      <c r="F2610" s="89"/>
    </row>
    <row r="2611" spans="2:6" s="6" customFormat="1" x14ac:dyDescent="0.3">
      <c r="B2611" s="29"/>
      <c r="C2611" s="29"/>
      <c r="D2611" s="30"/>
      <c r="E2611" s="33"/>
      <c r="F2611" s="89"/>
    </row>
    <row r="2612" spans="2:6" s="6" customFormat="1" x14ac:dyDescent="0.3">
      <c r="B2612" s="29"/>
      <c r="C2612" s="29"/>
      <c r="D2612" s="30"/>
      <c r="E2612" s="33"/>
      <c r="F2612" s="89"/>
    </row>
    <row r="2613" spans="2:6" s="6" customFormat="1" x14ac:dyDescent="0.3">
      <c r="B2613" s="29"/>
      <c r="C2613" s="29"/>
      <c r="D2613" s="30"/>
      <c r="E2613" s="33"/>
      <c r="F2613" s="89"/>
    </row>
    <row r="2614" spans="2:6" s="6" customFormat="1" x14ac:dyDescent="0.3">
      <c r="B2614" s="29"/>
      <c r="C2614" s="29"/>
      <c r="D2614" s="30"/>
      <c r="E2614" s="33"/>
      <c r="F2614" s="89"/>
    </row>
    <row r="2615" spans="2:6" s="6" customFormat="1" x14ac:dyDescent="0.3">
      <c r="B2615" s="29"/>
      <c r="C2615" s="29"/>
      <c r="D2615" s="30"/>
      <c r="E2615" s="33"/>
      <c r="F2615" s="89"/>
    </row>
    <row r="2616" spans="2:6" s="6" customFormat="1" x14ac:dyDescent="0.3">
      <c r="B2616" s="29"/>
      <c r="C2616" s="29"/>
      <c r="D2616" s="30"/>
      <c r="E2616" s="33"/>
      <c r="F2616" s="89"/>
    </row>
    <row r="2617" spans="2:6" s="6" customFormat="1" x14ac:dyDescent="0.3">
      <c r="B2617" s="29"/>
      <c r="C2617" s="29"/>
      <c r="D2617" s="30"/>
      <c r="E2617" s="33"/>
      <c r="F2617" s="89"/>
    </row>
    <row r="2618" spans="2:6" s="6" customFormat="1" x14ac:dyDescent="0.3">
      <c r="B2618" s="29"/>
      <c r="C2618" s="29"/>
      <c r="D2618" s="30"/>
      <c r="E2618" s="33"/>
      <c r="F2618" s="89"/>
    </row>
    <row r="2619" spans="2:6" s="6" customFormat="1" x14ac:dyDescent="0.3">
      <c r="B2619" s="29"/>
      <c r="C2619" s="29"/>
      <c r="D2619" s="30"/>
      <c r="E2619" s="33"/>
      <c r="F2619" s="89"/>
    </row>
    <row r="2620" spans="2:6" s="6" customFormat="1" x14ac:dyDescent="0.3">
      <c r="B2620" s="29"/>
      <c r="C2620" s="29"/>
      <c r="D2620" s="30"/>
      <c r="E2620" s="33"/>
      <c r="F2620" s="89"/>
    </row>
    <row r="2621" spans="2:6" s="6" customFormat="1" x14ac:dyDescent="0.3">
      <c r="B2621" s="29"/>
      <c r="C2621" s="29"/>
      <c r="D2621" s="30"/>
      <c r="E2621" s="33"/>
      <c r="F2621" s="89"/>
    </row>
    <row r="2622" spans="2:6" s="6" customFormat="1" x14ac:dyDescent="0.3">
      <c r="B2622" s="29"/>
      <c r="C2622" s="29"/>
      <c r="D2622" s="30"/>
      <c r="E2622" s="33"/>
      <c r="F2622" s="89"/>
    </row>
    <row r="2623" spans="2:6" s="6" customFormat="1" x14ac:dyDescent="0.3">
      <c r="B2623" s="29"/>
      <c r="C2623" s="29"/>
      <c r="D2623" s="30"/>
      <c r="E2623" s="33"/>
      <c r="F2623" s="89"/>
    </row>
    <row r="2624" spans="2:6" s="6" customFormat="1" x14ac:dyDescent="0.3">
      <c r="B2624" s="29"/>
      <c r="C2624" s="29"/>
      <c r="D2624" s="30"/>
      <c r="E2624" s="33"/>
      <c r="F2624" s="89"/>
    </row>
    <row r="2625" spans="2:6" s="6" customFormat="1" x14ac:dyDescent="0.3">
      <c r="B2625" s="29"/>
      <c r="C2625" s="29"/>
      <c r="D2625" s="30"/>
      <c r="E2625" s="33"/>
      <c r="F2625" s="89"/>
    </row>
    <row r="2626" spans="2:6" s="6" customFormat="1" x14ac:dyDescent="0.3">
      <c r="B2626" s="29"/>
      <c r="C2626" s="29"/>
      <c r="D2626" s="30"/>
      <c r="E2626" s="33"/>
      <c r="F2626" s="89"/>
    </row>
    <row r="2627" spans="2:6" s="6" customFormat="1" x14ac:dyDescent="0.3">
      <c r="B2627" s="29"/>
      <c r="C2627" s="29"/>
      <c r="D2627" s="30"/>
      <c r="E2627" s="33"/>
      <c r="F2627" s="89"/>
    </row>
    <row r="2628" spans="2:6" s="6" customFormat="1" x14ac:dyDescent="0.3">
      <c r="B2628" s="29"/>
      <c r="C2628" s="29"/>
      <c r="D2628" s="30"/>
      <c r="E2628" s="33"/>
      <c r="F2628" s="89"/>
    </row>
    <row r="2629" spans="2:6" s="6" customFormat="1" x14ac:dyDescent="0.3">
      <c r="B2629" s="29"/>
      <c r="C2629" s="29"/>
      <c r="D2629" s="30"/>
      <c r="E2629" s="33"/>
      <c r="F2629" s="89"/>
    </row>
    <row r="2630" spans="2:6" s="6" customFormat="1" x14ac:dyDescent="0.3">
      <c r="B2630" s="29"/>
      <c r="C2630" s="29"/>
      <c r="D2630" s="30"/>
      <c r="E2630" s="33"/>
      <c r="F2630" s="89"/>
    </row>
    <row r="2631" spans="2:6" s="6" customFormat="1" x14ac:dyDescent="0.3">
      <c r="B2631" s="29"/>
      <c r="C2631" s="29"/>
      <c r="D2631" s="30"/>
      <c r="E2631" s="33"/>
      <c r="F2631" s="89"/>
    </row>
    <row r="2632" spans="2:6" s="6" customFormat="1" x14ac:dyDescent="0.3">
      <c r="B2632" s="29"/>
      <c r="C2632" s="29"/>
      <c r="D2632" s="30"/>
      <c r="E2632" s="33"/>
      <c r="F2632" s="89"/>
    </row>
    <row r="2633" spans="2:6" s="6" customFormat="1" x14ac:dyDescent="0.3">
      <c r="B2633" s="29"/>
      <c r="C2633" s="29"/>
      <c r="D2633" s="30"/>
      <c r="E2633" s="33"/>
      <c r="F2633" s="89"/>
    </row>
    <row r="2634" spans="2:6" s="6" customFormat="1" x14ac:dyDescent="0.3">
      <c r="B2634" s="29"/>
      <c r="C2634" s="29"/>
      <c r="D2634" s="30"/>
      <c r="E2634" s="33"/>
      <c r="F2634" s="89"/>
    </row>
    <row r="2635" spans="2:6" s="6" customFormat="1" x14ac:dyDescent="0.3">
      <c r="B2635" s="29"/>
      <c r="C2635" s="29"/>
      <c r="D2635" s="30"/>
      <c r="E2635" s="33"/>
      <c r="F2635" s="89"/>
    </row>
    <row r="2636" spans="2:6" s="6" customFormat="1" x14ac:dyDescent="0.3">
      <c r="B2636" s="29"/>
      <c r="C2636" s="29"/>
      <c r="D2636" s="30"/>
      <c r="E2636" s="33"/>
      <c r="F2636" s="89"/>
    </row>
    <row r="2637" spans="2:6" s="6" customFormat="1" x14ac:dyDescent="0.3">
      <c r="B2637" s="29"/>
      <c r="C2637" s="29"/>
      <c r="D2637" s="30"/>
      <c r="E2637" s="33"/>
      <c r="F2637" s="89"/>
    </row>
    <row r="2638" spans="2:6" s="6" customFormat="1" x14ac:dyDescent="0.3">
      <c r="B2638" s="29"/>
      <c r="C2638" s="29"/>
      <c r="D2638" s="30"/>
      <c r="E2638" s="33"/>
      <c r="F2638" s="89"/>
    </row>
    <row r="2639" spans="2:6" s="6" customFormat="1" x14ac:dyDescent="0.3">
      <c r="B2639" s="29"/>
      <c r="C2639" s="29"/>
      <c r="D2639" s="30"/>
      <c r="E2639" s="33"/>
      <c r="F2639" s="89"/>
    </row>
    <row r="2640" spans="2:6" s="6" customFormat="1" x14ac:dyDescent="0.3">
      <c r="B2640" s="29"/>
      <c r="C2640" s="29"/>
      <c r="D2640" s="30"/>
      <c r="E2640" s="33"/>
      <c r="F2640" s="89"/>
    </row>
    <row r="2641" spans="2:6" s="6" customFormat="1" x14ac:dyDescent="0.3">
      <c r="B2641" s="29"/>
      <c r="C2641" s="29"/>
      <c r="D2641" s="30"/>
      <c r="E2641" s="33"/>
      <c r="F2641" s="89"/>
    </row>
    <row r="2642" spans="2:6" s="6" customFormat="1" x14ac:dyDescent="0.3">
      <c r="B2642" s="29"/>
      <c r="C2642" s="29"/>
      <c r="D2642" s="30"/>
      <c r="E2642" s="33"/>
      <c r="F2642" s="89"/>
    </row>
    <row r="2643" spans="2:6" s="6" customFormat="1" x14ac:dyDescent="0.3">
      <c r="B2643" s="29"/>
      <c r="C2643" s="29"/>
      <c r="D2643" s="30"/>
      <c r="E2643" s="33"/>
      <c r="F2643" s="89"/>
    </row>
    <row r="2644" spans="2:6" s="6" customFormat="1" x14ac:dyDescent="0.3">
      <c r="B2644" s="29"/>
      <c r="C2644" s="29"/>
      <c r="D2644" s="30"/>
      <c r="E2644" s="33"/>
      <c r="F2644" s="89"/>
    </row>
    <row r="2645" spans="2:6" s="6" customFormat="1" x14ac:dyDescent="0.3">
      <c r="B2645" s="29"/>
      <c r="C2645" s="29"/>
      <c r="D2645" s="30"/>
      <c r="E2645" s="33"/>
      <c r="F2645" s="89"/>
    </row>
    <row r="2646" spans="2:6" s="6" customFormat="1" x14ac:dyDescent="0.3">
      <c r="B2646" s="29"/>
      <c r="C2646" s="29"/>
      <c r="D2646" s="30"/>
      <c r="E2646" s="33"/>
      <c r="F2646" s="89"/>
    </row>
    <row r="2647" spans="2:6" s="6" customFormat="1" x14ac:dyDescent="0.3">
      <c r="B2647" s="29"/>
      <c r="C2647" s="29"/>
      <c r="D2647" s="30"/>
      <c r="E2647" s="33"/>
      <c r="F2647" s="89"/>
    </row>
    <row r="2648" spans="2:6" s="6" customFormat="1" x14ac:dyDescent="0.3">
      <c r="B2648" s="29"/>
      <c r="C2648" s="29"/>
      <c r="D2648" s="30"/>
      <c r="E2648" s="33"/>
      <c r="F2648" s="89"/>
    </row>
    <row r="2649" spans="2:6" s="6" customFormat="1" x14ac:dyDescent="0.3">
      <c r="B2649" s="29"/>
      <c r="C2649" s="29"/>
      <c r="D2649" s="30"/>
      <c r="E2649" s="33"/>
      <c r="F2649" s="89"/>
    </row>
    <row r="2650" spans="2:6" s="6" customFormat="1" x14ac:dyDescent="0.3">
      <c r="B2650" s="29"/>
      <c r="C2650" s="29"/>
      <c r="D2650" s="30"/>
      <c r="E2650" s="33"/>
      <c r="F2650" s="89"/>
    </row>
    <row r="2651" spans="2:6" s="6" customFormat="1" x14ac:dyDescent="0.3">
      <c r="B2651" s="29"/>
      <c r="C2651" s="29"/>
      <c r="D2651" s="30"/>
      <c r="E2651" s="33"/>
      <c r="F2651" s="89"/>
    </row>
    <row r="2652" spans="2:6" s="6" customFormat="1" x14ac:dyDescent="0.3">
      <c r="B2652" s="29"/>
      <c r="C2652" s="29"/>
      <c r="D2652" s="30"/>
      <c r="E2652" s="33"/>
      <c r="F2652" s="89"/>
    </row>
    <row r="2653" spans="2:6" s="6" customFormat="1" x14ac:dyDescent="0.3">
      <c r="B2653" s="29"/>
      <c r="C2653" s="29"/>
      <c r="D2653" s="30"/>
      <c r="E2653" s="33"/>
      <c r="F2653" s="89"/>
    </row>
    <row r="2654" spans="2:6" s="6" customFormat="1" x14ac:dyDescent="0.3">
      <c r="B2654" s="29"/>
      <c r="C2654" s="29"/>
      <c r="D2654" s="30"/>
      <c r="E2654" s="33"/>
      <c r="F2654" s="89"/>
    </row>
    <row r="2655" spans="2:6" s="6" customFormat="1" x14ac:dyDescent="0.3">
      <c r="B2655" s="29"/>
      <c r="C2655" s="29"/>
      <c r="D2655" s="30"/>
      <c r="E2655" s="33"/>
      <c r="F2655" s="89"/>
    </row>
    <row r="2656" spans="2:6" s="6" customFormat="1" x14ac:dyDescent="0.3">
      <c r="B2656" s="29"/>
      <c r="C2656" s="29"/>
      <c r="D2656" s="30"/>
      <c r="E2656" s="33"/>
      <c r="F2656" s="89"/>
    </row>
    <row r="2657" spans="2:6" s="6" customFormat="1" x14ac:dyDescent="0.3">
      <c r="B2657" s="29"/>
      <c r="C2657" s="29"/>
      <c r="D2657" s="30"/>
      <c r="E2657" s="33"/>
      <c r="F2657" s="89"/>
    </row>
    <row r="2658" spans="2:6" s="6" customFormat="1" x14ac:dyDescent="0.3">
      <c r="B2658" s="29"/>
      <c r="C2658" s="29"/>
      <c r="D2658" s="30"/>
      <c r="E2658" s="33"/>
      <c r="F2658" s="89"/>
    </row>
    <row r="2659" spans="2:6" s="6" customFormat="1" x14ac:dyDescent="0.3">
      <c r="B2659" s="29"/>
      <c r="C2659" s="29"/>
      <c r="D2659" s="30"/>
      <c r="E2659" s="33"/>
      <c r="F2659" s="89"/>
    </row>
    <row r="2660" spans="2:6" s="6" customFormat="1" x14ac:dyDescent="0.3">
      <c r="B2660" s="29"/>
      <c r="C2660" s="29"/>
      <c r="D2660" s="30"/>
      <c r="E2660" s="33"/>
      <c r="F2660" s="89"/>
    </row>
    <row r="2661" spans="2:6" s="6" customFormat="1" x14ac:dyDescent="0.3">
      <c r="B2661" s="29"/>
      <c r="C2661" s="29"/>
      <c r="D2661" s="30"/>
      <c r="E2661" s="33"/>
      <c r="F2661" s="89"/>
    </row>
    <row r="2662" spans="2:6" s="6" customFormat="1" x14ac:dyDescent="0.3">
      <c r="B2662" s="29"/>
      <c r="C2662" s="29"/>
      <c r="D2662" s="30"/>
      <c r="E2662" s="33"/>
      <c r="F2662" s="89"/>
    </row>
    <row r="2663" spans="2:6" s="6" customFormat="1" x14ac:dyDescent="0.3">
      <c r="B2663" s="29"/>
      <c r="C2663" s="29"/>
      <c r="D2663" s="30"/>
      <c r="E2663" s="33"/>
      <c r="F2663" s="89"/>
    </row>
    <row r="2664" spans="2:6" s="6" customFormat="1" x14ac:dyDescent="0.3">
      <c r="B2664" s="29"/>
      <c r="C2664" s="29"/>
      <c r="D2664" s="30"/>
      <c r="E2664" s="33"/>
      <c r="F2664" s="89"/>
    </row>
    <row r="2665" spans="2:6" s="6" customFormat="1" x14ac:dyDescent="0.3">
      <c r="B2665" s="29"/>
      <c r="C2665" s="29"/>
      <c r="D2665" s="30"/>
      <c r="E2665" s="33"/>
      <c r="F2665" s="89"/>
    </row>
    <row r="2666" spans="2:6" s="6" customFormat="1" x14ac:dyDescent="0.3">
      <c r="B2666" s="29"/>
      <c r="C2666" s="29"/>
      <c r="D2666" s="30"/>
      <c r="E2666" s="33"/>
      <c r="F2666" s="89"/>
    </row>
    <row r="2667" spans="2:6" s="6" customFormat="1" x14ac:dyDescent="0.3">
      <c r="B2667" s="29"/>
      <c r="C2667" s="29"/>
      <c r="D2667" s="30"/>
      <c r="E2667" s="33"/>
      <c r="F2667" s="89"/>
    </row>
    <row r="2668" spans="2:6" s="6" customFormat="1" x14ac:dyDescent="0.3">
      <c r="B2668" s="29"/>
      <c r="C2668" s="29"/>
      <c r="D2668" s="30"/>
      <c r="E2668" s="33"/>
      <c r="F2668" s="89"/>
    </row>
    <row r="2669" spans="2:6" s="6" customFormat="1" x14ac:dyDescent="0.3">
      <c r="B2669" s="29"/>
      <c r="C2669" s="29"/>
      <c r="D2669" s="30"/>
      <c r="E2669" s="33"/>
      <c r="F2669" s="89"/>
    </row>
    <row r="2670" spans="2:6" s="6" customFormat="1" x14ac:dyDescent="0.3">
      <c r="B2670" s="29"/>
      <c r="C2670" s="29"/>
      <c r="D2670" s="30"/>
      <c r="E2670" s="33"/>
      <c r="F2670" s="89"/>
    </row>
    <row r="2671" spans="2:6" s="6" customFormat="1" x14ac:dyDescent="0.3">
      <c r="B2671" s="29"/>
      <c r="C2671" s="29"/>
      <c r="D2671" s="30"/>
      <c r="E2671" s="33"/>
      <c r="F2671" s="89"/>
    </row>
    <row r="2672" spans="2:6" s="6" customFormat="1" x14ac:dyDescent="0.3">
      <c r="B2672" s="29"/>
      <c r="C2672" s="29"/>
      <c r="D2672" s="30"/>
      <c r="E2672" s="33"/>
      <c r="F2672" s="89"/>
    </row>
    <row r="2673" spans="2:6" s="6" customFormat="1" x14ac:dyDescent="0.3">
      <c r="B2673" s="29"/>
      <c r="C2673" s="29"/>
      <c r="D2673" s="30"/>
      <c r="E2673" s="33"/>
      <c r="F2673" s="89"/>
    </row>
    <row r="2674" spans="2:6" s="6" customFormat="1" x14ac:dyDescent="0.3">
      <c r="B2674" s="29"/>
      <c r="C2674" s="29"/>
      <c r="D2674" s="30"/>
      <c r="E2674" s="33"/>
      <c r="F2674" s="89"/>
    </row>
    <row r="2675" spans="2:6" s="6" customFormat="1" x14ac:dyDescent="0.3">
      <c r="B2675" s="29"/>
      <c r="C2675" s="29"/>
      <c r="D2675" s="30"/>
      <c r="E2675" s="33"/>
      <c r="F2675" s="89"/>
    </row>
    <row r="2676" spans="2:6" s="6" customFormat="1" x14ac:dyDescent="0.3">
      <c r="B2676" s="29"/>
      <c r="C2676" s="29"/>
      <c r="D2676" s="30"/>
      <c r="E2676" s="33"/>
      <c r="F2676" s="89"/>
    </row>
    <row r="2677" spans="2:6" s="6" customFormat="1" x14ac:dyDescent="0.3">
      <c r="B2677" s="29"/>
      <c r="C2677" s="29"/>
      <c r="D2677" s="30"/>
      <c r="E2677" s="33"/>
      <c r="F2677" s="89"/>
    </row>
    <row r="2678" spans="2:6" s="6" customFormat="1" x14ac:dyDescent="0.3">
      <c r="B2678" s="29"/>
      <c r="C2678" s="29"/>
      <c r="D2678" s="30"/>
      <c r="E2678" s="33"/>
      <c r="F2678" s="89"/>
    </row>
    <row r="2679" spans="2:6" s="6" customFormat="1" x14ac:dyDescent="0.3">
      <c r="B2679" s="29"/>
      <c r="C2679" s="29"/>
      <c r="D2679" s="30"/>
      <c r="E2679" s="33"/>
      <c r="F2679" s="89"/>
    </row>
    <row r="2680" spans="2:6" s="6" customFormat="1" x14ac:dyDescent="0.3">
      <c r="B2680" s="29"/>
      <c r="C2680" s="29"/>
      <c r="D2680" s="30"/>
      <c r="E2680" s="33"/>
      <c r="F2680" s="89"/>
    </row>
    <row r="2681" spans="2:6" s="6" customFormat="1" x14ac:dyDescent="0.3">
      <c r="B2681" s="29"/>
      <c r="C2681" s="29"/>
      <c r="D2681" s="30"/>
      <c r="E2681" s="33"/>
      <c r="F2681" s="89"/>
    </row>
    <row r="2682" spans="2:6" s="6" customFormat="1" x14ac:dyDescent="0.3">
      <c r="B2682" s="29"/>
      <c r="C2682" s="29"/>
      <c r="D2682" s="30"/>
      <c r="E2682" s="33"/>
      <c r="F2682" s="89"/>
    </row>
    <row r="2683" spans="2:6" s="6" customFormat="1" x14ac:dyDescent="0.3">
      <c r="B2683" s="29"/>
      <c r="C2683" s="29"/>
      <c r="D2683" s="30"/>
      <c r="E2683" s="33"/>
      <c r="F2683" s="89"/>
    </row>
    <row r="2684" spans="2:6" s="6" customFormat="1" x14ac:dyDescent="0.3">
      <c r="B2684" s="29"/>
      <c r="C2684" s="29"/>
      <c r="D2684" s="30"/>
      <c r="E2684" s="33"/>
      <c r="F2684" s="89"/>
    </row>
    <row r="2685" spans="2:6" s="6" customFormat="1" x14ac:dyDescent="0.3">
      <c r="B2685" s="29"/>
      <c r="C2685" s="29"/>
      <c r="D2685" s="30"/>
      <c r="E2685" s="33"/>
      <c r="F2685" s="89"/>
    </row>
    <row r="2686" spans="2:6" s="6" customFormat="1" x14ac:dyDescent="0.3">
      <c r="B2686" s="29"/>
      <c r="C2686" s="29"/>
      <c r="D2686" s="30"/>
      <c r="E2686" s="33"/>
      <c r="F2686" s="89"/>
    </row>
    <row r="2687" spans="2:6" s="6" customFormat="1" x14ac:dyDescent="0.3">
      <c r="B2687" s="29"/>
      <c r="C2687" s="29"/>
      <c r="D2687" s="30"/>
      <c r="E2687" s="33"/>
      <c r="F2687" s="89"/>
    </row>
    <row r="2688" spans="2:6" s="6" customFormat="1" x14ac:dyDescent="0.3">
      <c r="B2688" s="29"/>
      <c r="C2688" s="29"/>
      <c r="D2688" s="30"/>
      <c r="E2688" s="33"/>
      <c r="F2688" s="89"/>
    </row>
    <row r="2689" spans="2:6" s="6" customFormat="1" x14ac:dyDescent="0.3">
      <c r="B2689" s="29"/>
      <c r="C2689" s="29"/>
      <c r="D2689" s="30"/>
      <c r="E2689" s="33"/>
      <c r="F2689" s="89"/>
    </row>
    <row r="2690" spans="2:6" s="6" customFormat="1" x14ac:dyDescent="0.3">
      <c r="B2690" s="29"/>
      <c r="C2690" s="29"/>
      <c r="D2690" s="30"/>
      <c r="E2690" s="33"/>
      <c r="F2690" s="89"/>
    </row>
    <row r="2691" spans="2:6" s="6" customFormat="1" x14ac:dyDescent="0.3">
      <c r="B2691" s="29"/>
      <c r="C2691" s="29"/>
      <c r="D2691" s="30"/>
      <c r="E2691" s="33"/>
      <c r="F2691" s="89"/>
    </row>
    <row r="2692" spans="2:6" s="6" customFormat="1" x14ac:dyDescent="0.3">
      <c r="B2692" s="29"/>
      <c r="C2692" s="29"/>
      <c r="D2692" s="30"/>
      <c r="E2692" s="33"/>
      <c r="F2692" s="89"/>
    </row>
    <row r="2693" spans="2:6" s="6" customFormat="1" x14ac:dyDescent="0.3">
      <c r="B2693" s="29"/>
      <c r="C2693" s="29"/>
      <c r="D2693" s="30"/>
      <c r="E2693" s="33"/>
      <c r="F2693" s="89"/>
    </row>
    <row r="2694" spans="2:6" s="6" customFormat="1" x14ac:dyDescent="0.3">
      <c r="B2694" s="29"/>
      <c r="C2694" s="29"/>
      <c r="D2694" s="30"/>
      <c r="E2694" s="33"/>
      <c r="F2694" s="89"/>
    </row>
    <row r="2695" spans="2:6" s="6" customFormat="1" x14ac:dyDescent="0.3">
      <c r="B2695" s="29"/>
      <c r="C2695" s="29"/>
      <c r="D2695" s="30"/>
      <c r="E2695" s="33"/>
      <c r="F2695" s="89"/>
    </row>
    <row r="2696" spans="2:6" s="6" customFormat="1" x14ac:dyDescent="0.3">
      <c r="B2696" s="29"/>
      <c r="C2696" s="29"/>
      <c r="D2696" s="30"/>
      <c r="E2696" s="33"/>
      <c r="F2696" s="89"/>
    </row>
    <row r="2697" spans="2:6" s="6" customFormat="1" x14ac:dyDescent="0.3">
      <c r="B2697" s="29"/>
      <c r="C2697" s="29"/>
      <c r="D2697" s="30"/>
      <c r="E2697" s="33"/>
      <c r="F2697" s="89"/>
    </row>
    <row r="2698" spans="2:6" s="6" customFormat="1" x14ac:dyDescent="0.3">
      <c r="B2698" s="29"/>
      <c r="C2698" s="29"/>
      <c r="D2698" s="30"/>
      <c r="E2698" s="33"/>
      <c r="F2698" s="89"/>
    </row>
    <row r="2699" spans="2:6" s="6" customFormat="1" x14ac:dyDescent="0.3">
      <c r="B2699" s="29"/>
      <c r="C2699" s="29"/>
      <c r="D2699" s="30"/>
      <c r="E2699" s="33"/>
      <c r="F2699" s="89"/>
    </row>
    <row r="2700" spans="2:6" s="6" customFormat="1" x14ac:dyDescent="0.3">
      <c r="B2700" s="29"/>
      <c r="C2700" s="29"/>
      <c r="D2700" s="30"/>
      <c r="E2700" s="33"/>
      <c r="F2700" s="89"/>
    </row>
    <row r="2701" spans="2:6" s="6" customFormat="1" x14ac:dyDescent="0.3">
      <c r="B2701" s="29"/>
      <c r="C2701" s="29"/>
      <c r="D2701" s="30"/>
      <c r="E2701" s="33"/>
      <c r="F2701" s="89"/>
    </row>
    <row r="2702" spans="2:6" s="6" customFormat="1" x14ac:dyDescent="0.3">
      <c r="B2702" s="29"/>
      <c r="C2702" s="29"/>
      <c r="D2702" s="30"/>
      <c r="E2702" s="33"/>
      <c r="F2702" s="89"/>
    </row>
    <row r="2703" spans="2:6" s="6" customFormat="1" x14ac:dyDescent="0.3">
      <c r="B2703" s="29"/>
      <c r="C2703" s="29"/>
      <c r="D2703" s="30"/>
      <c r="E2703" s="33"/>
      <c r="F2703" s="89"/>
    </row>
    <row r="2704" spans="2:6" s="6" customFormat="1" x14ac:dyDescent="0.3">
      <c r="B2704" s="29"/>
      <c r="C2704" s="29"/>
      <c r="D2704" s="30"/>
      <c r="E2704" s="33"/>
      <c r="F2704" s="89"/>
    </row>
    <row r="2705" spans="2:6" s="6" customFormat="1" x14ac:dyDescent="0.3">
      <c r="B2705" s="29"/>
      <c r="C2705" s="29"/>
      <c r="D2705" s="30"/>
      <c r="E2705" s="33"/>
      <c r="F2705" s="89"/>
    </row>
    <row r="2706" spans="2:6" s="6" customFormat="1" x14ac:dyDescent="0.3">
      <c r="B2706" s="29"/>
      <c r="C2706" s="29"/>
      <c r="D2706" s="30"/>
      <c r="E2706" s="33"/>
      <c r="F2706" s="89"/>
    </row>
    <row r="2707" spans="2:6" s="6" customFormat="1" x14ac:dyDescent="0.3">
      <c r="B2707" s="29"/>
      <c r="C2707" s="29"/>
      <c r="D2707" s="30"/>
      <c r="E2707" s="33"/>
      <c r="F2707" s="89"/>
    </row>
    <row r="2708" spans="2:6" s="6" customFormat="1" x14ac:dyDescent="0.3">
      <c r="B2708" s="29"/>
      <c r="C2708" s="29"/>
      <c r="D2708" s="30"/>
      <c r="E2708" s="33"/>
      <c r="F2708" s="89"/>
    </row>
    <row r="2709" spans="2:6" s="6" customFormat="1" x14ac:dyDescent="0.3">
      <c r="B2709" s="29"/>
      <c r="C2709" s="29"/>
      <c r="D2709" s="30"/>
      <c r="E2709" s="33"/>
      <c r="F2709" s="89"/>
    </row>
    <row r="2710" spans="2:6" s="6" customFormat="1" x14ac:dyDescent="0.3">
      <c r="B2710" s="29"/>
      <c r="C2710" s="29"/>
      <c r="D2710" s="30"/>
      <c r="E2710" s="33"/>
      <c r="F2710" s="89"/>
    </row>
    <row r="2711" spans="2:6" s="6" customFormat="1" x14ac:dyDescent="0.3">
      <c r="B2711" s="29"/>
      <c r="C2711" s="29"/>
      <c r="D2711" s="30"/>
      <c r="E2711" s="33"/>
      <c r="F2711" s="89"/>
    </row>
    <row r="2712" spans="2:6" s="6" customFormat="1" x14ac:dyDescent="0.3">
      <c r="B2712" s="29"/>
      <c r="C2712" s="29"/>
      <c r="D2712" s="30"/>
      <c r="E2712" s="33"/>
      <c r="F2712" s="89"/>
    </row>
    <row r="2713" spans="2:6" s="6" customFormat="1" x14ac:dyDescent="0.3">
      <c r="B2713" s="29"/>
      <c r="C2713" s="29"/>
      <c r="D2713" s="30"/>
      <c r="E2713" s="33"/>
      <c r="F2713" s="89"/>
    </row>
    <row r="2714" spans="2:6" s="6" customFormat="1" x14ac:dyDescent="0.3">
      <c r="B2714" s="29"/>
      <c r="C2714" s="29"/>
      <c r="D2714" s="30"/>
      <c r="E2714" s="33"/>
      <c r="F2714" s="89"/>
    </row>
    <row r="2715" spans="2:6" s="6" customFormat="1" x14ac:dyDescent="0.3">
      <c r="B2715" s="29"/>
      <c r="C2715" s="29"/>
      <c r="D2715" s="30"/>
      <c r="E2715" s="33"/>
      <c r="F2715" s="89"/>
    </row>
    <row r="2716" spans="2:6" s="6" customFormat="1" x14ac:dyDescent="0.3">
      <c r="B2716" s="29"/>
      <c r="C2716" s="29"/>
      <c r="D2716" s="30"/>
      <c r="E2716" s="33"/>
      <c r="F2716" s="89"/>
    </row>
    <row r="2717" spans="2:6" s="6" customFormat="1" x14ac:dyDescent="0.3">
      <c r="B2717" s="29"/>
      <c r="C2717" s="29"/>
      <c r="D2717" s="30"/>
      <c r="E2717" s="33"/>
      <c r="F2717" s="89"/>
    </row>
    <row r="2718" spans="2:6" s="6" customFormat="1" x14ac:dyDescent="0.3">
      <c r="B2718" s="29"/>
      <c r="C2718" s="29"/>
      <c r="D2718" s="30"/>
      <c r="E2718" s="33"/>
      <c r="F2718" s="89"/>
    </row>
    <row r="2719" spans="2:6" s="6" customFormat="1" x14ac:dyDescent="0.3">
      <c r="B2719" s="29"/>
      <c r="C2719" s="29"/>
      <c r="D2719" s="30"/>
      <c r="E2719" s="33"/>
      <c r="F2719" s="89"/>
    </row>
    <row r="2720" spans="2:6" s="6" customFormat="1" x14ac:dyDescent="0.3">
      <c r="B2720" s="29"/>
      <c r="C2720" s="29"/>
      <c r="D2720" s="30"/>
      <c r="E2720" s="33"/>
      <c r="F2720" s="89"/>
    </row>
    <row r="2721" spans="2:6" s="6" customFormat="1" x14ac:dyDescent="0.3">
      <c r="B2721" s="29"/>
      <c r="C2721" s="29"/>
      <c r="D2721" s="30"/>
      <c r="E2721" s="33"/>
      <c r="F2721" s="89"/>
    </row>
    <row r="2722" spans="2:6" s="6" customFormat="1" x14ac:dyDescent="0.3">
      <c r="B2722" s="29"/>
      <c r="C2722" s="29"/>
      <c r="D2722" s="30"/>
      <c r="E2722" s="33"/>
      <c r="F2722" s="89"/>
    </row>
    <row r="2723" spans="2:6" s="6" customFormat="1" x14ac:dyDescent="0.3">
      <c r="B2723" s="29"/>
      <c r="C2723" s="29"/>
      <c r="D2723" s="30"/>
      <c r="E2723" s="33"/>
      <c r="F2723" s="89"/>
    </row>
    <row r="2724" spans="2:6" s="6" customFormat="1" x14ac:dyDescent="0.3">
      <c r="B2724" s="29"/>
      <c r="C2724" s="29"/>
      <c r="D2724" s="30"/>
      <c r="E2724" s="33"/>
      <c r="F2724" s="89"/>
    </row>
    <row r="2725" spans="2:6" s="6" customFormat="1" x14ac:dyDescent="0.3">
      <c r="B2725" s="29"/>
      <c r="C2725" s="29"/>
      <c r="D2725" s="30"/>
      <c r="E2725" s="33"/>
      <c r="F2725" s="89"/>
    </row>
    <row r="2726" spans="2:6" s="6" customFormat="1" x14ac:dyDescent="0.3">
      <c r="B2726" s="29"/>
      <c r="C2726" s="29"/>
      <c r="D2726" s="30"/>
      <c r="E2726" s="33"/>
      <c r="F2726" s="89"/>
    </row>
    <row r="2727" spans="2:6" s="6" customFormat="1" x14ac:dyDescent="0.3">
      <c r="B2727" s="29"/>
      <c r="C2727" s="29"/>
      <c r="D2727" s="30"/>
      <c r="E2727" s="33"/>
      <c r="F2727" s="89"/>
    </row>
    <row r="2728" spans="2:6" s="6" customFormat="1" x14ac:dyDescent="0.3">
      <c r="B2728" s="29"/>
      <c r="C2728" s="29"/>
      <c r="D2728" s="30"/>
      <c r="E2728" s="33"/>
      <c r="F2728" s="89"/>
    </row>
    <row r="2729" spans="2:6" s="6" customFormat="1" x14ac:dyDescent="0.3">
      <c r="B2729" s="29"/>
      <c r="C2729" s="29"/>
      <c r="D2729" s="30"/>
      <c r="E2729" s="33"/>
      <c r="F2729" s="89"/>
    </row>
    <row r="2730" spans="2:6" s="6" customFormat="1" x14ac:dyDescent="0.3">
      <c r="B2730" s="29"/>
      <c r="C2730" s="29"/>
      <c r="D2730" s="30"/>
      <c r="E2730" s="33"/>
      <c r="F2730" s="89"/>
    </row>
    <row r="2731" spans="2:6" s="6" customFormat="1" x14ac:dyDescent="0.3">
      <c r="B2731" s="29"/>
      <c r="C2731" s="29"/>
      <c r="D2731" s="30"/>
      <c r="E2731" s="33"/>
      <c r="F2731" s="89"/>
    </row>
    <row r="2732" spans="2:6" s="6" customFormat="1" x14ac:dyDescent="0.3">
      <c r="B2732" s="29"/>
      <c r="C2732" s="29"/>
      <c r="D2732" s="30"/>
      <c r="E2732" s="33"/>
      <c r="F2732" s="89"/>
    </row>
    <row r="2733" spans="2:6" s="6" customFormat="1" x14ac:dyDescent="0.3">
      <c r="B2733" s="29"/>
      <c r="C2733" s="29"/>
      <c r="D2733" s="30"/>
      <c r="E2733" s="33"/>
      <c r="F2733" s="89"/>
    </row>
    <row r="2734" spans="2:6" s="6" customFormat="1" x14ac:dyDescent="0.3">
      <c r="B2734" s="29"/>
      <c r="C2734" s="29"/>
      <c r="D2734" s="30"/>
      <c r="E2734" s="33"/>
      <c r="F2734" s="89"/>
    </row>
    <row r="2735" spans="2:6" s="6" customFormat="1" x14ac:dyDescent="0.3">
      <c r="B2735" s="29"/>
      <c r="C2735" s="29"/>
      <c r="D2735" s="30"/>
      <c r="E2735" s="33"/>
      <c r="F2735" s="89"/>
    </row>
    <row r="2736" spans="2:6" s="6" customFormat="1" x14ac:dyDescent="0.3">
      <c r="B2736" s="29"/>
      <c r="C2736" s="29"/>
      <c r="D2736" s="30"/>
      <c r="E2736" s="33"/>
      <c r="F2736" s="89"/>
    </row>
    <row r="2737" spans="2:6" s="6" customFormat="1" x14ac:dyDescent="0.3">
      <c r="B2737" s="29"/>
      <c r="C2737" s="29"/>
      <c r="D2737" s="30"/>
      <c r="E2737" s="33"/>
      <c r="F2737" s="89"/>
    </row>
    <row r="2738" spans="2:6" s="6" customFormat="1" x14ac:dyDescent="0.3">
      <c r="B2738" s="29"/>
      <c r="C2738" s="29"/>
      <c r="D2738" s="30"/>
      <c r="E2738" s="33"/>
      <c r="F2738" s="89"/>
    </row>
    <row r="2739" spans="2:6" s="6" customFormat="1" x14ac:dyDescent="0.3">
      <c r="B2739" s="29"/>
      <c r="C2739" s="29"/>
      <c r="D2739" s="30"/>
      <c r="E2739" s="33"/>
      <c r="F2739" s="89"/>
    </row>
    <row r="2740" spans="2:6" s="6" customFormat="1" x14ac:dyDescent="0.3">
      <c r="B2740" s="29"/>
      <c r="C2740" s="29"/>
      <c r="D2740" s="30"/>
      <c r="E2740" s="33"/>
      <c r="F2740" s="89"/>
    </row>
    <row r="2741" spans="2:6" s="6" customFormat="1" x14ac:dyDescent="0.3">
      <c r="B2741" s="29"/>
      <c r="C2741" s="29"/>
      <c r="D2741" s="30"/>
      <c r="E2741" s="33"/>
      <c r="F2741" s="89"/>
    </row>
    <row r="2742" spans="2:6" s="6" customFormat="1" x14ac:dyDescent="0.3">
      <c r="B2742" s="29"/>
      <c r="C2742" s="29"/>
      <c r="D2742" s="30"/>
      <c r="E2742" s="33"/>
      <c r="F2742" s="89"/>
    </row>
    <row r="2743" spans="2:6" s="6" customFormat="1" x14ac:dyDescent="0.3">
      <c r="B2743" s="29"/>
      <c r="C2743" s="29"/>
      <c r="D2743" s="30"/>
      <c r="E2743" s="33"/>
      <c r="F2743" s="89"/>
    </row>
    <row r="2744" spans="2:6" s="6" customFormat="1" x14ac:dyDescent="0.3">
      <c r="B2744" s="29"/>
      <c r="C2744" s="29"/>
      <c r="D2744" s="30"/>
      <c r="E2744" s="33"/>
      <c r="F2744" s="89"/>
    </row>
    <row r="2745" spans="2:6" s="6" customFormat="1" x14ac:dyDescent="0.3">
      <c r="B2745" s="29"/>
      <c r="C2745" s="29"/>
      <c r="D2745" s="30"/>
      <c r="E2745" s="33"/>
      <c r="F2745" s="89"/>
    </row>
    <row r="2746" spans="2:6" s="6" customFormat="1" x14ac:dyDescent="0.3">
      <c r="B2746" s="29"/>
      <c r="C2746" s="29"/>
      <c r="D2746" s="30"/>
      <c r="E2746" s="33"/>
      <c r="F2746" s="89"/>
    </row>
    <row r="2747" spans="2:6" s="6" customFormat="1" x14ac:dyDescent="0.3">
      <c r="B2747" s="29"/>
      <c r="C2747" s="29"/>
      <c r="D2747" s="30"/>
      <c r="E2747" s="33"/>
      <c r="F2747" s="89"/>
    </row>
    <row r="2748" spans="2:6" s="6" customFormat="1" x14ac:dyDescent="0.3">
      <c r="B2748" s="29"/>
      <c r="C2748" s="29"/>
      <c r="D2748" s="30"/>
      <c r="E2748" s="33"/>
      <c r="F2748" s="89"/>
    </row>
    <row r="2749" spans="2:6" s="6" customFormat="1" x14ac:dyDescent="0.3">
      <c r="B2749" s="29"/>
      <c r="C2749" s="29"/>
      <c r="D2749" s="30"/>
      <c r="E2749" s="33"/>
      <c r="F2749" s="89"/>
    </row>
    <row r="2750" spans="2:6" s="6" customFormat="1" x14ac:dyDescent="0.3">
      <c r="B2750" s="29"/>
      <c r="C2750" s="29"/>
      <c r="D2750" s="30"/>
      <c r="E2750" s="33"/>
      <c r="F2750" s="89"/>
    </row>
    <row r="2751" spans="2:6" s="6" customFormat="1" x14ac:dyDescent="0.3">
      <c r="B2751" s="29"/>
      <c r="C2751" s="29"/>
      <c r="D2751" s="30"/>
      <c r="E2751" s="33"/>
      <c r="F2751" s="89"/>
    </row>
    <row r="2752" spans="2:6" s="6" customFormat="1" x14ac:dyDescent="0.3">
      <c r="B2752" s="29"/>
      <c r="C2752" s="29"/>
      <c r="D2752" s="30"/>
      <c r="E2752" s="33"/>
      <c r="F2752" s="89"/>
    </row>
    <row r="2753" spans="2:6" s="6" customFormat="1" x14ac:dyDescent="0.3">
      <c r="B2753" s="29"/>
      <c r="C2753" s="29"/>
      <c r="D2753" s="30"/>
      <c r="E2753" s="33"/>
      <c r="F2753" s="89"/>
    </row>
    <row r="2754" spans="2:6" s="6" customFormat="1" x14ac:dyDescent="0.3">
      <c r="B2754" s="29"/>
      <c r="C2754" s="29"/>
      <c r="D2754" s="30"/>
      <c r="E2754" s="33"/>
      <c r="F2754" s="89"/>
    </row>
    <row r="2755" spans="2:6" s="6" customFormat="1" x14ac:dyDescent="0.3">
      <c r="B2755" s="29"/>
      <c r="C2755" s="29"/>
      <c r="D2755" s="30"/>
      <c r="E2755" s="33"/>
      <c r="F2755" s="89"/>
    </row>
    <row r="2756" spans="2:6" s="6" customFormat="1" x14ac:dyDescent="0.3">
      <c r="B2756" s="29"/>
      <c r="C2756" s="29"/>
      <c r="D2756" s="30"/>
      <c r="E2756" s="33"/>
      <c r="F2756" s="89"/>
    </row>
    <row r="2757" spans="2:6" s="6" customFormat="1" x14ac:dyDescent="0.3">
      <c r="B2757" s="29"/>
      <c r="C2757" s="29"/>
      <c r="D2757" s="30"/>
      <c r="E2757" s="33"/>
      <c r="F2757" s="89"/>
    </row>
    <row r="2758" spans="2:6" s="6" customFormat="1" x14ac:dyDescent="0.3">
      <c r="B2758" s="29"/>
      <c r="C2758" s="29"/>
      <c r="D2758" s="30"/>
      <c r="E2758" s="33"/>
      <c r="F2758" s="89"/>
    </row>
    <row r="2759" spans="2:6" s="6" customFormat="1" x14ac:dyDescent="0.3">
      <c r="B2759" s="29"/>
      <c r="C2759" s="29"/>
      <c r="D2759" s="30"/>
      <c r="E2759" s="33"/>
      <c r="F2759" s="89"/>
    </row>
    <row r="2760" spans="2:6" s="6" customFormat="1" x14ac:dyDescent="0.3">
      <c r="B2760" s="29"/>
      <c r="C2760" s="29"/>
      <c r="D2760" s="30"/>
      <c r="E2760" s="33"/>
      <c r="F2760" s="89"/>
    </row>
    <row r="2761" spans="2:6" s="6" customFormat="1" x14ac:dyDescent="0.3">
      <c r="B2761" s="29"/>
      <c r="C2761" s="29"/>
      <c r="D2761" s="30"/>
      <c r="E2761" s="33"/>
      <c r="F2761" s="89"/>
    </row>
    <row r="2762" spans="2:6" s="6" customFormat="1" x14ac:dyDescent="0.3">
      <c r="B2762" s="29"/>
      <c r="C2762" s="29"/>
      <c r="D2762" s="30"/>
      <c r="E2762" s="33"/>
      <c r="F2762" s="89"/>
    </row>
    <row r="2763" spans="2:6" s="6" customFormat="1" x14ac:dyDescent="0.3">
      <c r="B2763" s="29"/>
      <c r="C2763" s="29"/>
      <c r="D2763" s="30"/>
      <c r="E2763" s="33"/>
      <c r="F2763" s="89"/>
    </row>
    <row r="2764" spans="2:6" s="6" customFormat="1" x14ac:dyDescent="0.3">
      <c r="B2764" s="29"/>
      <c r="C2764" s="29"/>
      <c r="D2764" s="30"/>
      <c r="E2764" s="33"/>
      <c r="F2764" s="89"/>
    </row>
    <row r="2765" spans="2:6" s="6" customFormat="1" x14ac:dyDescent="0.3">
      <c r="B2765" s="29"/>
      <c r="C2765" s="29"/>
      <c r="D2765" s="30"/>
      <c r="E2765" s="33"/>
      <c r="F2765" s="89"/>
    </row>
    <row r="2766" spans="2:6" s="6" customFormat="1" x14ac:dyDescent="0.3">
      <c r="B2766" s="29"/>
      <c r="C2766" s="29"/>
      <c r="D2766" s="30"/>
      <c r="E2766" s="33"/>
      <c r="F2766" s="89"/>
    </row>
    <row r="2767" spans="2:6" s="6" customFormat="1" x14ac:dyDescent="0.3">
      <c r="B2767" s="29"/>
      <c r="C2767" s="29"/>
      <c r="D2767" s="30"/>
      <c r="E2767" s="33"/>
      <c r="F2767" s="89"/>
    </row>
    <row r="2768" spans="2:6" s="6" customFormat="1" x14ac:dyDescent="0.3">
      <c r="B2768" s="29"/>
      <c r="C2768" s="29"/>
      <c r="D2768" s="30"/>
      <c r="E2768" s="33"/>
      <c r="F2768" s="89"/>
    </row>
    <row r="2769" spans="2:6" s="6" customFormat="1" x14ac:dyDescent="0.3">
      <c r="B2769" s="29"/>
      <c r="C2769" s="29"/>
      <c r="D2769" s="30"/>
      <c r="E2769" s="33"/>
      <c r="F2769" s="89"/>
    </row>
    <row r="2770" spans="2:6" s="6" customFormat="1" x14ac:dyDescent="0.3">
      <c r="B2770" s="29"/>
      <c r="C2770" s="29"/>
      <c r="D2770" s="30"/>
      <c r="E2770" s="33"/>
      <c r="F2770" s="89"/>
    </row>
    <row r="2771" spans="2:6" s="6" customFormat="1" x14ac:dyDescent="0.3">
      <c r="B2771" s="29"/>
      <c r="C2771" s="29"/>
      <c r="D2771" s="30"/>
      <c r="E2771" s="33"/>
      <c r="F2771" s="89"/>
    </row>
    <row r="2772" spans="2:6" s="6" customFormat="1" x14ac:dyDescent="0.3">
      <c r="B2772" s="29"/>
      <c r="C2772" s="29"/>
      <c r="D2772" s="30"/>
      <c r="E2772" s="33"/>
      <c r="F2772" s="89"/>
    </row>
    <row r="2773" spans="2:6" s="6" customFormat="1" x14ac:dyDescent="0.3">
      <c r="B2773" s="29"/>
      <c r="C2773" s="29"/>
      <c r="D2773" s="30"/>
      <c r="E2773" s="33"/>
      <c r="F2773" s="89"/>
    </row>
    <row r="2774" spans="2:6" s="6" customFormat="1" x14ac:dyDescent="0.3">
      <c r="B2774" s="29"/>
      <c r="C2774" s="29"/>
      <c r="D2774" s="30"/>
      <c r="E2774" s="33"/>
      <c r="F2774" s="89"/>
    </row>
    <row r="2775" spans="2:6" s="6" customFormat="1" x14ac:dyDescent="0.3">
      <c r="B2775" s="29"/>
      <c r="C2775" s="29"/>
      <c r="D2775" s="30"/>
      <c r="E2775" s="33"/>
      <c r="F2775" s="89"/>
    </row>
    <row r="2776" spans="2:6" s="6" customFormat="1" x14ac:dyDescent="0.3">
      <c r="B2776" s="29"/>
      <c r="C2776" s="29"/>
      <c r="D2776" s="30"/>
      <c r="E2776" s="33"/>
      <c r="F2776" s="89"/>
    </row>
    <row r="2777" spans="2:6" s="6" customFormat="1" x14ac:dyDescent="0.3">
      <c r="B2777" s="29"/>
      <c r="C2777" s="29"/>
      <c r="D2777" s="30"/>
      <c r="E2777" s="33"/>
      <c r="F2777" s="89"/>
    </row>
    <row r="2778" spans="2:6" s="6" customFormat="1" x14ac:dyDescent="0.3">
      <c r="B2778" s="29"/>
      <c r="C2778" s="29"/>
      <c r="D2778" s="30"/>
      <c r="E2778" s="33"/>
      <c r="F2778" s="89"/>
    </row>
    <row r="2779" spans="2:6" s="6" customFormat="1" x14ac:dyDescent="0.3">
      <c r="B2779" s="29"/>
      <c r="C2779" s="29"/>
      <c r="D2779" s="30"/>
      <c r="E2779" s="33"/>
      <c r="F2779" s="89"/>
    </row>
    <row r="2780" spans="2:6" s="6" customFormat="1" x14ac:dyDescent="0.3">
      <c r="B2780" s="29"/>
      <c r="C2780" s="29"/>
      <c r="D2780" s="30"/>
      <c r="E2780" s="33"/>
      <c r="F2780" s="89"/>
    </row>
    <row r="2781" spans="2:6" s="6" customFormat="1" x14ac:dyDescent="0.3">
      <c r="B2781" s="29"/>
      <c r="C2781" s="29"/>
      <c r="D2781" s="30"/>
      <c r="E2781" s="33"/>
      <c r="F2781" s="89"/>
    </row>
    <row r="2782" spans="2:6" s="6" customFormat="1" x14ac:dyDescent="0.3">
      <c r="B2782" s="29"/>
      <c r="C2782" s="29"/>
      <c r="D2782" s="30"/>
      <c r="E2782" s="33"/>
      <c r="F2782" s="89"/>
    </row>
    <row r="2783" spans="2:6" s="6" customFormat="1" x14ac:dyDescent="0.3">
      <c r="B2783" s="29"/>
      <c r="C2783" s="29"/>
      <c r="D2783" s="30"/>
      <c r="E2783" s="33"/>
      <c r="F2783" s="89"/>
    </row>
    <row r="2784" spans="2:6" s="6" customFormat="1" x14ac:dyDescent="0.3">
      <c r="B2784" s="29"/>
      <c r="C2784" s="29"/>
      <c r="D2784" s="30"/>
      <c r="E2784" s="33"/>
      <c r="F2784" s="89"/>
    </row>
    <row r="2785" spans="2:6" s="6" customFormat="1" x14ac:dyDescent="0.3">
      <c r="B2785" s="29"/>
      <c r="C2785" s="29"/>
      <c r="D2785" s="30"/>
      <c r="E2785" s="33"/>
      <c r="F2785" s="89"/>
    </row>
    <row r="2786" spans="2:6" s="6" customFormat="1" x14ac:dyDescent="0.3">
      <c r="B2786" s="29"/>
      <c r="C2786" s="29"/>
      <c r="D2786" s="30"/>
      <c r="E2786" s="33"/>
      <c r="F2786" s="89"/>
    </row>
    <row r="2787" spans="2:6" s="6" customFormat="1" x14ac:dyDescent="0.3">
      <c r="B2787" s="29"/>
      <c r="C2787" s="29"/>
      <c r="D2787" s="30"/>
      <c r="E2787" s="33"/>
      <c r="F2787" s="89"/>
    </row>
    <row r="2788" spans="2:6" s="6" customFormat="1" x14ac:dyDescent="0.3">
      <c r="B2788" s="29"/>
      <c r="C2788" s="29"/>
      <c r="D2788" s="30"/>
      <c r="E2788" s="33"/>
      <c r="F2788" s="89"/>
    </row>
    <row r="2789" spans="2:6" s="6" customFormat="1" x14ac:dyDescent="0.3">
      <c r="B2789" s="29"/>
      <c r="C2789" s="29"/>
      <c r="D2789" s="30"/>
      <c r="E2789" s="33"/>
      <c r="F2789" s="89"/>
    </row>
    <row r="2790" spans="2:6" s="6" customFormat="1" x14ac:dyDescent="0.3">
      <c r="B2790" s="29"/>
      <c r="C2790" s="29"/>
      <c r="D2790" s="30"/>
      <c r="E2790" s="33"/>
      <c r="F2790" s="89"/>
    </row>
    <row r="2791" spans="2:6" s="6" customFormat="1" x14ac:dyDescent="0.3">
      <c r="B2791" s="29"/>
      <c r="C2791" s="29"/>
      <c r="D2791" s="30"/>
      <c r="E2791" s="33"/>
      <c r="F2791" s="89"/>
    </row>
    <row r="2792" spans="2:6" s="6" customFormat="1" x14ac:dyDescent="0.3">
      <c r="B2792" s="29"/>
      <c r="C2792" s="29"/>
      <c r="D2792" s="30"/>
      <c r="E2792" s="33"/>
      <c r="F2792" s="89"/>
    </row>
    <row r="2793" spans="2:6" s="6" customFormat="1" x14ac:dyDescent="0.3">
      <c r="B2793" s="29"/>
      <c r="C2793" s="29"/>
      <c r="D2793" s="30"/>
      <c r="E2793" s="33"/>
      <c r="F2793" s="89"/>
    </row>
    <row r="2794" spans="2:6" s="6" customFormat="1" x14ac:dyDescent="0.3">
      <c r="B2794" s="29"/>
      <c r="C2794" s="29"/>
      <c r="D2794" s="30"/>
      <c r="E2794" s="33"/>
      <c r="F2794" s="89"/>
    </row>
    <row r="2795" spans="2:6" s="6" customFormat="1" x14ac:dyDescent="0.3">
      <c r="B2795" s="29"/>
      <c r="C2795" s="29"/>
      <c r="D2795" s="30"/>
      <c r="E2795" s="33"/>
      <c r="F2795" s="89"/>
    </row>
    <row r="2796" spans="2:6" s="6" customFormat="1" x14ac:dyDescent="0.3">
      <c r="B2796" s="29"/>
      <c r="C2796" s="29"/>
      <c r="D2796" s="30"/>
      <c r="E2796" s="33"/>
      <c r="F2796" s="89"/>
    </row>
    <row r="2797" spans="2:6" s="6" customFormat="1" x14ac:dyDescent="0.3">
      <c r="B2797" s="29"/>
      <c r="C2797" s="29"/>
      <c r="D2797" s="30"/>
      <c r="E2797" s="33"/>
      <c r="F2797" s="89"/>
    </row>
    <row r="2798" spans="2:6" s="6" customFormat="1" x14ac:dyDescent="0.3">
      <c r="B2798" s="29"/>
      <c r="C2798" s="29"/>
      <c r="D2798" s="30"/>
      <c r="E2798" s="33"/>
      <c r="F2798" s="89"/>
    </row>
    <row r="2799" spans="2:6" s="6" customFormat="1" x14ac:dyDescent="0.3">
      <c r="B2799" s="29"/>
      <c r="C2799" s="29"/>
      <c r="D2799" s="30"/>
      <c r="E2799" s="33"/>
      <c r="F2799" s="89"/>
    </row>
    <row r="2800" spans="2:6" s="6" customFormat="1" x14ac:dyDescent="0.3">
      <c r="B2800" s="29"/>
      <c r="C2800" s="29"/>
      <c r="D2800" s="30"/>
      <c r="E2800" s="33"/>
      <c r="F2800" s="89"/>
    </row>
    <row r="2801" spans="2:6" s="6" customFormat="1" x14ac:dyDescent="0.3">
      <c r="B2801" s="29"/>
      <c r="C2801" s="29"/>
      <c r="D2801" s="30"/>
      <c r="E2801" s="33"/>
      <c r="F2801" s="89"/>
    </row>
    <row r="2802" spans="2:6" s="6" customFormat="1" x14ac:dyDescent="0.3">
      <c r="B2802" s="29"/>
      <c r="C2802" s="29"/>
      <c r="D2802" s="30"/>
      <c r="E2802" s="33"/>
      <c r="F2802" s="89"/>
    </row>
    <row r="2803" spans="2:6" s="6" customFormat="1" x14ac:dyDescent="0.3">
      <c r="B2803" s="29"/>
      <c r="C2803" s="29"/>
      <c r="D2803" s="30"/>
      <c r="E2803" s="33"/>
      <c r="F2803" s="89"/>
    </row>
    <row r="2804" spans="2:6" s="6" customFormat="1" x14ac:dyDescent="0.3">
      <c r="B2804" s="29"/>
      <c r="C2804" s="29"/>
      <c r="D2804" s="30"/>
      <c r="E2804" s="33"/>
      <c r="F2804" s="89"/>
    </row>
    <row r="2805" spans="2:6" s="6" customFormat="1" x14ac:dyDescent="0.3">
      <c r="B2805" s="29"/>
      <c r="C2805" s="29"/>
      <c r="D2805" s="30"/>
      <c r="E2805" s="33"/>
      <c r="F2805" s="89"/>
    </row>
    <row r="2806" spans="2:6" s="6" customFormat="1" x14ac:dyDescent="0.3">
      <c r="B2806" s="29"/>
      <c r="C2806" s="29"/>
      <c r="D2806" s="30"/>
      <c r="E2806" s="33"/>
      <c r="F2806" s="89"/>
    </row>
    <row r="2807" spans="2:6" s="6" customFormat="1" x14ac:dyDescent="0.3">
      <c r="B2807" s="29"/>
      <c r="C2807" s="29"/>
      <c r="D2807" s="30"/>
      <c r="E2807" s="33"/>
      <c r="F2807" s="89"/>
    </row>
    <row r="2808" spans="2:6" s="6" customFormat="1" x14ac:dyDescent="0.3">
      <c r="B2808" s="29"/>
      <c r="C2808" s="29"/>
      <c r="D2808" s="30"/>
      <c r="E2808" s="33"/>
      <c r="F2808" s="89"/>
    </row>
    <row r="2809" spans="2:6" s="6" customFormat="1" x14ac:dyDescent="0.3">
      <c r="B2809" s="29"/>
      <c r="C2809" s="29"/>
      <c r="D2809" s="30"/>
      <c r="E2809" s="33"/>
      <c r="F2809" s="89"/>
    </row>
    <row r="2810" spans="2:6" s="6" customFormat="1" x14ac:dyDescent="0.3">
      <c r="B2810" s="29"/>
      <c r="C2810" s="29"/>
      <c r="D2810" s="30"/>
      <c r="E2810" s="33"/>
      <c r="F2810" s="89"/>
    </row>
    <row r="2811" spans="2:6" s="6" customFormat="1" x14ac:dyDescent="0.3">
      <c r="B2811" s="29"/>
      <c r="C2811" s="29"/>
      <c r="D2811" s="30"/>
      <c r="E2811" s="33"/>
      <c r="F2811" s="89"/>
    </row>
    <row r="2812" spans="2:6" s="6" customFormat="1" x14ac:dyDescent="0.3">
      <c r="B2812" s="29"/>
      <c r="C2812" s="29"/>
      <c r="D2812" s="30"/>
      <c r="E2812" s="33"/>
      <c r="F2812" s="89"/>
    </row>
    <row r="2813" spans="2:6" s="6" customFormat="1" x14ac:dyDescent="0.3">
      <c r="B2813" s="29"/>
      <c r="C2813" s="29"/>
      <c r="D2813" s="30"/>
      <c r="E2813" s="33"/>
      <c r="F2813" s="89"/>
    </row>
    <row r="2814" spans="2:6" s="6" customFormat="1" x14ac:dyDescent="0.3">
      <c r="B2814" s="29"/>
      <c r="C2814" s="29"/>
      <c r="D2814" s="30"/>
      <c r="E2814" s="33"/>
      <c r="F2814" s="89"/>
    </row>
    <row r="2815" spans="2:6" s="6" customFormat="1" x14ac:dyDescent="0.3">
      <c r="B2815" s="29"/>
      <c r="C2815" s="29"/>
      <c r="D2815" s="30"/>
      <c r="E2815" s="33"/>
      <c r="F2815" s="89"/>
    </row>
    <row r="2816" spans="2:6" s="6" customFormat="1" x14ac:dyDescent="0.3">
      <c r="B2816" s="29"/>
      <c r="C2816" s="29"/>
      <c r="D2816" s="30"/>
      <c r="E2816" s="33"/>
      <c r="F2816" s="89"/>
    </row>
    <row r="2817" spans="2:6" s="6" customFormat="1" x14ac:dyDescent="0.3">
      <c r="B2817" s="29"/>
      <c r="C2817" s="29"/>
      <c r="D2817" s="30"/>
      <c r="E2817" s="33"/>
      <c r="F2817" s="89"/>
    </row>
    <row r="2818" spans="2:6" s="6" customFormat="1" x14ac:dyDescent="0.3">
      <c r="B2818" s="29"/>
      <c r="C2818" s="29"/>
      <c r="D2818" s="30"/>
      <c r="E2818" s="33"/>
      <c r="F2818" s="89"/>
    </row>
    <row r="2819" spans="2:6" s="6" customFormat="1" x14ac:dyDescent="0.3">
      <c r="B2819" s="29"/>
      <c r="C2819" s="29"/>
      <c r="D2819" s="30"/>
      <c r="E2819" s="33"/>
      <c r="F2819" s="89"/>
    </row>
    <row r="2820" spans="2:6" s="6" customFormat="1" x14ac:dyDescent="0.3">
      <c r="B2820" s="29"/>
      <c r="C2820" s="29"/>
      <c r="D2820" s="30"/>
      <c r="E2820" s="33"/>
      <c r="F2820" s="89"/>
    </row>
    <row r="2821" spans="2:6" s="6" customFormat="1" x14ac:dyDescent="0.3">
      <c r="B2821" s="29"/>
      <c r="C2821" s="29"/>
      <c r="D2821" s="30"/>
      <c r="E2821" s="33"/>
      <c r="F2821" s="89"/>
    </row>
    <row r="2822" spans="2:6" s="6" customFormat="1" x14ac:dyDescent="0.3">
      <c r="B2822" s="29"/>
      <c r="C2822" s="29"/>
      <c r="D2822" s="30"/>
      <c r="E2822" s="33"/>
      <c r="F2822" s="89"/>
    </row>
    <row r="2823" spans="2:6" s="6" customFormat="1" x14ac:dyDescent="0.3">
      <c r="B2823" s="29"/>
      <c r="C2823" s="29"/>
      <c r="D2823" s="30"/>
      <c r="E2823" s="33"/>
      <c r="F2823" s="89"/>
    </row>
    <row r="2824" spans="2:6" s="6" customFormat="1" x14ac:dyDescent="0.3">
      <c r="B2824" s="29"/>
      <c r="C2824" s="29"/>
      <c r="D2824" s="30"/>
      <c r="E2824" s="33"/>
      <c r="F2824" s="89"/>
    </row>
    <row r="2825" spans="2:6" s="6" customFormat="1" x14ac:dyDescent="0.3">
      <c r="B2825" s="29"/>
      <c r="C2825" s="29"/>
      <c r="D2825" s="30"/>
      <c r="E2825" s="33"/>
      <c r="F2825" s="89"/>
    </row>
    <row r="2826" spans="2:6" s="6" customFormat="1" x14ac:dyDescent="0.3">
      <c r="B2826" s="29"/>
      <c r="C2826" s="29"/>
      <c r="D2826" s="30"/>
      <c r="E2826" s="33"/>
      <c r="F2826" s="89"/>
    </row>
    <row r="2827" spans="2:6" s="6" customFormat="1" x14ac:dyDescent="0.3">
      <c r="B2827" s="29"/>
      <c r="C2827" s="29"/>
      <c r="D2827" s="30"/>
      <c r="E2827" s="33"/>
      <c r="F2827" s="89"/>
    </row>
    <row r="2828" spans="2:6" s="6" customFormat="1" x14ac:dyDescent="0.3">
      <c r="B2828" s="29"/>
      <c r="C2828" s="29"/>
      <c r="D2828" s="30"/>
      <c r="E2828" s="33"/>
      <c r="F2828" s="89"/>
    </row>
    <row r="2829" spans="2:6" s="6" customFormat="1" x14ac:dyDescent="0.3">
      <c r="B2829" s="29"/>
      <c r="C2829" s="29"/>
      <c r="D2829" s="30"/>
      <c r="E2829" s="33"/>
      <c r="F2829" s="89"/>
    </row>
    <row r="2830" spans="2:6" s="6" customFormat="1" x14ac:dyDescent="0.3">
      <c r="B2830" s="29"/>
      <c r="C2830" s="29"/>
      <c r="D2830" s="30"/>
      <c r="E2830" s="33"/>
      <c r="F2830" s="89"/>
    </row>
    <row r="2831" spans="2:6" s="6" customFormat="1" x14ac:dyDescent="0.3">
      <c r="B2831" s="29"/>
      <c r="C2831" s="29"/>
      <c r="D2831" s="30"/>
      <c r="E2831" s="33"/>
      <c r="F2831" s="89"/>
    </row>
    <row r="2832" spans="2:6" s="6" customFormat="1" x14ac:dyDescent="0.3">
      <c r="B2832" s="29"/>
      <c r="C2832" s="29"/>
      <c r="D2832" s="30"/>
      <c r="E2832" s="33"/>
      <c r="F2832" s="89"/>
    </row>
    <row r="2833" spans="2:6" s="6" customFormat="1" x14ac:dyDescent="0.3">
      <c r="B2833" s="29"/>
      <c r="C2833" s="29"/>
      <c r="D2833" s="30"/>
      <c r="E2833" s="33"/>
      <c r="F2833" s="89"/>
    </row>
    <row r="2834" spans="2:6" s="6" customFormat="1" x14ac:dyDescent="0.3">
      <c r="B2834" s="29"/>
      <c r="C2834" s="29"/>
      <c r="D2834" s="30"/>
      <c r="E2834" s="33"/>
      <c r="F2834" s="89"/>
    </row>
    <row r="2835" spans="2:6" s="6" customFormat="1" x14ac:dyDescent="0.3">
      <c r="B2835" s="29"/>
      <c r="C2835" s="29"/>
      <c r="D2835" s="30"/>
      <c r="E2835" s="33"/>
      <c r="F2835" s="89"/>
    </row>
    <row r="2836" spans="2:6" s="6" customFormat="1" x14ac:dyDescent="0.3">
      <c r="B2836" s="29"/>
      <c r="C2836" s="29"/>
      <c r="D2836" s="30"/>
      <c r="E2836" s="33"/>
      <c r="F2836" s="89"/>
    </row>
    <row r="2837" spans="2:6" s="6" customFormat="1" x14ac:dyDescent="0.3">
      <c r="B2837" s="29"/>
      <c r="C2837" s="29"/>
      <c r="D2837" s="30"/>
      <c r="E2837" s="33"/>
      <c r="F2837" s="89"/>
    </row>
    <row r="2838" spans="2:6" s="6" customFormat="1" x14ac:dyDescent="0.3">
      <c r="B2838" s="29"/>
      <c r="C2838" s="29"/>
      <c r="D2838" s="30"/>
      <c r="E2838" s="33"/>
      <c r="F2838" s="89"/>
    </row>
    <row r="2839" spans="2:6" s="6" customFormat="1" x14ac:dyDescent="0.3">
      <c r="B2839" s="29"/>
      <c r="C2839" s="29"/>
      <c r="D2839" s="30"/>
      <c r="E2839" s="33"/>
      <c r="F2839" s="89"/>
    </row>
    <row r="2840" spans="2:6" s="6" customFormat="1" x14ac:dyDescent="0.3">
      <c r="B2840" s="29"/>
      <c r="C2840" s="29"/>
      <c r="D2840" s="30"/>
      <c r="E2840" s="33"/>
      <c r="F2840" s="89"/>
    </row>
    <row r="2841" spans="2:6" s="6" customFormat="1" x14ac:dyDescent="0.3">
      <c r="B2841" s="29"/>
      <c r="C2841" s="29"/>
      <c r="D2841" s="30"/>
      <c r="E2841" s="33"/>
      <c r="F2841" s="89"/>
    </row>
    <row r="2842" spans="2:6" s="6" customFormat="1" x14ac:dyDescent="0.3">
      <c r="B2842" s="29"/>
      <c r="C2842" s="29"/>
      <c r="D2842" s="30"/>
      <c r="E2842" s="33"/>
      <c r="F2842" s="89"/>
    </row>
    <row r="2843" spans="2:6" s="6" customFormat="1" x14ac:dyDescent="0.3">
      <c r="B2843" s="29"/>
      <c r="C2843" s="29"/>
      <c r="D2843" s="30"/>
      <c r="E2843" s="33"/>
      <c r="F2843" s="89"/>
    </row>
    <row r="2844" spans="2:6" s="6" customFormat="1" x14ac:dyDescent="0.3">
      <c r="B2844" s="29"/>
      <c r="C2844" s="29"/>
      <c r="D2844" s="30"/>
      <c r="E2844" s="33"/>
      <c r="F2844" s="89"/>
    </row>
    <row r="2845" spans="2:6" s="6" customFormat="1" x14ac:dyDescent="0.3">
      <c r="B2845" s="29"/>
      <c r="C2845" s="29"/>
      <c r="D2845" s="30"/>
      <c r="E2845" s="33"/>
      <c r="F2845" s="89"/>
    </row>
    <row r="2846" spans="2:6" s="6" customFormat="1" x14ac:dyDescent="0.3">
      <c r="B2846" s="29"/>
      <c r="C2846" s="29"/>
      <c r="D2846" s="30"/>
      <c r="E2846" s="33"/>
      <c r="F2846" s="89"/>
    </row>
    <row r="2847" spans="2:6" s="6" customFormat="1" x14ac:dyDescent="0.3">
      <c r="B2847" s="29"/>
      <c r="C2847" s="29"/>
      <c r="D2847" s="30"/>
      <c r="E2847" s="33"/>
      <c r="F2847" s="89"/>
    </row>
    <row r="2848" spans="2:6" s="6" customFormat="1" x14ac:dyDescent="0.3">
      <c r="B2848" s="29"/>
      <c r="C2848" s="29"/>
      <c r="D2848" s="30"/>
      <c r="E2848" s="33"/>
      <c r="F2848" s="89"/>
    </row>
    <row r="2849" spans="2:6" s="6" customFormat="1" x14ac:dyDescent="0.3">
      <c r="B2849" s="29"/>
      <c r="C2849" s="29"/>
      <c r="D2849" s="30"/>
      <c r="E2849" s="33"/>
      <c r="F2849" s="89"/>
    </row>
    <row r="2850" spans="2:6" s="6" customFormat="1" x14ac:dyDescent="0.3">
      <c r="B2850" s="29"/>
      <c r="C2850" s="29"/>
      <c r="D2850" s="30"/>
      <c r="E2850" s="33"/>
      <c r="F2850" s="89"/>
    </row>
    <row r="2851" spans="2:6" s="6" customFormat="1" x14ac:dyDescent="0.3">
      <c r="B2851" s="29"/>
      <c r="C2851" s="29"/>
      <c r="D2851" s="30"/>
      <c r="E2851" s="33"/>
      <c r="F2851" s="89"/>
    </row>
    <row r="2852" spans="2:6" s="6" customFormat="1" x14ac:dyDescent="0.3">
      <c r="B2852" s="29"/>
      <c r="C2852" s="29"/>
      <c r="D2852" s="30"/>
      <c r="E2852" s="33"/>
      <c r="F2852" s="89"/>
    </row>
    <row r="2853" spans="2:6" s="6" customFormat="1" x14ac:dyDescent="0.3">
      <c r="B2853" s="29"/>
      <c r="C2853" s="29"/>
      <c r="D2853" s="30"/>
      <c r="E2853" s="33"/>
      <c r="F2853" s="89"/>
    </row>
    <row r="2854" spans="2:6" s="6" customFormat="1" x14ac:dyDescent="0.3">
      <c r="B2854" s="29"/>
      <c r="C2854" s="29"/>
      <c r="D2854" s="30"/>
      <c r="E2854" s="33"/>
      <c r="F2854" s="89"/>
    </row>
    <row r="2855" spans="2:6" s="6" customFormat="1" x14ac:dyDescent="0.3">
      <c r="B2855" s="29"/>
      <c r="C2855" s="29"/>
      <c r="D2855" s="30"/>
      <c r="E2855" s="33"/>
      <c r="F2855" s="89"/>
    </row>
    <row r="2856" spans="2:6" s="6" customFormat="1" x14ac:dyDescent="0.3">
      <c r="B2856" s="29"/>
      <c r="C2856" s="29"/>
      <c r="D2856" s="30"/>
      <c r="E2856" s="33"/>
      <c r="F2856" s="89"/>
    </row>
    <row r="2857" spans="2:6" s="6" customFormat="1" x14ac:dyDescent="0.3">
      <c r="B2857" s="29"/>
      <c r="C2857" s="29"/>
      <c r="D2857" s="30"/>
      <c r="E2857" s="33"/>
      <c r="F2857" s="89"/>
    </row>
    <row r="2858" spans="2:6" s="6" customFormat="1" x14ac:dyDescent="0.3">
      <c r="B2858" s="29"/>
      <c r="C2858" s="29"/>
      <c r="D2858" s="30"/>
      <c r="E2858" s="33"/>
      <c r="F2858" s="89"/>
    </row>
    <row r="2859" spans="2:6" s="6" customFormat="1" x14ac:dyDescent="0.3">
      <c r="B2859" s="29"/>
      <c r="C2859" s="29"/>
      <c r="D2859" s="30"/>
      <c r="E2859" s="33"/>
      <c r="F2859" s="89"/>
    </row>
    <row r="2860" spans="2:6" s="6" customFormat="1" x14ac:dyDescent="0.3">
      <c r="B2860" s="29"/>
      <c r="C2860" s="29"/>
      <c r="D2860" s="30"/>
      <c r="E2860" s="33"/>
      <c r="F2860" s="89"/>
    </row>
    <row r="2861" spans="2:6" s="6" customFormat="1" x14ac:dyDescent="0.3">
      <c r="B2861" s="29"/>
      <c r="C2861" s="29"/>
      <c r="D2861" s="30"/>
      <c r="E2861" s="33"/>
      <c r="F2861" s="89"/>
    </row>
    <row r="2862" spans="2:6" s="6" customFormat="1" x14ac:dyDescent="0.3">
      <c r="B2862" s="29"/>
      <c r="C2862" s="29"/>
      <c r="D2862" s="30"/>
      <c r="E2862" s="33"/>
      <c r="F2862" s="89"/>
    </row>
    <row r="2863" spans="2:6" s="6" customFormat="1" x14ac:dyDescent="0.3">
      <c r="B2863" s="29"/>
      <c r="C2863" s="29"/>
      <c r="D2863" s="30"/>
      <c r="E2863" s="33"/>
      <c r="F2863" s="89"/>
    </row>
    <row r="2864" spans="2:6" s="6" customFormat="1" x14ac:dyDescent="0.3">
      <c r="B2864" s="29"/>
      <c r="C2864" s="29"/>
      <c r="D2864" s="30"/>
      <c r="E2864" s="33"/>
      <c r="F2864" s="89"/>
    </row>
    <row r="2865" spans="2:6" s="6" customFormat="1" x14ac:dyDescent="0.3">
      <c r="B2865" s="29"/>
      <c r="C2865" s="29"/>
      <c r="D2865" s="30"/>
      <c r="E2865" s="33"/>
      <c r="F2865" s="89"/>
    </row>
    <row r="2866" spans="2:6" s="6" customFormat="1" x14ac:dyDescent="0.3">
      <c r="B2866" s="29"/>
      <c r="C2866" s="29"/>
      <c r="D2866" s="30"/>
      <c r="E2866" s="33"/>
      <c r="F2866" s="89"/>
    </row>
    <row r="2867" spans="2:6" s="6" customFormat="1" x14ac:dyDescent="0.3">
      <c r="B2867" s="29"/>
      <c r="C2867" s="29"/>
      <c r="D2867" s="30"/>
      <c r="E2867" s="33"/>
      <c r="F2867" s="89"/>
    </row>
    <row r="2868" spans="2:6" s="6" customFormat="1" x14ac:dyDescent="0.3">
      <c r="B2868" s="29"/>
      <c r="C2868" s="29"/>
      <c r="D2868" s="30"/>
      <c r="E2868" s="33"/>
      <c r="F2868" s="89"/>
    </row>
    <row r="2869" spans="2:6" s="6" customFormat="1" x14ac:dyDescent="0.3">
      <c r="B2869" s="29"/>
      <c r="C2869" s="29"/>
      <c r="D2869" s="30"/>
      <c r="E2869" s="33"/>
      <c r="F2869" s="89"/>
    </row>
    <row r="2870" spans="2:6" s="6" customFormat="1" x14ac:dyDescent="0.3">
      <c r="B2870" s="29"/>
      <c r="C2870" s="29"/>
      <c r="D2870" s="30"/>
      <c r="E2870" s="33"/>
      <c r="F2870" s="89"/>
    </row>
    <row r="2871" spans="2:6" s="6" customFormat="1" x14ac:dyDescent="0.3">
      <c r="B2871" s="29"/>
      <c r="C2871" s="29"/>
      <c r="D2871" s="30"/>
      <c r="E2871" s="33"/>
      <c r="F2871" s="89"/>
    </row>
    <row r="2872" spans="2:6" s="6" customFormat="1" x14ac:dyDescent="0.3">
      <c r="B2872" s="29"/>
      <c r="C2872" s="29"/>
      <c r="D2872" s="30"/>
      <c r="E2872" s="33"/>
      <c r="F2872" s="89"/>
    </row>
    <row r="2873" spans="2:6" s="6" customFormat="1" x14ac:dyDescent="0.3">
      <c r="B2873" s="29"/>
      <c r="C2873" s="29"/>
      <c r="D2873" s="30"/>
      <c r="E2873" s="33"/>
      <c r="F2873" s="89"/>
    </row>
    <row r="2874" spans="2:6" s="6" customFormat="1" x14ac:dyDescent="0.3">
      <c r="B2874" s="29"/>
      <c r="C2874" s="29"/>
      <c r="D2874" s="30"/>
      <c r="E2874" s="33"/>
      <c r="F2874" s="89"/>
    </row>
    <row r="2875" spans="2:6" s="6" customFormat="1" x14ac:dyDescent="0.3">
      <c r="B2875" s="29"/>
      <c r="C2875" s="29"/>
      <c r="D2875" s="30"/>
      <c r="E2875" s="33"/>
      <c r="F2875" s="89"/>
    </row>
    <row r="2876" spans="2:6" s="6" customFormat="1" x14ac:dyDescent="0.3">
      <c r="B2876" s="29"/>
      <c r="C2876" s="29"/>
      <c r="D2876" s="30"/>
      <c r="E2876" s="33"/>
      <c r="F2876" s="89"/>
    </row>
    <row r="2877" spans="2:6" s="6" customFormat="1" x14ac:dyDescent="0.3">
      <c r="B2877" s="29"/>
      <c r="C2877" s="29"/>
      <c r="D2877" s="30"/>
      <c r="E2877" s="33"/>
      <c r="F2877" s="89"/>
    </row>
    <row r="2878" spans="2:6" s="6" customFormat="1" x14ac:dyDescent="0.3">
      <c r="B2878" s="29"/>
      <c r="C2878" s="29"/>
      <c r="D2878" s="30"/>
      <c r="E2878" s="33"/>
      <c r="F2878" s="89"/>
    </row>
    <row r="2879" spans="2:6" s="6" customFormat="1" x14ac:dyDescent="0.3">
      <c r="B2879" s="29"/>
      <c r="C2879" s="29"/>
      <c r="D2879" s="30"/>
      <c r="E2879" s="33"/>
      <c r="F2879" s="89"/>
    </row>
    <row r="2880" spans="2:6" s="6" customFormat="1" x14ac:dyDescent="0.3">
      <c r="B2880" s="29"/>
      <c r="C2880" s="29"/>
      <c r="D2880" s="30"/>
      <c r="E2880" s="33"/>
      <c r="F2880" s="89"/>
    </row>
    <row r="2881" spans="2:6" s="6" customFormat="1" x14ac:dyDescent="0.3">
      <c r="B2881" s="29"/>
      <c r="C2881" s="29"/>
      <c r="D2881" s="30"/>
      <c r="E2881" s="33"/>
      <c r="F2881" s="89"/>
    </row>
    <row r="2882" spans="2:6" s="6" customFormat="1" x14ac:dyDescent="0.3">
      <c r="B2882" s="29"/>
      <c r="C2882" s="29"/>
      <c r="D2882" s="30"/>
      <c r="E2882" s="33"/>
      <c r="F2882" s="89"/>
    </row>
    <row r="2883" spans="2:6" s="6" customFormat="1" x14ac:dyDescent="0.3">
      <c r="B2883" s="29"/>
      <c r="C2883" s="29"/>
      <c r="D2883" s="30"/>
      <c r="E2883" s="33"/>
      <c r="F2883" s="89"/>
    </row>
    <row r="2884" spans="2:6" s="6" customFormat="1" x14ac:dyDescent="0.3">
      <c r="B2884" s="29"/>
      <c r="C2884" s="29"/>
      <c r="D2884" s="30"/>
      <c r="E2884" s="33"/>
      <c r="F2884" s="89"/>
    </row>
    <row r="2885" spans="2:6" s="6" customFormat="1" x14ac:dyDescent="0.3">
      <c r="B2885" s="29"/>
      <c r="C2885" s="29"/>
      <c r="D2885" s="30"/>
      <c r="E2885" s="33"/>
      <c r="F2885" s="89"/>
    </row>
    <row r="2886" spans="2:6" s="6" customFormat="1" x14ac:dyDescent="0.3">
      <c r="B2886" s="29"/>
      <c r="C2886" s="29"/>
      <c r="D2886" s="30"/>
      <c r="E2886" s="33"/>
      <c r="F2886" s="89"/>
    </row>
    <row r="2887" spans="2:6" s="6" customFormat="1" x14ac:dyDescent="0.3">
      <c r="B2887" s="29"/>
      <c r="C2887" s="29"/>
      <c r="D2887" s="30"/>
      <c r="E2887" s="33"/>
      <c r="F2887" s="89"/>
    </row>
    <row r="2888" spans="2:6" s="6" customFormat="1" x14ac:dyDescent="0.3">
      <c r="B2888" s="29"/>
      <c r="C2888" s="29"/>
      <c r="D2888" s="30"/>
      <c r="E2888" s="33"/>
      <c r="F2888" s="89"/>
    </row>
    <row r="2889" spans="2:6" s="6" customFormat="1" x14ac:dyDescent="0.3">
      <c r="B2889" s="29"/>
      <c r="C2889" s="29"/>
      <c r="D2889" s="30"/>
      <c r="E2889" s="33"/>
      <c r="F2889" s="89"/>
    </row>
    <row r="2890" spans="2:6" s="6" customFormat="1" x14ac:dyDescent="0.3">
      <c r="B2890" s="29"/>
      <c r="C2890" s="29"/>
      <c r="D2890" s="30"/>
      <c r="E2890" s="33"/>
      <c r="F2890" s="89"/>
    </row>
    <row r="2891" spans="2:6" s="6" customFormat="1" x14ac:dyDescent="0.3">
      <c r="B2891" s="29"/>
      <c r="C2891" s="29"/>
      <c r="D2891" s="30"/>
      <c r="E2891" s="33"/>
      <c r="F2891" s="89"/>
    </row>
    <row r="2892" spans="2:6" s="6" customFormat="1" x14ac:dyDescent="0.3">
      <c r="B2892" s="29"/>
      <c r="C2892" s="29"/>
      <c r="D2892" s="30"/>
      <c r="E2892" s="33"/>
      <c r="F2892" s="89"/>
    </row>
    <row r="2893" spans="2:6" s="6" customFormat="1" x14ac:dyDescent="0.3">
      <c r="B2893" s="29"/>
      <c r="C2893" s="29"/>
      <c r="D2893" s="30"/>
      <c r="E2893" s="33"/>
      <c r="F2893" s="89"/>
    </row>
    <row r="2894" spans="2:6" s="6" customFormat="1" x14ac:dyDescent="0.3">
      <c r="B2894" s="29"/>
      <c r="C2894" s="29"/>
      <c r="D2894" s="30"/>
      <c r="E2894" s="33"/>
      <c r="F2894" s="89"/>
    </row>
    <row r="2895" spans="2:6" s="6" customFormat="1" x14ac:dyDescent="0.3">
      <c r="B2895" s="29"/>
      <c r="C2895" s="29"/>
      <c r="D2895" s="30"/>
      <c r="E2895" s="33"/>
      <c r="F2895" s="89"/>
    </row>
    <row r="2896" spans="2:6" s="6" customFormat="1" x14ac:dyDescent="0.3">
      <c r="B2896" s="29"/>
      <c r="C2896" s="29"/>
      <c r="D2896" s="30"/>
      <c r="E2896" s="33"/>
      <c r="F2896" s="89"/>
    </row>
    <row r="2897" spans="2:6" s="6" customFormat="1" x14ac:dyDescent="0.3">
      <c r="B2897" s="29"/>
      <c r="C2897" s="29"/>
      <c r="D2897" s="30"/>
      <c r="E2897" s="33"/>
      <c r="F2897" s="89"/>
    </row>
    <row r="2898" spans="2:6" s="6" customFormat="1" x14ac:dyDescent="0.3">
      <c r="B2898" s="29"/>
      <c r="C2898" s="29"/>
      <c r="D2898" s="30"/>
      <c r="E2898" s="33"/>
      <c r="F2898" s="89"/>
    </row>
    <row r="2899" spans="2:6" s="6" customFormat="1" x14ac:dyDescent="0.3">
      <c r="B2899" s="29"/>
      <c r="C2899" s="29"/>
      <c r="D2899" s="30"/>
      <c r="E2899" s="33"/>
      <c r="F2899" s="89"/>
    </row>
    <row r="2900" spans="2:6" s="6" customFormat="1" x14ac:dyDescent="0.3">
      <c r="B2900" s="29"/>
      <c r="C2900" s="29"/>
      <c r="D2900" s="30"/>
      <c r="E2900" s="33"/>
      <c r="F2900" s="89"/>
    </row>
    <row r="2901" spans="2:6" s="6" customFormat="1" x14ac:dyDescent="0.3">
      <c r="B2901" s="29"/>
      <c r="C2901" s="29"/>
      <c r="D2901" s="30"/>
      <c r="E2901" s="33"/>
      <c r="F2901" s="89"/>
    </row>
    <row r="2902" spans="2:6" s="6" customFormat="1" x14ac:dyDescent="0.3">
      <c r="B2902" s="29"/>
      <c r="C2902" s="29"/>
      <c r="D2902" s="30"/>
      <c r="E2902" s="33"/>
      <c r="F2902" s="89"/>
    </row>
    <row r="2903" spans="2:6" s="6" customFormat="1" x14ac:dyDescent="0.3">
      <c r="B2903" s="29"/>
      <c r="C2903" s="29"/>
      <c r="D2903" s="30"/>
      <c r="E2903" s="33"/>
      <c r="F2903" s="89"/>
    </row>
    <row r="2904" spans="2:6" s="6" customFormat="1" x14ac:dyDescent="0.3">
      <c r="B2904" s="29"/>
      <c r="C2904" s="29"/>
      <c r="D2904" s="30"/>
      <c r="E2904" s="33"/>
      <c r="F2904" s="89"/>
    </row>
    <row r="2905" spans="2:6" s="6" customFormat="1" x14ac:dyDescent="0.3">
      <c r="B2905" s="29"/>
      <c r="C2905" s="29"/>
      <c r="D2905" s="30"/>
      <c r="E2905" s="33"/>
      <c r="F2905" s="89"/>
    </row>
    <row r="2906" spans="2:6" s="6" customFormat="1" x14ac:dyDescent="0.3">
      <c r="B2906" s="29"/>
      <c r="C2906" s="29"/>
      <c r="D2906" s="30"/>
      <c r="E2906" s="33"/>
      <c r="F2906" s="89"/>
    </row>
    <row r="2907" spans="2:6" s="6" customFormat="1" x14ac:dyDescent="0.3">
      <c r="B2907" s="29"/>
      <c r="C2907" s="29"/>
      <c r="D2907" s="30"/>
      <c r="E2907" s="33"/>
      <c r="F2907" s="89"/>
    </row>
    <row r="2908" spans="2:6" s="6" customFormat="1" x14ac:dyDescent="0.3">
      <c r="B2908" s="29"/>
      <c r="C2908" s="29"/>
      <c r="D2908" s="30"/>
      <c r="E2908" s="33"/>
      <c r="F2908" s="89"/>
    </row>
    <row r="2909" spans="2:6" s="6" customFormat="1" x14ac:dyDescent="0.3">
      <c r="B2909" s="29"/>
      <c r="C2909" s="29"/>
      <c r="D2909" s="30"/>
      <c r="E2909" s="33"/>
      <c r="F2909" s="89"/>
    </row>
    <row r="2910" spans="2:6" s="6" customFormat="1" x14ac:dyDescent="0.3">
      <c r="B2910" s="29"/>
      <c r="C2910" s="29"/>
      <c r="D2910" s="30"/>
      <c r="E2910" s="33"/>
      <c r="F2910" s="89"/>
    </row>
    <row r="2911" spans="2:6" s="6" customFormat="1" x14ac:dyDescent="0.3">
      <c r="B2911" s="29"/>
      <c r="C2911" s="29"/>
      <c r="D2911" s="30"/>
      <c r="E2911" s="33"/>
      <c r="F2911" s="89"/>
    </row>
    <row r="2912" spans="2:6" s="6" customFormat="1" x14ac:dyDescent="0.3">
      <c r="B2912" s="29"/>
      <c r="C2912" s="29"/>
      <c r="D2912" s="30"/>
      <c r="E2912" s="33"/>
      <c r="F2912" s="89"/>
    </row>
    <row r="2913" spans="2:6" s="6" customFormat="1" x14ac:dyDescent="0.3">
      <c r="B2913" s="29"/>
      <c r="C2913" s="29"/>
      <c r="D2913" s="30"/>
      <c r="E2913" s="33"/>
      <c r="F2913" s="89"/>
    </row>
    <row r="2914" spans="2:6" s="6" customFormat="1" x14ac:dyDescent="0.3">
      <c r="B2914" s="29"/>
      <c r="C2914" s="29"/>
      <c r="D2914" s="30"/>
      <c r="E2914" s="33"/>
      <c r="F2914" s="89"/>
    </row>
    <row r="2915" spans="2:6" s="6" customFormat="1" x14ac:dyDescent="0.3">
      <c r="B2915" s="29"/>
      <c r="C2915" s="29"/>
      <c r="D2915" s="30"/>
      <c r="E2915" s="33"/>
      <c r="F2915" s="89"/>
    </row>
    <row r="2916" spans="2:6" s="6" customFormat="1" x14ac:dyDescent="0.3">
      <c r="B2916" s="29"/>
      <c r="C2916" s="29"/>
      <c r="D2916" s="30"/>
      <c r="E2916" s="33"/>
      <c r="F2916" s="89"/>
    </row>
    <row r="2917" spans="2:6" s="6" customFormat="1" x14ac:dyDescent="0.3">
      <c r="B2917" s="29"/>
      <c r="C2917" s="29"/>
      <c r="D2917" s="30"/>
      <c r="E2917" s="33"/>
      <c r="F2917" s="89"/>
    </row>
    <row r="2918" spans="2:6" s="6" customFormat="1" x14ac:dyDescent="0.3">
      <c r="B2918" s="29"/>
      <c r="C2918" s="29"/>
      <c r="D2918" s="30"/>
      <c r="E2918" s="33"/>
      <c r="F2918" s="89"/>
    </row>
    <row r="2919" spans="2:6" s="6" customFormat="1" x14ac:dyDescent="0.3">
      <c r="B2919" s="29"/>
      <c r="C2919" s="29"/>
      <c r="D2919" s="30"/>
      <c r="E2919" s="33"/>
      <c r="F2919" s="89"/>
    </row>
    <row r="2920" spans="2:6" s="6" customFormat="1" x14ac:dyDescent="0.3">
      <c r="B2920" s="29"/>
      <c r="C2920" s="29"/>
      <c r="D2920" s="30"/>
      <c r="E2920" s="33"/>
      <c r="F2920" s="89"/>
    </row>
    <row r="2921" spans="2:6" s="6" customFormat="1" x14ac:dyDescent="0.3">
      <c r="B2921" s="29"/>
      <c r="C2921" s="29"/>
      <c r="D2921" s="30"/>
      <c r="E2921" s="33"/>
      <c r="F2921" s="89"/>
    </row>
    <row r="2922" spans="2:6" s="6" customFormat="1" x14ac:dyDescent="0.3">
      <c r="B2922" s="29"/>
      <c r="C2922" s="29"/>
      <c r="D2922" s="30"/>
      <c r="E2922" s="33"/>
      <c r="F2922" s="89"/>
    </row>
    <row r="2923" spans="2:6" s="6" customFormat="1" x14ac:dyDescent="0.3">
      <c r="B2923" s="29"/>
      <c r="C2923" s="29"/>
      <c r="D2923" s="30"/>
      <c r="E2923" s="33"/>
      <c r="F2923" s="89"/>
    </row>
    <row r="2924" spans="2:6" s="6" customFormat="1" x14ac:dyDescent="0.3">
      <c r="B2924" s="29"/>
      <c r="C2924" s="29"/>
      <c r="D2924" s="30"/>
      <c r="E2924" s="33"/>
      <c r="F2924" s="89"/>
    </row>
    <row r="2925" spans="2:6" s="6" customFormat="1" x14ac:dyDescent="0.3">
      <c r="B2925" s="29"/>
      <c r="C2925" s="29"/>
      <c r="D2925" s="30"/>
      <c r="E2925" s="33"/>
      <c r="F2925" s="89"/>
    </row>
    <row r="2926" spans="2:6" s="6" customFormat="1" x14ac:dyDescent="0.3">
      <c r="B2926" s="29"/>
      <c r="C2926" s="29"/>
      <c r="D2926" s="30"/>
      <c r="E2926" s="33"/>
      <c r="F2926" s="89"/>
    </row>
    <row r="2927" spans="2:6" s="6" customFormat="1" x14ac:dyDescent="0.3">
      <c r="B2927" s="29"/>
      <c r="C2927" s="29"/>
      <c r="D2927" s="30"/>
      <c r="E2927" s="33"/>
      <c r="F2927" s="89"/>
    </row>
    <row r="2928" spans="2:6" s="6" customFormat="1" x14ac:dyDescent="0.3">
      <c r="B2928" s="29"/>
      <c r="C2928" s="29"/>
      <c r="D2928" s="30"/>
      <c r="E2928" s="33"/>
      <c r="F2928" s="89"/>
    </row>
    <row r="2929" spans="2:6" s="6" customFormat="1" x14ac:dyDescent="0.3">
      <c r="B2929" s="29"/>
      <c r="C2929" s="29"/>
      <c r="D2929" s="30"/>
      <c r="E2929" s="33"/>
      <c r="F2929" s="89"/>
    </row>
    <row r="2930" spans="2:6" s="6" customFormat="1" x14ac:dyDescent="0.3">
      <c r="B2930" s="29"/>
      <c r="C2930" s="29"/>
      <c r="D2930" s="30"/>
      <c r="E2930" s="33"/>
      <c r="F2930" s="89"/>
    </row>
    <row r="2931" spans="2:6" s="6" customFormat="1" x14ac:dyDescent="0.3">
      <c r="B2931" s="29"/>
      <c r="C2931" s="29"/>
      <c r="D2931" s="30"/>
      <c r="E2931" s="33"/>
      <c r="F2931" s="89"/>
    </row>
    <row r="2932" spans="2:6" s="6" customFormat="1" x14ac:dyDescent="0.3">
      <c r="B2932" s="29"/>
      <c r="C2932" s="29"/>
      <c r="D2932" s="30"/>
      <c r="E2932" s="33"/>
      <c r="F2932" s="89"/>
    </row>
    <row r="2933" spans="2:6" s="6" customFormat="1" x14ac:dyDescent="0.3">
      <c r="B2933" s="29"/>
      <c r="C2933" s="29"/>
      <c r="D2933" s="30"/>
      <c r="E2933" s="33"/>
      <c r="F2933" s="89"/>
    </row>
    <row r="2934" spans="2:6" s="6" customFormat="1" x14ac:dyDescent="0.3">
      <c r="B2934" s="29"/>
      <c r="C2934" s="29"/>
      <c r="D2934" s="30"/>
      <c r="E2934" s="33"/>
      <c r="F2934" s="89"/>
    </row>
    <row r="2935" spans="2:6" s="6" customFormat="1" x14ac:dyDescent="0.3">
      <c r="B2935" s="29"/>
      <c r="C2935" s="29"/>
      <c r="D2935" s="30"/>
      <c r="E2935" s="33"/>
      <c r="F2935" s="89"/>
    </row>
    <row r="2936" spans="2:6" s="6" customFormat="1" x14ac:dyDescent="0.3">
      <c r="B2936" s="29"/>
      <c r="C2936" s="29"/>
      <c r="D2936" s="30"/>
      <c r="E2936" s="33"/>
      <c r="F2936" s="89"/>
    </row>
    <row r="2937" spans="2:6" s="6" customFormat="1" x14ac:dyDescent="0.3">
      <c r="B2937" s="29"/>
      <c r="C2937" s="29"/>
      <c r="D2937" s="30"/>
      <c r="E2937" s="33"/>
      <c r="F2937" s="89"/>
    </row>
    <row r="2938" spans="2:6" s="6" customFormat="1" x14ac:dyDescent="0.3">
      <c r="B2938" s="29"/>
      <c r="C2938" s="29"/>
      <c r="D2938" s="30"/>
      <c r="E2938" s="33"/>
      <c r="F2938" s="89"/>
    </row>
    <row r="2939" spans="2:6" s="6" customFormat="1" x14ac:dyDescent="0.3">
      <c r="B2939" s="29"/>
      <c r="C2939" s="29"/>
      <c r="D2939" s="30"/>
      <c r="E2939" s="33"/>
      <c r="F2939" s="89"/>
    </row>
    <row r="2940" spans="2:6" s="6" customFormat="1" x14ac:dyDescent="0.3">
      <c r="B2940" s="29"/>
      <c r="C2940" s="29"/>
      <c r="D2940" s="30"/>
      <c r="E2940" s="33"/>
      <c r="F2940" s="89"/>
    </row>
    <row r="2941" spans="2:6" s="6" customFormat="1" x14ac:dyDescent="0.3">
      <c r="B2941" s="29"/>
      <c r="C2941" s="29"/>
      <c r="D2941" s="30"/>
      <c r="E2941" s="33"/>
      <c r="F2941" s="89"/>
    </row>
    <row r="2942" spans="2:6" s="6" customFormat="1" x14ac:dyDescent="0.3">
      <c r="B2942" s="29"/>
      <c r="C2942" s="29"/>
      <c r="D2942" s="30"/>
      <c r="E2942" s="33"/>
      <c r="F2942" s="89"/>
    </row>
    <row r="2943" spans="2:6" s="6" customFormat="1" x14ac:dyDescent="0.3">
      <c r="B2943" s="29"/>
      <c r="C2943" s="29"/>
      <c r="D2943" s="30"/>
      <c r="E2943" s="33"/>
      <c r="F2943" s="89"/>
    </row>
    <row r="2944" spans="2:6" s="6" customFormat="1" x14ac:dyDescent="0.3">
      <c r="B2944" s="29"/>
      <c r="C2944" s="29"/>
      <c r="D2944" s="30"/>
      <c r="E2944" s="33"/>
      <c r="F2944" s="89"/>
    </row>
    <row r="2945" spans="2:6" s="6" customFormat="1" x14ac:dyDescent="0.3">
      <c r="B2945" s="29"/>
      <c r="C2945" s="29"/>
      <c r="D2945" s="30"/>
      <c r="E2945" s="33"/>
      <c r="F2945" s="89"/>
    </row>
    <row r="2946" spans="2:6" s="6" customFormat="1" x14ac:dyDescent="0.3">
      <c r="B2946" s="29"/>
      <c r="C2946" s="29"/>
      <c r="D2946" s="30"/>
      <c r="E2946" s="33"/>
      <c r="F2946" s="89"/>
    </row>
    <row r="2947" spans="2:6" s="6" customFormat="1" x14ac:dyDescent="0.3">
      <c r="B2947" s="29"/>
      <c r="C2947" s="29"/>
      <c r="D2947" s="30"/>
      <c r="E2947" s="33"/>
      <c r="F2947" s="89"/>
    </row>
    <row r="2948" spans="2:6" s="6" customFormat="1" x14ac:dyDescent="0.3">
      <c r="B2948" s="29"/>
      <c r="C2948" s="29"/>
      <c r="D2948" s="30"/>
      <c r="E2948" s="33"/>
      <c r="F2948" s="89"/>
    </row>
    <row r="2949" spans="2:6" s="6" customFormat="1" x14ac:dyDescent="0.3">
      <c r="B2949" s="29"/>
      <c r="C2949" s="29"/>
      <c r="D2949" s="30"/>
      <c r="E2949" s="33"/>
      <c r="F2949" s="89"/>
    </row>
    <row r="2950" spans="2:6" s="6" customFormat="1" x14ac:dyDescent="0.3">
      <c r="B2950" s="29"/>
      <c r="C2950" s="29"/>
      <c r="D2950" s="30"/>
      <c r="E2950" s="33"/>
      <c r="F2950" s="89"/>
    </row>
    <row r="2951" spans="2:6" s="6" customFormat="1" x14ac:dyDescent="0.3">
      <c r="B2951" s="29"/>
      <c r="C2951" s="29"/>
      <c r="D2951" s="30"/>
      <c r="E2951" s="33"/>
      <c r="F2951" s="89"/>
    </row>
    <row r="2952" spans="2:6" s="6" customFormat="1" x14ac:dyDescent="0.3">
      <c r="B2952" s="29"/>
      <c r="C2952" s="29"/>
      <c r="D2952" s="30"/>
      <c r="E2952" s="33"/>
      <c r="F2952" s="89"/>
    </row>
    <row r="2953" spans="2:6" s="6" customFormat="1" x14ac:dyDescent="0.3">
      <c r="B2953" s="29"/>
      <c r="C2953" s="29"/>
      <c r="D2953" s="30"/>
      <c r="E2953" s="33"/>
      <c r="F2953" s="89"/>
    </row>
    <row r="2954" spans="2:6" s="6" customFormat="1" x14ac:dyDescent="0.3">
      <c r="B2954" s="29"/>
      <c r="C2954" s="29"/>
      <c r="D2954" s="30"/>
      <c r="E2954" s="33"/>
      <c r="F2954" s="89"/>
    </row>
    <row r="2955" spans="2:6" s="6" customFormat="1" x14ac:dyDescent="0.3">
      <c r="B2955" s="29"/>
      <c r="C2955" s="29"/>
      <c r="D2955" s="30"/>
      <c r="E2955" s="33"/>
      <c r="F2955" s="89"/>
    </row>
    <row r="2956" spans="2:6" s="6" customFormat="1" x14ac:dyDescent="0.3">
      <c r="B2956" s="29"/>
      <c r="C2956" s="29"/>
      <c r="D2956" s="30"/>
      <c r="E2956" s="33"/>
      <c r="F2956" s="89"/>
    </row>
    <row r="2957" spans="2:6" s="6" customFormat="1" x14ac:dyDescent="0.3">
      <c r="B2957" s="29"/>
      <c r="C2957" s="29"/>
      <c r="D2957" s="30"/>
      <c r="E2957" s="33"/>
      <c r="F2957" s="89"/>
    </row>
    <row r="2958" spans="2:6" s="6" customFormat="1" x14ac:dyDescent="0.3">
      <c r="B2958" s="29"/>
      <c r="C2958" s="29"/>
      <c r="D2958" s="30"/>
      <c r="E2958" s="33"/>
      <c r="F2958" s="89"/>
    </row>
    <row r="2959" spans="2:6" s="6" customFormat="1" x14ac:dyDescent="0.3">
      <c r="B2959" s="29"/>
      <c r="C2959" s="29"/>
      <c r="D2959" s="30"/>
      <c r="E2959" s="33"/>
      <c r="F2959" s="89"/>
    </row>
    <row r="2960" spans="2:6" s="6" customFormat="1" x14ac:dyDescent="0.3">
      <c r="B2960" s="29"/>
      <c r="C2960" s="29"/>
      <c r="D2960" s="30"/>
      <c r="E2960" s="33"/>
      <c r="F2960" s="89"/>
    </row>
    <row r="2961" spans="2:6" s="6" customFormat="1" x14ac:dyDescent="0.3">
      <c r="B2961" s="29"/>
      <c r="C2961" s="29"/>
      <c r="D2961" s="30"/>
      <c r="E2961" s="33"/>
      <c r="F2961" s="89"/>
    </row>
    <row r="2962" spans="2:6" s="6" customFormat="1" x14ac:dyDescent="0.3">
      <c r="B2962" s="29"/>
      <c r="C2962" s="29"/>
      <c r="D2962" s="30"/>
      <c r="E2962" s="33"/>
      <c r="F2962" s="89"/>
    </row>
    <row r="2963" spans="2:6" s="6" customFormat="1" x14ac:dyDescent="0.3">
      <c r="B2963" s="29"/>
      <c r="C2963" s="29"/>
      <c r="D2963" s="30"/>
      <c r="E2963" s="33"/>
      <c r="F2963" s="89"/>
    </row>
    <row r="2964" spans="2:6" s="6" customFormat="1" x14ac:dyDescent="0.3">
      <c r="B2964" s="29"/>
      <c r="C2964" s="29"/>
      <c r="D2964" s="30"/>
      <c r="E2964" s="33"/>
      <c r="F2964" s="89"/>
    </row>
    <row r="2965" spans="2:6" s="6" customFormat="1" x14ac:dyDescent="0.3">
      <c r="B2965" s="29"/>
      <c r="C2965" s="29"/>
      <c r="D2965" s="30"/>
      <c r="E2965" s="33"/>
      <c r="F2965" s="89"/>
    </row>
    <row r="2966" spans="2:6" s="6" customFormat="1" x14ac:dyDescent="0.3">
      <c r="B2966" s="29"/>
      <c r="C2966" s="29"/>
      <c r="D2966" s="30"/>
      <c r="E2966" s="33"/>
      <c r="F2966" s="89"/>
    </row>
    <row r="2967" spans="2:6" s="6" customFormat="1" x14ac:dyDescent="0.3">
      <c r="B2967" s="29"/>
      <c r="C2967" s="29"/>
      <c r="D2967" s="30"/>
      <c r="E2967" s="33"/>
      <c r="F2967" s="89"/>
    </row>
    <row r="2968" spans="2:6" s="6" customFormat="1" x14ac:dyDescent="0.3">
      <c r="B2968" s="29"/>
      <c r="C2968" s="29"/>
      <c r="D2968" s="30"/>
      <c r="E2968" s="33"/>
      <c r="F2968" s="89"/>
    </row>
    <row r="2969" spans="2:6" s="6" customFormat="1" x14ac:dyDescent="0.3">
      <c r="B2969" s="29"/>
      <c r="C2969" s="29"/>
      <c r="D2969" s="30"/>
      <c r="E2969" s="33"/>
      <c r="F2969" s="89"/>
    </row>
    <row r="2970" spans="2:6" s="6" customFormat="1" x14ac:dyDescent="0.3">
      <c r="B2970" s="29"/>
      <c r="C2970" s="29"/>
      <c r="D2970" s="30"/>
      <c r="E2970" s="33"/>
      <c r="F2970" s="89"/>
    </row>
    <row r="2971" spans="2:6" s="6" customFormat="1" x14ac:dyDescent="0.3">
      <c r="B2971" s="29"/>
      <c r="C2971" s="29"/>
      <c r="D2971" s="30"/>
      <c r="E2971" s="33"/>
      <c r="F2971" s="89"/>
    </row>
    <row r="2972" spans="2:6" s="6" customFormat="1" x14ac:dyDescent="0.3">
      <c r="B2972" s="29"/>
      <c r="C2972" s="29"/>
      <c r="D2972" s="30"/>
      <c r="E2972" s="33"/>
      <c r="F2972" s="89"/>
    </row>
    <row r="2973" spans="2:6" s="6" customFormat="1" x14ac:dyDescent="0.3">
      <c r="B2973" s="29"/>
      <c r="C2973" s="29"/>
      <c r="D2973" s="30"/>
      <c r="E2973" s="33"/>
      <c r="F2973" s="89"/>
    </row>
    <row r="2974" spans="2:6" s="6" customFormat="1" x14ac:dyDescent="0.3">
      <c r="B2974" s="29"/>
      <c r="C2974" s="29"/>
      <c r="D2974" s="30"/>
      <c r="E2974" s="33"/>
      <c r="F2974" s="89"/>
    </row>
    <row r="2975" spans="2:6" s="6" customFormat="1" x14ac:dyDescent="0.3">
      <c r="B2975" s="29"/>
      <c r="C2975" s="29"/>
      <c r="D2975" s="30"/>
      <c r="E2975" s="33"/>
      <c r="F2975" s="89"/>
    </row>
    <row r="2976" spans="2:6" s="6" customFormat="1" x14ac:dyDescent="0.3">
      <c r="B2976" s="29"/>
      <c r="C2976" s="29"/>
      <c r="D2976" s="30"/>
      <c r="E2976" s="33"/>
      <c r="F2976" s="89"/>
    </row>
    <row r="2977" spans="2:6" s="6" customFormat="1" x14ac:dyDescent="0.3">
      <c r="B2977" s="29"/>
      <c r="C2977" s="29"/>
      <c r="D2977" s="30"/>
      <c r="E2977" s="33"/>
      <c r="F2977" s="89"/>
    </row>
    <row r="2978" spans="2:6" s="6" customFormat="1" x14ac:dyDescent="0.3">
      <c r="B2978" s="29"/>
      <c r="C2978" s="29"/>
      <c r="D2978" s="30"/>
      <c r="E2978" s="33"/>
      <c r="F2978" s="89"/>
    </row>
    <row r="2979" spans="2:6" s="6" customFormat="1" x14ac:dyDescent="0.3">
      <c r="B2979" s="29"/>
      <c r="C2979" s="29"/>
      <c r="D2979" s="30"/>
      <c r="E2979" s="33"/>
      <c r="F2979" s="89"/>
    </row>
    <row r="2980" spans="2:6" s="6" customFormat="1" x14ac:dyDescent="0.3">
      <c r="B2980" s="29"/>
      <c r="C2980" s="29"/>
      <c r="D2980" s="30"/>
      <c r="E2980" s="33"/>
      <c r="F2980" s="89"/>
    </row>
    <row r="2981" spans="2:6" s="6" customFormat="1" x14ac:dyDescent="0.3">
      <c r="B2981" s="29"/>
      <c r="C2981" s="29"/>
      <c r="D2981" s="30"/>
      <c r="E2981" s="33"/>
      <c r="F2981" s="89"/>
    </row>
    <row r="2982" spans="2:6" s="6" customFormat="1" x14ac:dyDescent="0.3">
      <c r="B2982" s="29"/>
      <c r="C2982" s="29"/>
      <c r="D2982" s="30"/>
      <c r="E2982" s="33"/>
      <c r="F2982" s="89"/>
    </row>
    <row r="2983" spans="2:6" s="6" customFormat="1" x14ac:dyDescent="0.3">
      <c r="B2983" s="29"/>
      <c r="C2983" s="29"/>
      <c r="D2983" s="30"/>
      <c r="E2983" s="33"/>
      <c r="F2983" s="89"/>
    </row>
    <row r="2984" spans="2:6" s="6" customFormat="1" x14ac:dyDescent="0.3">
      <c r="B2984" s="29"/>
      <c r="C2984" s="29"/>
      <c r="D2984" s="30"/>
      <c r="E2984" s="33"/>
      <c r="F2984" s="89"/>
    </row>
    <row r="2985" spans="2:6" s="6" customFormat="1" x14ac:dyDescent="0.3">
      <c r="B2985" s="29"/>
      <c r="C2985" s="29"/>
      <c r="D2985" s="30"/>
      <c r="E2985" s="33"/>
      <c r="F2985" s="89"/>
    </row>
    <row r="2986" spans="2:6" s="6" customFormat="1" x14ac:dyDescent="0.3">
      <c r="B2986" s="29"/>
      <c r="C2986" s="29"/>
      <c r="D2986" s="30"/>
      <c r="E2986" s="33"/>
      <c r="F2986" s="89"/>
    </row>
    <row r="2987" spans="2:6" s="6" customFormat="1" x14ac:dyDescent="0.3">
      <c r="B2987" s="29"/>
      <c r="C2987" s="29"/>
      <c r="D2987" s="30"/>
      <c r="E2987" s="33"/>
      <c r="F2987" s="89"/>
    </row>
    <row r="2988" spans="2:6" s="6" customFormat="1" x14ac:dyDescent="0.3">
      <c r="B2988" s="29"/>
      <c r="C2988" s="29"/>
      <c r="D2988" s="30"/>
      <c r="E2988" s="33"/>
      <c r="F2988" s="89"/>
    </row>
    <row r="2989" spans="2:6" s="6" customFormat="1" x14ac:dyDescent="0.3">
      <c r="B2989" s="29"/>
      <c r="C2989" s="29"/>
      <c r="D2989" s="30"/>
      <c r="E2989" s="33"/>
      <c r="F2989" s="89"/>
    </row>
    <row r="2990" spans="2:6" s="6" customFormat="1" x14ac:dyDescent="0.3">
      <c r="B2990" s="29"/>
      <c r="C2990" s="29"/>
      <c r="D2990" s="30"/>
      <c r="E2990" s="33"/>
      <c r="F2990" s="89"/>
    </row>
    <row r="2991" spans="2:6" s="6" customFormat="1" x14ac:dyDescent="0.3">
      <c r="B2991" s="29"/>
      <c r="C2991" s="29"/>
      <c r="D2991" s="30"/>
      <c r="E2991" s="33"/>
      <c r="F2991" s="89"/>
    </row>
    <row r="2992" spans="2:6" s="6" customFormat="1" x14ac:dyDescent="0.3">
      <c r="B2992" s="29"/>
      <c r="C2992" s="29"/>
      <c r="D2992" s="30"/>
      <c r="E2992" s="33"/>
      <c r="F2992" s="89"/>
    </row>
    <row r="2993" spans="2:6" s="6" customFormat="1" x14ac:dyDescent="0.3">
      <c r="B2993" s="29"/>
      <c r="C2993" s="29"/>
      <c r="D2993" s="30"/>
      <c r="E2993" s="33"/>
      <c r="F2993" s="89"/>
    </row>
    <row r="2994" spans="2:6" s="6" customFormat="1" x14ac:dyDescent="0.3">
      <c r="B2994" s="29"/>
      <c r="C2994" s="29"/>
      <c r="D2994" s="30"/>
      <c r="E2994" s="33"/>
      <c r="F2994" s="89"/>
    </row>
    <row r="2995" spans="2:6" s="6" customFormat="1" x14ac:dyDescent="0.3">
      <c r="B2995" s="29"/>
      <c r="C2995" s="29"/>
      <c r="D2995" s="30"/>
      <c r="E2995" s="33"/>
      <c r="F2995" s="89"/>
    </row>
    <row r="2996" spans="2:6" s="6" customFormat="1" x14ac:dyDescent="0.3">
      <c r="B2996" s="29"/>
      <c r="C2996" s="29"/>
      <c r="D2996" s="30"/>
      <c r="E2996" s="33"/>
      <c r="F2996" s="89"/>
    </row>
    <row r="2997" spans="2:6" s="6" customFormat="1" x14ac:dyDescent="0.3">
      <c r="B2997" s="29"/>
      <c r="C2997" s="29"/>
      <c r="D2997" s="30"/>
      <c r="E2997" s="33"/>
      <c r="F2997" s="89"/>
    </row>
    <row r="2998" spans="2:6" s="6" customFormat="1" x14ac:dyDescent="0.3">
      <c r="B2998" s="29"/>
      <c r="C2998" s="29"/>
      <c r="D2998" s="30"/>
      <c r="E2998" s="33"/>
      <c r="F2998" s="89"/>
    </row>
    <row r="2999" spans="2:6" s="6" customFormat="1" x14ac:dyDescent="0.3">
      <c r="B2999" s="29"/>
      <c r="C2999" s="29"/>
      <c r="D2999" s="30"/>
      <c r="E2999" s="33"/>
      <c r="F2999" s="89"/>
    </row>
    <row r="3000" spans="2:6" s="6" customFormat="1" x14ac:dyDescent="0.3">
      <c r="B3000" s="29"/>
      <c r="C3000" s="29"/>
      <c r="D3000" s="30"/>
      <c r="E3000" s="33"/>
      <c r="F3000" s="89"/>
    </row>
    <row r="3001" spans="2:6" s="6" customFormat="1" x14ac:dyDescent="0.3">
      <c r="B3001" s="29"/>
      <c r="C3001" s="29"/>
      <c r="D3001" s="30"/>
      <c r="E3001" s="33"/>
      <c r="F3001" s="89"/>
    </row>
    <row r="3002" spans="2:6" s="6" customFormat="1" x14ac:dyDescent="0.3">
      <c r="B3002" s="29"/>
      <c r="C3002" s="29"/>
      <c r="D3002" s="30"/>
      <c r="E3002" s="33"/>
      <c r="F3002" s="89"/>
    </row>
    <row r="3003" spans="2:6" s="6" customFormat="1" x14ac:dyDescent="0.3">
      <c r="B3003" s="29"/>
      <c r="C3003" s="29"/>
      <c r="D3003" s="30"/>
      <c r="E3003" s="33"/>
      <c r="F3003" s="89"/>
    </row>
    <row r="3004" spans="2:6" s="6" customFormat="1" x14ac:dyDescent="0.3">
      <c r="B3004" s="29"/>
      <c r="C3004" s="29"/>
      <c r="D3004" s="30"/>
      <c r="E3004" s="33"/>
      <c r="F3004" s="89"/>
    </row>
    <row r="3005" spans="2:6" s="6" customFormat="1" x14ac:dyDescent="0.3">
      <c r="B3005" s="29"/>
      <c r="C3005" s="29"/>
      <c r="D3005" s="30"/>
      <c r="E3005" s="33"/>
      <c r="F3005" s="89"/>
    </row>
    <row r="3006" spans="2:6" s="6" customFormat="1" x14ac:dyDescent="0.3">
      <c r="B3006" s="29"/>
      <c r="C3006" s="29"/>
      <c r="D3006" s="30"/>
      <c r="E3006" s="33"/>
      <c r="F3006" s="89"/>
    </row>
    <row r="3007" spans="2:6" s="6" customFormat="1" x14ac:dyDescent="0.3">
      <c r="B3007" s="29"/>
      <c r="C3007" s="29"/>
      <c r="D3007" s="30"/>
      <c r="E3007" s="33"/>
      <c r="F3007" s="89"/>
    </row>
    <row r="3008" spans="2:6" s="6" customFormat="1" x14ac:dyDescent="0.3">
      <c r="B3008" s="29"/>
      <c r="C3008" s="29"/>
      <c r="D3008" s="30"/>
      <c r="E3008" s="33"/>
      <c r="F3008" s="89"/>
    </row>
    <row r="3009" spans="2:6" s="6" customFormat="1" x14ac:dyDescent="0.3">
      <c r="B3009" s="29"/>
      <c r="C3009" s="29"/>
      <c r="D3009" s="30"/>
      <c r="E3009" s="33"/>
      <c r="F3009" s="89"/>
    </row>
    <row r="3010" spans="2:6" s="6" customFormat="1" x14ac:dyDescent="0.3">
      <c r="B3010" s="29"/>
      <c r="C3010" s="29"/>
      <c r="D3010" s="30"/>
      <c r="E3010" s="33"/>
      <c r="F3010" s="89"/>
    </row>
    <row r="3011" spans="2:6" s="6" customFormat="1" x14ac:dyDescent="0.3">
      <c r="B3011" s="29"/>
      <c r="C3011" s="29"/>
      <c r="D3011" s="30"/>
      <c r="E3011" s="33"/>
      <c r="F3011" s="89"/>
    </row>
    <row r="3012" spans="2:6" s="6" customFormat="1" x14ac:dyDescent="0.3">
      <c r="B3012" s="29"/>
      <c r="C3012" s="29"/>
      <c r="D3012" s="30"/>
      <c r="E3012" s="33"/>
      <c r="F3012" s="89"/>
    </row>
    <row r="3013" spans="2:6" s="6" customFormat="1" x14ac:dyDescent="0.3">
      <c r="B3013" s="29"/>
      <c r="C3013" s="29"/>
      <c r="D3013" s="30"/>
      <c r="E3013" s="33"/>
      <c r="F3013" s="89"/>
    </row>
    <row r="3014" spans="2:6" s="6" customFormat="1" x14ac:dyDescent="0.3">
      <c r="B3014" s="29"/>
      <c r="C3014" s="29"/>
      <c r="D3014" s="30"/>
      <c r="E3014" s="33"/>
      <c r="F3014" s="89"/>
    </row>
    <row r="3015" spans="2:6" s="6" customFormat="1" x14ac:dyDescent="0.3">
      <c r="B3015" s="29"/>
      <c r="C3015" s="29"/>
      <c r="D3015" s="30"/>
      <c r="E3015" s="33"/>
      <c r="F3015" s="89"/>
    </row>
    <row r="3016" spans="2:6" s="6" customFormat="1" x14ac:dyDescent="0.3">
      <c r="B3016" s="29"/>
      <c r="C3016" s="29"/>
      <c r="D3016" s="30"/>
      <c r="E3016" s="33"/>
      <c r="F3016" s="89"/>
    </row>
    <row r="3017" spans="2:6" s="6" customFormat="1" x14ac:dyDescent="0.3">
      <c r="B3017" s="29"/>
      <c r="C3017" s="29"/>
      <c r="D3017" s="30"/>
      <c r="E3017" s="33"/>
      <c r="F3017" s="89"/>
    </row>
    <row r="3018" spans="2:6" s="6" customFormat="1" x14ac:dyDescent="0.3">
      <c r="B3018" s="29"/>
      <c r="C3018" s="29"/>
      <c r="D3018" s="30"/>
      <c r="E3018" s="33"/>
      <c r="F3018" s="89"/>
    </row>
    <row r="3019" spans="2:6" s="6" customFormat="1" x14ac:dyDescent="0.3">
      <c r="B3019" s="29"/>
      <c r="C3019" s="29"/>
      <c r="D3019" s="30"/>
      <c r="E3019" s="33"/>
      <c r="F3019" s="89"/>
    </row>
    <row r="3020" spans="2:6" s="6" customFormat="1" x14ac:dyDescent="0.3">
      <c r="B3020" s="29"/>
      <c r="C3020" s="29"/>
      <c r="D3020" s="30"/>
      <c r="E3020" s="33"/>
      <c r="F3020" s="89"/>
    </row>
    <row r="3021" spans="2:6" s="6" customFormat="1" x14ac:dyDescent="0.3">
      <c r="B3021" s="29"/>
      <c r="C3021" s="29"/>
      <c r="D3021" s="30"/>
      <c r="E3021" s="33"/>
      <c r="F3021" s="89"/>
    </row>
    <row r="3022" spans="2:6" s="6" customFormat="1" x14ac:dyDescent="0.3">
      <c r="B3022" s="29"/>
      <c r="C3022" s="29"/>
      <c r="D3022" s="30"/>
      <c r="E3022" s="33"/>
      <c r="F3022" s="89"/>
    </row>
    <row r="3023" spans="2:6" s="6" customFormat="1" x14ac:dyDescent="0.3">
      <c r="B3023" s="29"/>
      <c r="C3023" s="29"/>
      <c r="D3023" s="30"/>
      <c r="E3023" s="33"/>
      <c r="F3023" s="89"/>
    </row>
    <row r="3024" spans="2:6" s="6" customFormat="1" x14ac:dyDescent="0.3">
      <c r="B3024" s="29"/>
      <c r="C3024" s="29"/>
      <c r="D3024" s="30"/>
      <c r="E3024" s="33"/>
      <c r="F3024" s="89"/>
    </row>
    <row r="3025" spans="2:6" s="6" customFormat="1" x14ac:dyDescent="0.3">
      <c r="B3025" s="29"/>
      <c r="C3025" s="29"/>
      <c r="D3025" s="30"/>
      <c r="E3025" s="33"/>
      <c r="F3025" s="89"/>
    </row>
    <row r="3026" spans="2:6" s="6" customFormat="1" x14ac:dyDescent="0.3">
      <c r="B3026" s="29"/>
      <c r="C3026" s="29"/>
      <c r="D3026" s="30"/>
      <c r="E3026" s="33"/>
      <c r="F3026" s="89"/>
    </row>
    <row r="3027" spans="2:6" s="6" customFormat="1" x14ac:dyDescent="0.3">
      <c r="B3027" s="29"/>
      <c r="C3027" s="29"/>
      <c r="D3027" s="30"/>
      <c r="E3027" s="33"/>
      <c r="F3027" s="89"/>
    </row>
    <row r="3028" spans="2:6" s="6" customFormat="1" x14ac:dyDescent="0.3">
      <c r="B3028" s="29"/>
      <c r="C3028" s="29"/>
      <c r="D3028" s="30"/>
      <c r="E3028" s="33"/>
      <c r="F3028" s="89"/>
    </row>
    <row r="3029" spans="2:6" s="6" customFormat="1" x14ac:dyDescent="0.3">
      <c r="B3029" s="29"/>
      <c r="C3029" s="29"/>
      <c r="D3029" s="30"/>
      <c r="E3029" s="33"/>
      <c r="F3029" s="89"/>
    </row>
    <row r="3030" spans="2:6" s="6" customFormat="1" x14ac:dyDescent="0.3">
      <c r="B3030" s="29"/>
      <c r="C3030" s="29"/>
      <c r="D3030" s="30"/>
      <c r="E3030" s="33"/>
      <c r="F3030" s="89"/>
    </row>
    <row r="3031" spans="2:6" s="6" customFormat="1" x14ac:dyDescent="0.3">
      <c r="B3031" s="29"/>
      <c r="C3031" s="29"/>
      <c r="D3031" s="30"/>
      <c r="E3031" s="33"/>
      <c r="F3031" s="89"/>
    </row>
    <row r="3032" spans="2:6" s="6" customFormat="1" x14ac:dyDescent="0.3">
      <c r="B3032" s="29"/>
      <c r="C3032" s="29"/>
      <c r="D3032" s="30"/>
      <c r="E3032" s="33"/>
      <c r="F3032" s="89"/>
    </row>
    <row r="3033" spans="2:6" s="6" customFormat="1" x14ac:dyDescent="0.3">
      <c r="B3033" s="29"/>
      <c r="C3033" s="29"/>
      <c r="D3033" s="30"/>
      <c r="E3033" s="33"/>
      <c r="F3033" s="89"/>
    </row>
    <row r="3034" spans="2:6" s="6" customFormat="1" x14ac:dyDescent="0.3">
      <c r="B3034" s="29"/>
      <c r="C3034" s="29"/>
      <c r="D3034" s="30"/>
      <c r="E3034" s="33"/>
      <c r="F3034" s="89"/>
    </row>
    <row r="3035" spans="2:6" s="6" customFormat="1" x14ac:dyDescent="0.3">
      <c r="B3035" s="29"/>
      <c r="C3035" s="29"/>
      <c r="D3035" s="30"/>
      <c r="E3035" s="33"/>
      <c r="F3035" s="89"/>
    </row>
    <row r="3036" spans="2:6" s="6" customFormat="1" x14ac:dyDescent="0.3">
      <c r="B3036" s="29"/>
      <c r="C3036" s="29"/>
      <c r="D3036" s="30"/>
      <c r="E3036" s="33"/>
      <c r="F3036" s="89"/>
    </row>
    <row r="3037" spans="2:6" s="6" customFormat="1" x14ac:dyDescent="0.3">
      <c r="B3037" s="29"/>
      <c r="C3037" s="29"/>
      <c r="D3037" s="30"/>
      <c r="E3037" s="33"/>
      <c r="F3037" s="89"/>
    </row>
    <row r="3038" spans="2:6" s="6" customFormat="1" x14ac:dyDescent="0.3">
      <c r="B3038" s="29"/>
      <c r="C3038" s="29"/>
      <c r="D3038" s="30"/>
      <c r="E3038" s="33"/>
      <c r="F3038" s="89"/>
    </row>
    <row r="3039" spans="2:6" s="6" customFormat="1" x14ac:dyDescent="0.3">
      <c r="B3039" s="29"/>
      <c r="C3039" s="29"/>
      <c r="D3039" s="30"/>
      <c r="E3039" s="33"/>
      <c r="F3039" s="89"/>
    </row>
    <row r="3040" spans="2:6" s="6" customFormat="1" x14ac:dyDescent="0.3">
      <c r="B3040" s="29"/>
      <c r="C3040" s="29"/>
      <c r="D3040" s="30"/>
      <c r="E3040" s="33"/>
      <c r="F3040" s="89"/>
    </row>
    <row r="3041" spans="2:6" s="6" customFormat="1" x14ac:dyDescent="0.3">
      <c r="B3041" s="29"/>
      <c r="C3041" s="29"/>
      <c r="D3041" s="30"/>
      <c r="E3041" s="33"/>
      <c r="F3041" s="89"/>
    </row>
    <row r="3042" spans="2:6" s="6" customFormat="1" x14ac:dyDescent="0.3">
      <c r="B3042" s="29"/>
      <c r="C3042" s="29"/>
      <c r="D3042" s="30"/>
      <c r="E3042" s="33"/>
      <c r="F3042" s="89"/>
    </row>
    <row r="3043" spans="2:6" s="6" customFormat="1" x14ac:dyDescent="0.3">
      <c r="B3043" s="29"/>
      <c r="C3043" s="29"/>
      <c r="D3043" s="30"/>
      <c r="E3043" s="33"/>
      <c r="F3043" s="89"/>
    </row>
    <row r="3044" spans="2:6" s="6" customFormat="1" x14ac:dyDescent="0.3">
      <c r="B3044" s="29"/>
      <c r="C3044" s="29"/>
      <c r="D3044" s="30"/>
      <c r="E3044" s="33"/>
      <c r="F3044" s="89"/>
    </row>
    <row r="3045" spans="2:6" s="6" customFormat="1" x14ac:dyDescent="0.3">
      <c r="B3045" s="29"/>
      <c r="C3045" s="29"/>
      <c r="D3045" s="30"/>
      <c r="E3045" s="33"/>
      <c r="F3045" s="89"/>
    </row>
    <row r="3046" spans="2:6" s="6" customFormat="1" x14ac:dyDescent="0.3">
      <c r="B3046" s="29"/>
      <c r="C3046" s="29"/>
      <c r="D3046" s="30"/>
      <c r="E3046" s="33"/>
      <c r="F3046" s="89"/>
    </row>
    <row r="3047" spans="2:6" s="6" customFormat="1" x14ac:dyDescent="0.3">
      <c r="B3047" s="29"/>
      <c r="C3047" s="29"/>
      <c r="D3047" s="30"/>
      <c r="E3047" s="33"/>
      <c r="F3047" s="89"/>
    </row>
    <row r="3048" spans="2:6" s="6" customFormat="1" x14ac:dyDescent="0.3">
      <c r="B3048" s="29"/>
      <c r="C3048" s="29"/>
      <c r="D3048" s="30"/>
      <c r="E3048" s="33"/>
      <c r="F3048" s="89"/>
    </row>
    <row r="3049" spans="2:6" s="6" customFormat="1" x14ac:dyDescent="0.3">
      <c r="B3049" s="29"/>
      <c r="C3049" s="29"/>
      <c r="D3049" s="30"/>
      <c r="E3049" s="33"/>
      <c r="F3049" s="89"/>
    </row>
    <row r="3050" spans="2:6" s="6" customFormat="1" x14ac:dyDescent="0.3">
      <c r="B3050" s="29"/>
      <c r="C3050" s="29"/>
      <c r="D3050" s="30"/>
      <c r="E3050" s="33"/>
      <c r="F3050" s="89"/>
    </row>
    <row r="3051" spans="2:6" s="6" customFormat="1" x14ac:dyDescent="0.3">
      <c r="B3051" s="29"/>
      <c r="C3051" s="29"/>
      <c r="D3051" s="30"/>
      <c r="E3051" s="33"/>
      <c r="F3051" s="89"/>
    </row>
    <row r="3052" spans="2:6" s="6" customFormat="1" x14ac:dyDescent="0.3">
      <c r="B3052" s="29"/>
      <c r="C3052" s="29"/>
      <c r="D3052" s="30"/>
      <c r="E3052" s="33"/>
      <c r="F3052" s="89"/>
    </row>
    <row r="3053" spans="2:6" s="6" customFormat="1" x14ac:dyDescent="0.3">
      <c r="B3053" s="29"/>
      <c r="C3053" s="29"/>
      <c r="D3053" s="30"/>
      <c r="E3053" s="33"/>
      <c r="F3053" s="89"/>
    </row>
    <row r="3054" spans="2:6" s="6" customFormat="1" x14ac:dyDescent="0.3">
      <c r="B3054" s="29"/>
      <c r="C3054" s="29"/>
      <c r="D3054" s="30"/>
      <c r="E3054" s="33"/>
      <c r="F3054" s="89"/>
    </row>
    <row r="3055" spans="2:6" s="6" customFormat="1" x14ac:dyDescent="0.3">
      <c r="B3055" s="29"/>
      <c r="C3055" s="29"/>
      <c r="D3055" s="30"/>
      <c r="E3055" s="33"/>
      <c r="F3055" s="89"/>
    </row>
    <row r="3056" spans="2:6" s="6" customFormat="1" x14ac:dyDescent="0.3">
      <c r="B3056" s="29"/>
      <c r="C3056" s="29"/>
      <c r="D3056" s="30"/>
      <c r="E3056" s="33"/>
      <c r="F3056" s="89"/>
    </row>
    <row r="3057" spans="2:6" s="6" customFormat="1" x14ac:dyDescent="0.3">
      <c r="B3057" s="29"/>
      <c r="C3057" s="29"/>
      <c r="D3057" s="30"/>
      <c r="E3057" s="33"/>
      <c r="F3057" s="89"/>
    </row>
    <row r="3058" spans="2:6" s="6" customFormat="1" x14ac:dyDescent="0.3">
      <c r="B3058" s="29"/>
      <c r="C3058" s="29"/>
      <c r="D3058" s="30"/>
      <c r="E3058" s="33"/>
      <c r="F3058" s="89"/>
    </row>
    <row r="3059" spans="2:6" s="6" customFormat="1" x14ac:dyDescent="0.3">
      <c r="B3059" s="29"/>
      <c r="C3059" s="29"/>
      <c r="D3059" s="30"/>
      <c r="E3059" s="33"/>
      <c r="F3059" s="89"/>
    </row>
    <row r="3060" spans="2:6" s="6" customFormat="1" x14ac:dyDescent="0.3">
      <c r="B3060" s="29"/>
      <c r="C3060" s="29"/>
      <c r="D3060" s="30"/>
      <c r="E3060" s="33"/>
      <c r="F3060" s="89"/>
    </row>
    <row r="3061" spans="2:6" s="6" customFormat="1" x14ac:dyDescent="0.3">
      <c r="B3061" s="29"/>
      <c r="C3061" s="29"/>
      <c r="D3061" s="30"/>
      <c r="E3061" s="33"/>
      <c r="F3061" s="89"/>
    </row>
    <row r="3062" spans="2:6" s="6" customFormat="1" x14ac:dyDescent="0.3">
      <c r="B3062" s="29"/>
      <c r="C3062" s="29"/>
      <c r="D3062" s="30"/>
      <c r="E3062" s="33"/>
      <c r="F3062" s="89"/>
    </row>
    <row r="3063" spans="2:6" s="6" customFormat="1" x14ac:dyDescent="0.3">
      <c r="B3063" s="29"/>
      <c r="C3063" s="29"/>
      <c r="D3063" s="30"/>
      <c r="E3063" s="33"/>
      <c r="F3063" s="89"/>
    </row>
    <row r="3064" spans="2:6" s="6" customFormat="1" x14ac:dyDescent="0.3">
      <c r="B3064" s="29"/>
      <c r="C3064" s="29"/>
      <c r="D3064" s="30"/>
      <c r="E3064" s="33"/>
      <c r="F3064" s="89"/>
    </row>
    <row r="3065" spans="2:6" s="6" customFormat="1" x14ac:dyDescent="0.3">
      <c r="B3065" s="29"/>
      <c r="C3065" s="29"/>
      <c r="D3065" s="30"/>
      <c r="E3065" s="33"/>
      <c r="F3065" s="89"/>
    </row>
    <row r="3066" spans="2:6" s="6" customFormat="1" x14ac:dyDescent="0.3">
      <c r="B3066" s="29"/>
      <c r="C3066" s="29"/>
      <c r="D3066" s="30"/>
      <c r="E3066" s="33"/>
      <c r="F3066" s="89"/>
    </row>
    <row r="3067" spans="2:6" s="6" customFormat="1" x14ac:dyDescent="0.3">
      <c r="B3067" s="29"/>
      <c r="C3067" s="29"/>
      <c r="D3067" s="30"/>
      <c r="E3067" s="33"/>
      <c r="F3067" s="89"/>
    </row>
    <row r="3068" spans="2:6" s="6" customFormat="1" x14ac:dyDescent="0.3">
      <c r="B3068" s="29"/>
      <c r="C3068" s="29"/>
      <c r="D3068" s="30"/>
      <c r="E3068" s="33"/>
      <c r="F3068" s="89"/>
    </row>
    <row r="3069" spans="2:6" s="6" customFormat="1" x14ac:dyDescent="0.3">
      <c r="B3069" s="29"/>
      <c r="C3069" s="29"/>
      <c r="D3069" s="30"/>
      <c r="E3069" s="33"/>
      <c r="F3069" s="89"/>
    </row>
    <row r="3070" spans="2:6" s="6" customFormat="1" x14ac:dyDescent="0.3">
      <c r="B3070" s="29"/>
      <c r="C3070" s="29"/>
      <c r="D3070" s="30"/>
      <c r="E3070" s="33"/>
      <c r="F3070" s="89"/>
    </row>
    <row r="3071" spans="2:6" s="6" customFormat="1" x14ac:dyDescent="0.3">
      <c r="B3071" s="29"/>
      <c r="C3071" s="29"/>
      <c r="D3071" s="30"/>
      <c r="E3071" s="33"/>
      <c r="F3071" s="89"/>
    </row>
    <row r="3072" spans="2:6" s="6" customFormat="1" x14ac:dyDescent="0.3">
      <c r="B3072" s="29"/>
      <c r="C3072" s="29"/>
      <c r="D3072" s="30"/>
      <c r="E3072" s="33"/>
      <c r="F3072" s="89"/>
    </row>
    <row r="3073" spans="2:6" s="6" customFormat="1" x14ac:dyDescent="0.3">
      <c r="B3073" s="29"/>
      <c r="C3073" s="29"/>
      <c r="D3073" s="30"/>
      <c r="E3073" s="33"/>
      <c r="F3073" s="89"/>
    </row>
    <row r="3074" spans="2:6" s="6" customFormat="1" x14ac:dyDescent="0.3">
      <c r="B3074" s="29"/>
      <c r="C3074" s="29"/>
      <c r="D3074" s="30"/>
      <c r="E3074" s="33"/>
      <c r="F3074" s="89"/>
    </row>
    <row r="3075" spans="2:6" s="6" customFormat="1" x14ac:dyDescent="0.3">
      <c r="B3075" s="29"/>
      <c r="C3075" s="29"/>
      <c r="D3075" s="30"/>
      <c r="E3075" s="33"/>
      <c r="F3075" s="89"/>
    </row>
    <row r="3076" spans="2:6" s="6" customFormat="1" x14ac:dyDescent="0.3">
      <c r="B3076" s="29"/>
      <c r="C3076" s="29"/>
      <c r="D3076" s="30"/>
      <c r="E3076" s="33"/>
      <c r="F3076" s="89"/>
    </row>
    <row r="3077" spans="2:6" s="6" customFormat="1" x14ac:dyDescent="0.3">
      <c r="B3077" s="29"/>
      <c r="C3077" s="29"/>
      <c r="D3077" s="30"/>
      <c r="E3077" s="33"/>
      <c r="F3077" s="89"/>
    </row>
    <row r="3078" spans="2:6" s="6" customFormat="1" x14ac:dyDescent="0.3">
      <c r="B3078" s="29"/>
      <c r="C3078" s="29"/>
      <c r="D3078" s="30"/>
      <c r="E3078" s="33"/>
      <c r="F3078" s="89"/>
    </row>
    <row r="3079" spans="2:6" s="6" customFormat="1" x14ac:dyDescent="0.3">
      <c r="B3079" s="29"/>
      <c r="C3079" s="29"/>
      <c r="D3079" s="30"/>
      <c r="E3079" s="33"/>
      <c r="F3079" s="89"/>
    </row>
    <row r="3080" spans="2:6" s="6" customFormat="1" x14ac:dyDescent="0.3">
      <c r="B3080" s="29"/>
      <c r="C3080" s="29"/>
      <c r="D3080" s="30"/>
      <c r="E3080" s="33"/>
      <c r="F3080" s="89"/>
    </row>
    <row r="3081" spans="2:6" s="6" customFormat="1" x14ac:dyDescent="0.3">
      <c r="B3081" s="29"/>
      <c r="C3081" s="29"/>
      <c r="D3081" s="30"/>
      <c r="E3081" s="33"/>
      <c r="F3081" s="89"/>
    </row>
    <row r="3082" spans="2:6" s="6" customFormat="1" x14ac:dyDescent="0.3">
      <c r="B3082" s="29"/>
      <c r="C3082" s="29"/>
      <c r="D3082" s="30"/>
      <c r="E3082" s="33"/>
      <c r="F3082" s="89"/>
    </row>
    <row r="3083" spans="2:6" s="6" customFormat="1" x14ac:dyDescent="0.3">
      <c r="B3083" s="29"/>
      <c r="C3083" s="29"/>
      <c r="D3083" s="30"/>
      <c r="E3083" s="33"/>
      <c r="F3083" s="89"/>
    </row>
    <row r="3084" spans="2:6" s="6" customFormat="1" x14ac:dyDescent="0.3">
      <c r="B3084" s="29"/>
      <c r="C3084" s="29"/>
      <c r="D3084" s="30"/>
      <c r="E3084" s="33"/>
      <c r="F3084" s="89"/>
    </row>
    <row r="3085" spans="2:6" s="6" customFormat="1" x14ac:dyDescent="0.3">
      <c r="B3085" s="29"/>
      <c r="C3085" s="29"/>
      <c r="D3085" s="30"/>
      <c r="E3085" s="33"/>
      <c r="F3085" s="89"/>
    </row>
    <row r="3086" spans="2:6" s="6" customFormat="1" x14ac:dyDescent="0.3">
      <c r="B3086" s="29"/>
      <c r="C3086" s="29"/>
      <c r="D3086" s="30"/>
      <c r="E3086" s="33"/>
      <c r="F3086" s="89"/>
    </row>
    <row r="3087" spans="2:6" s="6" customFormat="1" x14ac:dyDescent="0.3">
      <c r="B3087" s="29"/>
      <c r="C3087" s="29"/>
      <c r="D3087" s="30"/>
      <c r="E3087" s="33"/>
      <c r="F3087" s="89"/>
    </row>
    <row r="3088" spans="2:6" s="6" customFormat="1" x14ac:dyDescent="0.3">
      <c r="B3088" s="29"/>
      <c r="C3088" s="29"/>
      <c r="D3088" s="30"/>
      <c r="E3088" s="33"/>
      <c r="F3088" s="89"/>
    </row>
    <row r="3089" spans="1:6" s="6" customFormat="1" x14ac:dyDescent="0.3">
      <c r="B3089" s="29"/>
      <c r="C3089" s="29"/>
      <c r="D3089" s="30"/>
      <c r="E3089" s="33"/>
      <c r="F3089" s="89"/>
    </row>
    <row r="3090" spans="1:6" s="6" customFormat="1" x14ac:dyDescent="0.3">
      <c r="B3090" s="29"/>
      <c r="C3090" s="29"/>
      <c r="D3090" s="30"/>
      <c r="E3090" s="33"/>
      <c r="F3090" s="89"/>
    </row>
    <row r="3091" spans="1:6" s="6" customFormat="1" x14ac:dyDescent="0.3">
      <c r="B3091" s="29"/>
      <c r="C3091" s="29"/>
      <c r="D3091" s="30"/>
      <c r="E3091" s="33"/>
      <c r="F3091" s="89"/>
    </row>
    <row r="3092" spans="1:6" x14ac:dyDescent="0.3">
      <c r="A3092" s="6"/>
      <c r="B3092" s="29"/>
      <c r="C3092" s="29"/>
      <c r="D3092" s="30"/>
      <c r="E3092" s="33"/>
    </row>
    <row r="3093" spans="1:6" x14ac:dyDescent="0.3">
      <c r="A3093" s="6"/>
      <c r="B3093" s="29"/>
      <c r="C3093" s="29"/>
      <c r="D3093" s="30"/>
      <c r="E3093" s="33"/>
    </row>
    <row r="3094" spans="1:6" x14ac:dyDescent="0.3">
      <c r="A3094" s="6"/>
      <c r="B3094" s="29"/>
      <c r="C3094" s="29"/>
      <c r="D3094" s="30"/>
      <c r="E3094" s="33"/>
    </row>
    <row r="3095" spans="1:6" x14ac:dyDescent="0.3">
      <c r="A3095" s="6"/>
      <c r="B3095" s="29"/>
      <c r="C3095" s="29"/>
      <c r="D3095" s="30"/>
      <c r="E3095" s="33"/>
    </row>
    <row r="3096" spans="1:6" x14ac:dyDescent="0.3">
      <c r="A3096" s="6"/>
      <c r="B3096" s="29"/>
      <c r="C3096" s="29"/>
      <c r="D3096" s="30"/>
      <c r="E3096" s="33"/>
    </row>
    <row r="3097" spans="1:6" x14ac:dyDescent="0.3">
      <c r="A3097" s="6"/>
      <c r="B3097" s="29"/>
      <c r="C3097" s="29"/>
      <c r="D3097" s="30"/>
      <c r="E3097" s="33"/>
    </row>
    <row r="3098" spans="1:6" x14ac:dyDescent="0.3">
      <c r="A3098" s="6"/>
      <c r="B3098" s="29"/>
      <c r="C3098" s="29"/>
      <c r="D3098" s="30"/>
      <c r="E3098" s="33"/>
    </row>
    <row r="3099" spans="1:6" x14ac:dyDescent="0.3">
      <c r="A3099" s="6"/>
      <c r="B3099" s="29"/>
      <c r="C3099" s="29"/>
      <c r="D3099" s="30"/>
      <c r="E3099" s="33"/>
    </row>
    <row r="3100" spans="1:6" x14ac:dyDescent="0.3">
      <c r="A3100" s="6"/>
      <c r="B3100" s="29"/>
      <c r="C3100" s="29"/>
      <c r="D3100" s="30"/>
      <c r="E3100" s="33"/>
    </row>
    <row r="3101" spans="1:6" x14ac:dyDescent="0.3">
      <c r="A3101" s="6"/>
      <c r="B3101" s="29"/>
      <c r="C3101" s="29"/>
      <c r="D3101" s="30"/>
      <c r="E3101" s="33"/>
    </row>
    <row r="3102" spans="1:6" x14ac:dyDescent="0.3">
      <c r="A3102" s="6"/>
      <c r="B3102" s="29"/>
      <c r="C3102" s="29"/>
      <c r="D3102" s="30"/>
      <c r="E3102" s="33"/>
    </row>
    <row r="3103" spans="1:6" x14ac:dyDescent="0.3">
      <c r="A3103" s="6"/>
      <c r="B3103" s="29"/>
      <c r="C3103" s="29"/>
      <c r="D3103" s="30"/>
      <c r="E3103" s="33"/>
    </row>
    <row r="3104" spans="1:6" x14ac:dyDescent="0.3">
      <c r="A3104" s="6"/>
      <c r="B3104" s="29"/>
      <c r="C3104" s="29"/>
      <c r="D3104" s="30"/>
      <c r="E3104" s="33"/>
    </row>
    <row r="3105" spans="1:5" x14ac:dyDescent="0.3">
      <c r="A3105" s="6"/>
      <c r="B3105" s="29"/>
      <c r="C3105" s="29"/>
      <c r="D3105" s="30"/>
      <c r="E3105" s="33"/>
    </row>
    <row r="3106" spans="1:5" x14ac:dyDescent="0.3">
      <c r="A3106" s="6"/>
      <c r="B3106" s="29"/>
      <c r="C3106" s="29"/>
      <c r="D3106" s="30"/>
      <c r="E3106" s="33"/>
    </row>
    <row r="3107" spans="1:5" x14ac:dyDescent="0.3">
      <c r="A3107" s="6"/>
      <c r="B3107" s="29"/>
      <c r="C3107" s="29"/>
      <c r="D3107" s="30"/>
      <c r="E3107" s="33"/>
    </row>
    <row r="3108" spans="1:5" x14ac:dyDescent="0.3">
      <c r="A3108" s="6"/>
      <c r="B3108" s="29"/>
      <c r="C3108" s="29"/>
      <c r="D3108" s="30"/>
      <c r="E3108" s="33"/>
    </row>
    <row r="3109" spans="1:5" x14ac:dyDescent="0.3">
      <c r="A3109" s="6"/>
      <c r="B3109" s="29"/>
      <c r="C3109" s="29"/>
      <c r="D3109" s="30"/>
      <c r="E3109" s="33"/>
    </row>
    <row r="3110" spans="1:5" x14ac:dyDescent="0.3">
      <c r="A3110" s="6"/>
      <c r="B3110" s="29"/>
      <c r="C3110" s="29"/>
      <c r="D3110" s="30"/>
      <c r="E3110" s="33"/>
    </row>
    <row r="3111" spans="1:5" x14ac:dyDescent="0.3">
      <c r="A3111" s="6"/>
      <c r="B3111" s="29"/>
      <c r="C3111" s="29"/>
      <c r="D3111" s="30"/>
      <c r="E3111" s="33"/>
    </row>
    <row r="3112" spans="1:5" x14ac:dyDescent="0.3">
      <c r="A3112" s="6"/>
      <c r="B3112" s="29"/>
      <c r="C3112" s="29"/>
      <c r="D3112" s="30"/>
      <c r="E3112" s="33"/>
    </row>
    <row r="3113" spans="1:5" x14ac:dyDescent="0.3">
      <c r="A3113" s="6"/>
      <c r="B3113" s="29"/>
      <c r="C3113" s="29"/>
      <c r="D3113" s="30"/>
      <c r="E3113" s="33"/>
    </row>
    <row r="3114" spans="1:5" x14ac:dyDescent="0.3">
      <c r="A3114" s="6"/>
      <c r="B3114" s="29"/>
      <c r="C3114" s="29"/>
      <c r="D3114" s="30"/>
      <c r="E3114" s="33"/>
    </row>
    <row r="3115" spans="1:5" x14ac:dyDescent="0.3">
      <c r="A3115" s="6"/>
      <c r="B3115" s="29"/>
      <c r="C3115" s="29"/>
      <c r="D3115" s="30"/>
      <c r="E3115" s="33"/>
    </row>
    <row r="3116" spans="1:5" x14ac:dyDescent="0.3">
      <c r="A3116" s="6"/>
      <c r="B3116" s="29"/>
      <c r="C3116" s="29"/>
      <c r="D3116" s="30"/>
      <c r="E3116" s="33"/>
    </row>
    <row r="3117" spans="1:5" x14ac:dyDescent="0.3">
      <c r="A3117" s="6"/>
      <c r="B3117" s="29"/>
      <c r="C3117" s="29"/>
      <c r="D3117" s="30"/>
      <c r="E3117" s="33"/>
    </row>
    <row r="3118" spans="1:5" x14ac:dyDescent="0.3">
      <c r="A3118" s="6"/>
      <c r="B3118" s="29"/>
      <c r="C3118" s="29"/>
      <c r="D3118" s="30"/>
      <c r="E3118" s="33"/>
    </row>
    <row r="3119" spans="1:5" x14ac:dyDescent="0.3">
      <c r="A3119" s="6"/>
      <c r="B3119" s="29"/>
      <c r="C3119" s="29"/>
      <c r="D3119" s="30"/>
      <c r="E3119" s="33"/>
    </row>
    <row r="3120" spans="1:5" x14ac:dyDescent="0.3">
      <c r="A3120" s="6"/>
      <c r="B3120" s="29"/>
      <c r="C3120" s="29"/>
      <c r="D3120" s="30"/>
      <c r="E3120" s="33"/>
    </row>
    <row r="3121" spans="1:5" x14ac:dyDescent="0.3">
      <c r="A3121" s="6"/>
      <c r="B3121" s="29"/>
      <c r="C3121" s="29"/>
      <c r="D3121" s="30"/>
      <c r="E3121" s="33"/>
    </row>
    <row r="3122" spans="1:5" x14ac:dyDescent="0.3">
      <c r="A3122" s="6"/>
      <c r="B3122" s="29"/>
      <c r="C3122" s="29"/>
      <c r="D3122" s="30"/>
      <c r="E3122" s="33"/>
    </row>
    <row r="3123" spans="1:5" x14ac:dyDescent="0.3">
      <c r="A3123" s="6"/>
      <c r="B3123" s="29"/>
      <c r="C3123" s="29"/>
      <c r="D3123" s="30"/>
      <c r="E3123" s="33"/>
    </row>
    <row r="3124" spans="1:5" x14ac:dyDescent="0.3">
      <c r="A3124" s="6"/>
      <c r="B3124" s="29"/>
      <c r="C3124" s="29"/>
      <c r="D3124" s="30"/>
      <c r="E3124" s="33"/>
    </row>
    <row r="3125" spans="1:5" x14ac:dyDescent="0.3">
      <c r="A3125" s="6"/>
      <c r="B3125" s="29"/>
      <c r="C3125" s="29"/>
      <c r="D3125" s="30"/>
      <c r="E3125" s="33"/>
    </row>
    <row r="3126" spans="1:5" x14ac:dyDescent="0.3">
      <c r="A3126" s="6"/>
      <c r="B3126" s="29"/>
      <c r="C3126" s="29"/>
      <c r="D3126" s="30"/>
      <c r="E3126" s="33"/>
    </row>
  </sheetData>
  <mergeCells count="48">
    <mergeCell ref="A368:E368"/>
    <mergeCell ref="A408:E412"/>
    <mergeCell ref="A460:E463"/>
    <mergeCell ref="A516:C517"/>
    <mergeCell ref="A518:E519"/>
    <mergeCell ref="A419:B419"/>
    <mergeCell ref="A436:B436"/>
    <mergeCell ref="A504:B504"/>
    <mergeCell ref="A6:E9"/>
    <mergeCell ref="A91:B92"/>
    <mergeCell ref="A93:D94"/>
    <mergeCell ref="A139:D144"/>
    <mergeCell ref="A180:E190"/>
    <mergeCell ref="A224:B224"/>
    <mergeCell ref="A113:B113"/>
    <mergeCell ref="A16:B16"/>
    <mergeCell ref="A39:B39"/>
    <mergeCell ref="A61:B61"/>
    <mergeCell ref="A77:B77"/>
    <mergeCell ref="A101:B101"/>
    <mergeCell ref="A397:B397"/>
    <mergeCell ref="A151:B151"/>
    <mergeCell ref="A164:B164"/>
    <mergeCell ref="A242:B242"/>
    <mergeCell ref="A274:B274"/>
    <mergeCell ref="A211:B211"/>
    <mergeCell ref="A233:E235"/>
    <mergeCell ref="A284:D285"/>
    <mergeCell ref="A330:E330"/>
    <mergeCell ref="A328:C329"/>
    <mergeCell ref="A532:B532"/>
    <mergeCell ref="A526:B526"/>
    <mergeCell ref="A358:B358"/>
    <mergeCell ref="A337:B337"/>
    <mergeCell ref="A508:B508"/>
    <mergeCell ref="A470:B470"/>
    <mergeCell ref="A491:B491"/>
    <mergeCell ref="A366:C367"/>
    <mergeCell ref="A129:B129"/>
    <mergeCell ref="A320:B320"/>
    <mergeCell ref="A346:B346"/>
    <mergeCell ref="A255:B255"/>
    <mergeCell ref="A447:B447"/>
    <mergeCell ref="A304:B304"/>
    <mergeCell ref="A292:B292"/>
    <mergeCell ref="A375:B375"/>
    <mergeCell ref="A197:B197"/>
    <mergeCell ref="A385:B385"/>
  </mergeCells>
  <pageMargins left="0.78740157480314965" right="0.19685039370078741" top="0.78740157480314965" bottom="0.78740157480314965" header="0.39370078740157483" footer="0.19685039370078741"/>
  <pageSetup paperSize="9" scale="90" orientation="portrait" r:id="rId1"/>
  <headerFooter alignWithMargins="0">
    <oddHeader>&amp;L&amp;"Arial Narrow,Normal"&amp;8Presupuesto Municipal 2020
&amp;"Arial,Normal"&amp;10
&amp;R&amp;"Arial Narrow,Normal"&amp;8MUNICIPALIDAD DE VILLA MARÍA
Secretaría de Economía y Finanzas</oddHeader>
  </headerFooter>
  <rowBreaks count="9" manualBreakCount="9">
    <brk id="60" max="16383" man="1"/>
    <brk id="112" max="4" man="1"/>
    <brk id="170" max="4" man="1"/>
    <brk id="230" max="4" man="1"/>
    <brk id="290" max="16383" man="1"/>
    <brk id="345" max="16383" man="1"/>
    <brk id="396" max="16383" man="1"/>
    <brk id="455" max="4" man="1"/>
    <brk id="51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360"/>
  <sheetViews>
    <sheetView view="pageLayout" topLeftCell="A163" zoomScale="98" zoomScaleNormal="100" zoomScaleSheetLayoutView="75" zoomScalePageLayoutView="98" workbookViewId="0">
      <selection activeCell="B39" sqref="B39"/>
    </sheetView>
  </sheetViews>
  <sheetFormatPr baseColWidth="10" defaultColWidth="11.453125" defaultRowHeight="13" x14ac:dyDescent="0.3"/>
  <cols>
    <col min="1" max="1" width="9.7265625" style="4" customWidth="1"/>
    <col min="2" max="2" width="46.7265625" style="34" customWidth="1"/>
    <col min="3" max="3" width="12.7265625" style="34" customWidth="1"/>
    <col min="4" max="4" width="14.7265625" style="35" customWidth="1"/>
    <col min="5" max="5" width="15.54296875" style="36" customWidth="1"/>
    <col min="6" max="6" width="17.26953125" style="89" bestFit="1" customWidth="1"/>
    <col min="7" max="7" width="12.453125" style="4" bestFit="1" customWidth="1"/>
    <col min="8" max="16384" width="11.453125" style="4"/>
  </cols>
  <sheetData>
    <row r="1" spans="1:11" s="2" customFormat="1" x14ac:dyDescent="0.3">
      <c r="A1" s="470" t="s">
        <v>235</v>
      </c>
      <c r="B1" s="16"/>
      <c r="C1" s="14"/>
      <c r="D1" s="15"/>
      <c r="E1" s="16"/>
      <c r="F1" s="91"/>
    </row>
    <row r="2" spans="1:11" s="2" customFormat="1" x14ac:dyDescent="0.3">
      <c r="A2" s="470"/>
      <c r="B2" s="16"/>
      <c r="C2" s="14"/>
      <c r="D2" s="15"/>
      <c r="E2" s="16"/>
      <c r="F2" s="91"/>
    </row>
    <row r="3" spans="1:11" s="2" customFormat="1" ht="13.5" customHeight="1" thickBot="1" x14ac:dyDescent="0.35">
      <c r="A3" s="1"/>
      <c r="B3" s="14"/>
      <c r="C3" s="14"/>
      <c r="D3" s="15"/>
      <c r="E3" s="17"/>
      <c r="F3" s="91"/>
    </row>
    <row r="4" spans="1:11" customFormat="1" ht="12.75" customHeight="1" x14ac:dyDescent="0.3">
      <c r="A4" s="715" t="s">
        <v>590</v>
      </c>
      <c r="B4" s="703"/>
      <c r="C4" s="712"/>
      <c r="D4" s="704" t="s">
        <v>6</v>
      </c>
      <c r="E4" s="910" t="s">
        <v>234</v>
      </c>
      <c r="F4" s="188"/>
      <c r="G4" s="156"/>
      <c r="H4" s="156"/>
      <c r="I4" s="156"/>
      <c r="J4" s="156"/>
      <c r="K4" s="156"/>
    </row>
    <row r="5" spans="1:11" customFormat="1" ht="13.5" customHeight="1" thickBot="1" x14ac:dyDescent="0.4">
      <c r="A5" s="717"/>
      <c r="B5" s="711"/>
      <c r="C5" s="714"/>
      <c r="D5" s="708"/>
      <c r="E5" s="709"/>
      <c r="F5" s="574"/>
      <c r="G5" s="575"/>
      <c r="H5" s="575"/>
      <c r="I5" s="4"/>
      <c r="J5" s="156"/>
      <c r="K5" s="156"/>
    </row>
    <row r="6" spans="1:11" s="121" customFormat="1" ht="12.75" customHeight="1" x14ac:dyDescent="0.35">
      <c r="A6" s="1123" t="s">
        <v>993</v>
      </c>
      <c r="B6" s="1124"/>
      <c r="C6" s="1124"/>
      <c r="D6" s="1124"/>
      <c r="E6" s="1125"/>
      <c r="F6" s="575"/>
      <c r="G6" s="575"/>
      <c r="H6" s="575"/>
    </row>
    <row r="7" spans="1:11" customFormat="1" ht="12.75" customHeight="1" x14ac:dyDescent="0.35">
      <c r="A7" s="1126"/>
      <c r="B7" s="1127"/>
      <c r="C7" s="1127"/>
      <c r="D7" s="1127"/>
      <c r="E7" s="1128"/>
      <c r="F7" s="575"/>
      <c r="G7" s="575"/>
      <c r="H7" s="575"/>
      <c r="I7" s="4"/>
      <c r="J7" s="566"/>
      <c r="K7" s="156"/>
    </row>
    <row r="8" spans="1:11" customFormat="1" x14ac:dyDescent="0.3">
      <c r="A8" s="1126"/>
      <c r="B8" s="1127"/>
      <c r="C8" s="1127"/>
      <c r="D8" s="1127"/>
      <c r="E8" s="1128"/>
      <c r="F8" s="89"/>
      <c r="G8" s="4"/>
      <c r="H8" s="156"/>
      <c r="I8" s="4"/>
      <c r="J8" s="566"/>
      <c r="K8" s="156"/>
    </row>
    <row r="9" spans="1:11" customFormat="1" x14ac:dyDescent="0.3">
      <c r="A9" s="1126"/>
      <c r="B9" s="1127"/>
      <c r="C9" s="1127"/>
      <c r="D9" s="1127"/>
      <c r="E9" s="1128"/>
      <c r="F9" s="89"/>
      <c r="G9" s="4"/>
      <c r="H9" s="156"/>
      <c r="I9" s="4"/>
      <c r="J9" s="156"/>
      <c r="K9" s="156"/>
    </row>
    <row r="10" spans="1:11" customFormat="1" x14ac:dyDescent="0.3">
      <c r="A10" s="1126"/>
      <c r="B10" s="1127"/>
      <c r="C10" s="1127"/>
      <c r="D10" s="1127"/>
      <c r="E10" s="1128"/>
      <c r="F10" s="188"/>
      <c r="G10" s="4"/>
      <c r="H10" s="156"/>
      <c r="I10" s="156"/>
      <c r="J10" s="156"/>
      <c r="K10" s="156"/>
    </row>
    <row r="11" spans="1:11" customFormat="1" x14ac:dyDescent="0.3">
      <c r="A11" s="1126"/>
      <c r="B11" s="1127"/>
      <c r="C11" s="1127"/>
      <c r="D11" s="1127"/>
      <c r="E11" s="1128"/>
      <c r="F11" s="188"/>
      <c r="G11" s="4"/>
      <c r="H11" s="156"/>
      <c r="I11" s="156"/>
      <c r="J11" s="156"/>
      <c r="K11" s="156"/>
    </row>
    <row r="12" spans="1:11" customFormat="1" ht="13.5" thickBot="1" x14ac:dyDescent="0.35">
      <c r="A12" s="1129"/>
      <c r="B12" s="1130"/>
      <c r="C12" s="1130"/>
      <c r="D12" s="1130"/>
      <c r="E12" s="1131"/>
      <c r="F12" s="188"/>
      <c r="G12" s="4"/>
      <c r="H12" s="156"/>
      <c r="I12" s="156"/>
      <c r="J12" s="156"/>
      <c r="K12" s="156"/>
    </row>
    <row r="13" spans="1:11" customFormat="1" ht="12.5" x14ac:dyDescent="0.25">
      <c r="A13" s="456" t="s">
        <v>1029</v>
      </c>
      <c r="B13" s="170"/>
      <c r="C13" s="169"/>
      <c r="D13" s="169"/>
      <c r="E13" s="168"/>
      <c r="F13" s="188"/>
      <c r="G13" s="156"/>
      <c r="H13" s="156"/>
      <c r="I13" s="156"/>
      <c r="J13" s="156"/>
      <c r="K13" s="156"/>
    </row>
    <row r="14" spans="1:11" s="121" customFormat="1" ht="12.5" x14ac:dyDescent="0.25">
      <c r="A14" s="58" t="s">
        <v>201</v>
      </c>
      <c r="B14" s="59"/>
      <c r="C14" s="60"/>
      <c r="D14" s="60"/>
      <c r="E14" s="61"/>
      <c r="F14" s="188"/>
    </row>
    <row r="15" spans="1:11" s="187" customFormat="1" ht="13.5" customHeight="1" x14ac:dyDescent="0.25">
      <c r="A15" s="58" t="s">
        <v>1040</v>
      </c>
      <c r="B15" s="59"/>
      <c r="C15" s="60"/>
      <c r="D15" s="60"/>
      <c r="E15" s="61"/>
      <c r="F15" s="185"/>
    </row>
    <row r="16" spans="1:11" s="183" customFormat="1" thickBot="1" x14ac:dyDescent="0.3">
      <c r="A16" s="167" t="s">
        <v>13</v>
      </c>
      <c r="B16" s="166"/>
      <c r="C16" s="165"/>
      <c r="D16" s="165"/>
      <c r="E16" s="164"/>
      <c r="F16" s="185"/>
      <c r="G16" s="184"/>
      <c r="H16" s="184"/>
      <c r="I16" s="184"/>
      <c r="J16" s="184"/>
      <c r="K16" s="184"/>
    </row>
    <row r="17" spans="1:11" s="183" customFormat="1" thickBot="1" x14ac:dyDescent="0.3">
      <c r="A17" s="743" t="s">
        <v>14</v>
      </c>
      <c r="B17" s="744"/>
      <c r="C17" s="750"/>
      <c r="D17" s="751"/>
      <c r="E17" s="747">
        <f>C19+C42+C66+C86+C93</f>
        <v>128119264</v>
      </c>
      <c r="F17" s="185"/>
      <c r="G17" s="184"/>
      <c r="H17" s="184"/>
      <c r="I17" s="184"/>
      <c r="J17" s="184"/>
      <c r="K17" s="184"/>
    </row>
    <row r="18" spans="1:11" s="183" customFormat="1" thickBot="1" x14ac:dyDescent="0.3">
      <c r="A18" s="63"/>
      <c r="B18" s="63"/>
      <c r="C18" s="64"/>
      <c r="D18" s="64"/>
      <c r="E18" s="568"/>
      <c r="F18" s="568"/>
      <c r="G18" s="184"/>
      <c r="H18" s="184"/>
      <c r="I18" s="184"/>
      <c r="J18" s="184"/>
      <c r="K18" s="184"/>
    </row>
    <row r="19" spans="1:11" s="183" customFormat="1" thickBot="1" x14ac:dyDescent="0.3">
      <c r="A19" s="1144" t="s">
        <v>1</v>
      </c>
      <c r="B19" s="1145"/>
      <c r="C19" s="722">
        <f>C20+C27+C34</f>
        <v>72431654</v>
      </c>
      <c r="D19" s="64" t="s">
        <v>200</v>
      </c>
      <c r="E19" s="983"/>
      <c r="F19" s="185"/>
      <c r="G19" s="184"/>
      <c r="H19" s="184"/>
      <c r="I19" s="184"/>
      <c r="J19" s="184"/>
      <c r="K19" s="184"/>
    </row>
    <row r="20" spans="1:11" s="183" customFormat="1" ht="12.5" x14ac:dyDescent="0.25">
      <c r="A20" s="11" t="s">
        <v>97</v>
      </c>
      <c r="B20" s="211" t="s">
        <v>98</v>
      </c>
      <c r="C20" s="64">
        <f>SUM(C21:C26)</f>
        <v>25530777</v>
      </c>
      <c r="D20" s="64"/>
      <c r="E20" s="983"/>
      <c r="F20" s="185"/>
      <c r="G20" s="184"/>
      <c r="H20" s="184"/>
      <c r="I20" s="184"/>
      <c r="J20" s="184"/>
      <c r="K20" s="184"/>
    </row>
    <row r="21" spans="1:11" s="8" customFormat="1" x14ac:dyDescent="0.3">
      <c r="A21" s="12" t="s">
        <v>23</v>
      </c>
      <c r="B21" s="24" t="s">
        <v>20</v>
      </c>
      <c r="C21" s="24">
        <f>3023680+982050+16850222-500000</f>
        <v>20355952</v>
      </c>
      <c r="D21" s="22"/>
      <c r="E21" s="31"/>
      <c r="F21" s="95"/>
      <c r="G21" s="43"/>
      <c r="H21" s="43"/>
    </row>
    <row r="22" spans="1:11" s="9" customFormat="1" x14ac:dyDescent="0.25">
      <c r="A22" s="12" t="s">
        <v>24</v>
      </c>
      <c r="B22" s="24" t="s">
        <v>22</v>
      </c>
      <c r="C22" s="24">
        <f>1679+755919+2687715-500000</f>
        <v>2945313</v>
      </c>
      <c r="D22" s="22"/>
      <c r="E22" s="31"/>
      <c r="F22" s="38"/>
      <c r="G22" s="73"/>
      <c r="H22" s="73"/>
    </row>
    <row r="23" spans="1:11" s="9" customFormat="1" x14ac:dyDescent="0.3">
      <c r="A23" s="12" t="s">
        <v>25</v>
      </c>
      <c r="B23" s="24" t="s">
        <v>76</v>
      </c>
      <c r="C23" s="24">
        <f>75000+561263</f>
        <v>636263</v>
      </c>
      <c r="D23" s="22"/>
      <c r="F23" s="92"/>
    </row>
    <row r="24" spans="1:11" s="9" customFormat="1" x14ac:dyDescent="0.3">
      <c r="A24" s="12" t="s">
        <v>26</v>
      </c>
      <c r="B24" s="24" t="s">
        <v>77</v>
      </c>
      <c r="C24" s="24">
        <v>1</v>
      </c>
      <c r="D24" s="22"/>
      <c r="E24" s="38"/>
      <c r="F24" s="92"/>
    </row>
    <row r="25" spans="1:11" s="8" customFormat="1" x14ac:dyDescent="0.3">
      <c r="A25" s="12" t="s">
        <v>27</v>
      </c>
      <c r="B25" s="24" t="s">
        <v>21</v>
      </c>
      <c r="C25" s="24">
        <f>34020+873624</f>
        <v>907644</v>
      </c>
      <c r="D25" s="22"/>
      <c r="E25" s="38"/>
      <c r="F25" s="92"/>
    </row>
    <row r="26" spans="1:11" s="9" customFormat="1" x14ac:dyDescent="0.3">
      <c r="A26" s="12" t="s">
        <v>28</v>
      </c>
      <c r="B26" s="24" t="s">
        <v>19</v>
      </c>
      <c r="C26" s="24">
        <f>335666+50870+153262+125517+20289</f>
        <v>685604</v>
      </c>
      <c r="D26" s="22"/>
      <c r="E26" s="38"/>
      <c r="F26" s="93"/>
    </row>
    <row r="27" spans="1:11" s="9" customFormat="1" x14ac:dyDescent="0.3">
      <c r="A27" s="11" t="s">
        <v>99</v>
      </c>
      <c r="B27" s="31" t="s">
        <v>100</v>
      </c>
      <c r="C27" s="31">
        <f>SUM(C28:C33)</f>
        <v>31057254</v>
      </c>
      <c r="D27" s="22"/>
      <c r="E27" s="38"/>
      <c r="F27" s="93"/>
    </row>
    <row r="28" spans="1:11" s="8" customFormat="1" x14ac:dyDescent="0.3">
      <c r="A28" s="12" t="s">
        <v>30</v>
      </c>
      <c r="B28" s="24" t="s">
        <v>78</v>
      </c>
      <c r="C28" s="24">
        <f>5058751+1493574+31377021+559731+157424-13000000</f>
        <v>25646501</v>
      </c>
      <c r="D28" s="22"/>
      <c r="E28" s="31"/>
      <c r="F28" s="54"/>
      <c r="G28" s="43"/>
      <c r="H28" s="43"/>
    </row>
    <row r="29" spans="1:11" s="9" customFormat="1" x14ac:dyDescent="0.3">
      <c r="A29" s="12" t="s">
        <v>31</v>
      </c>
      <c r="B29" s="24" t="s">
        <v>79</v>
      </c>
      <c r="C29" s="24">
        <f>629698+159236+1264687+4496666-2000000</f>
        <v>4550287</v>
      </c>
      <c r="D29" s="22"/>
      <c r="E29" s="31"/>
      <c r="F29" s="92"/>
    </row>
    <row r="30" spans="1:11" s="9" customFormat="1" x14ac:dyDescent="0.3">
      <c r="A30" s="12" t="s">
        <v>32</v>
      </c>
      <c r="B30" s="24" t="s">
        <v>80</v>
      </c>
      <c r="C30" s="24">
        <v>806350</v>
      </c>
      <c r="D30" s="22"/>
      <c r="E30" s="31"/>
      <c r="F30" s="92"/>
    </row>
    <row r="31" spans="1:11" s="9" customFormat="1" x14ac:dyDescent="0.3">
      <c r="A31" s="12" t="s">
        <v>33</v>
      </c>
      <c r="B31" s="24" t="s">
        <v>81</v>
      </c>
      <c r="C31" s="24">
        <v>1</v>
      </c>
      <c r="D31" s="22"/>
      <c r="E31" s="25"/>
      <c r="F31" s="92"/>
    </row>
    <row r="32" spans="1:11" s="8" customFormat="1" x14ac:dyDescent="0.3">
      <c r="A32" s="12" t="s">
        <v>34</v>
      </c>
      <c r="B32" s="24" t="s">
        <v>29</v>
      </c>
      <c r="C32" s="24">
        <f>3402+50712</f>
        <v>54114</v>
      </c>
      <c r="D32" s="22"/>
      <c r="E32" s="25"/>
      <c r="F32" s="92"/>
    </row>
    <row r="33" spans="1:11" s="9" customFormat="1" x14ac:dyDescent="0.3">
      <c r="A33" s="12" t="s">
        <v>83</v>
      </c>
      <c r="B33" s="24" t="s">
        <v>82</v>
      </c>
      <c r="C33" s="24">
        <v>1</v>
      </c>
      <c r="D33" s="22"/>
      <c r="E33" s="25"/>
      <c r="F33" s="93"/>
    </row>
    <row r="34" spans="1:11" s="9" customFormat="1" x14ac:dyDescent="0.3">
      <c r="A34" s="11" t="s">
        <v>101</v>
      </c>
      <c r="B34" s="31" t="s">
        <v>102</v>
      </c>
      <c r="C34" s="31">
        <f>SUM(C35:C40)</f>
        <v>15843623</v>
      </c>
      <c r="D34" s="22"/>
      <c r="E34" s="25"/>
      <c r="F34" s="93"/>
    </row>
    <row r="35" spans="1:11" s="8" customFormat="1" x14ac:dyDescent="0.3">
      <c r="A35" s="12" t="s">
        <v>39</v>
      </c>
      <c r="B35" s="24" t="s">
        <v>35</v>
      </c>
      <c r="C35" s="24">
        <f>11843477+565271+1936362+161265+45356-1000000</f>
        <v>13551731</v>
      </c>
      <c r="D35" s="22"/>
      <c r="E35" s="25"/>
      <c r="F35" s="92"/>
    </row>
    <row r="36" spans="1:11" s="9" customFormat="1" x14ac:dyDescent="0.3">
      <c r="A36" s="12" t="s">
        <v>40</v>
      </c>
      <c r="B36" s="24" t="s">
        <v>37</v>
      </c>
      <c r="C36" s="24">
        <f>181423+46564+484090+1728302-500000</f>
        <v>1940379</v>
      </c>
      <c r="D36" s="22"/>
      <c r="E36" s="25"/>
      <c r="F36" s="92"/>
    </row>
    <row r="37" spans="1:11" s="9" customFormat="1" x14ac:dyDescent="0.3">
      <c r="A37" s="12" t="s">
        <v>41</v>
      </c>
      <c r="B37" s="24" t="s">
        <v>84</v>
      </c>
      <c r="C37" s="24">
        <v>330206</v>
      </c>
      <c r="D37" s="22"/>
      <c r="E37" s="25"/>
      <c r="F37" s="92"/>
    </row>
    <row r="38" spans="1:11" s="9" customFormat="1" x14ac:dyDescent="0.3">
      <c r="A38" s="12" t="s">
        <v>42</v>
      </c>
      <c r="B38" s="24" t="s">
        <v>85</v>
      </c>
      <c r="C38" s="24">
        <v>1</v>
      </c>
      <c r="D38" s="22"/>
      <c r="E38" s="25"/>
      <c r="F38" s="92"/>
    </row>
    <row r="39" spans="1:11" s="8" customFormat="1" x14ac:dyDescent="0.3">
      <c r="A39" s="12" t="s">
        <v>43</v>
      </c>
      <c r="B39" s="24" t="s">
        <v>36</v>
      </c>
      <c r="C39" s="24">
        <f>16202+5103</f>
        <v>21305</v>
      </c>
      <c r="D39" s="22"/>
      <c r="E39" s="25"/>
      <c r="F39" s="92"/>
    </row>
    <row r="40" spans="1:11" s="9" customFormat="1" x14ac:dyDescent="0.3">
      <c r="A40" s="12" t="s">
        <v>44</v>
      </c>
      <c r="B40" s="24" t="s">
        <v>38</v>
      </c>
      <c r="C40" s="24">
        <v>1</v>
      </c>
      <c r="D40" s="22"/>
      <c r="E40" s="25"/>
      <c r="F40" s="93"/>
    </row>
    <row r="41" spans="1:11" s="9" customFormat="1" ht="13.5" thickBot="1" x14ac:dyDescent="0.35">
      <c r="A41" s="12"/>
      <c r="B41" s="24"/>
      <c r="C41" s="24"/>
      <c r="D41" s="22"/>
      <c r="E41" s="25"/>
      <c r="F41" s="93"/>
    </row>
    <row r="42" spans="1:11" s="151" customFormat="1" ht="13.5" thickBot="1" x14ac:dyDescent="0.35">
      <c r="A42" s="1102" t="s">
        <v>2</v>
      </c>
      <c r="B42" s="1103"/>
      <c r="C42" s="699">
        <f>C43+C45+C47+C49+C51+C58+C61</f>
        <v>1321670</v>
      </c>
      <c r="D42" s="68"/>
      <c r="E42" s="68"/>
      <c r="F42" s="179"/>
      <c r="G42" s="152"/>
      <c r="H42" s="152"/>
      <c r="I42" s="152"/>
      <c r="J42" s="152"/>
      <c r="K42" s="152"/>
    </row>
    <row r="43" spans="1:11" s="151" customFormat="1" ht="13.5" customHeight="1" x14ac:dyDescent="0.3">
      <c r="A43" s="11" t="s">
        <v>103</v>
      </c>
      <c r="B43" s="211" t="s">
        <v>104</v>
      </c>
      <c r="C43" s="64">
        <f>SUM(C44)</f>
        <v>295790</v>
      </c>
      <c r="D43" s="68"/>
      <c r="E43" s="68"/>
      <c r="F43" s="179"/>
      <c r="G43" s="152"/>
      <c r="H43" s="152"/>
      <c r="I43" s="152"/>
      <c r="J43" s="152"/>
      <c r="K43" s="152"/>
    </row>
    <row r="44" spans="1:11" s="43" customFormat="1" ht="13.5" customHeight="1" x14ac:dyDescent="0.25">
      <c r="A44" s="12" t="s">
        <v>46</v>
      </c>
      <c r="B44" s="8" t="s">
        <v>45</v>
      </c>
      <c r="C44" s="24">
        <v>295790</v>
      </c>
      <c r="E44" s="31"/>
      <c r="F44" s="96"/>
      <c r="G44" s="55"/>
    </row>
    <row r="45" spans="1:11" s="43" customFormat="1" ht="13.5" customHeight="1" x14ac:dyDescent="0.25">
      <c r="A45" s="11" t="s">
        <v>105</v>
      </c>
      <c r="B45" s="556" t="s">
        <v>106</v>
      </c>
      <c r="C45" s="31">
        <f>SUM(C46:C46)</f>
        <v>61620</v>
      </c>
      <c r="E45" s="31"/>
      <c r="F45" s="22"/>
      <c r="G45" s="55"/>
    </row>
    <row r="46" spans="1:11" s="43" customFormat="1" ht="13.5" customHeight="1" x14ac:dyDescent="0.25">
      <c r="A46" s="12" t="s">
        <v>86</v>
      </c>
      <c r="B46" s="8" t="s">
        <v>66</v>
      </c>
      <c r="C46" s="24">
        <v>61620</v>
      </c>
      <c r="E46" s="31"/>
      <c r="F46" s="22"/>
      <c r="G46" s="55"/>
    </row>
    <row r="47" spans="1:11" s="43" customFormat="1" ht="13.5" customHeight="1" x14ac:dyDescent="0.25">
      <c r="A47" s="11" t="s">
        <v>107</v>
      </c>
      <c r="B47" s="556" t="s">
        <v>108</v>
      </c>
      <c r="C47" s="31">
        <f>SUM(C48)</f>
        <v>85970</v>
      </c>
      <c r="E47" s="31"/>
      <c r="F47" s="22"/>
      <c r="G47" s="55"/>
    </row>
    <row r="48" spans="1:11" s="151" customFormat="1" x14ac:dyDescent="0.3">
      <c r="A48" s="12" t="s">
        <v>47</v>
      </c>
      <c r="B48" s="23" t="s">
        <v>48</v>
      </c>
      <c r="C48" s="24">
        <v>85970</v>
      </c>
      <c r="E48" s="68"/>
      <c r="F48" s="68"/>
      <c r="G48" s="152"/>
      <c r="H48" s="152"/>
      <c r="I48" s="152"/>
      <c r="J48" s="152"/>
      <c r="K48" s="152"/>
    </row>
    <row r="49" spans="1:11" s="151" customFormat="1" x14ac:dyDescent="0.3">
      <c r="A49" s="11" t="s">
        <v>195</v>
      </c>
      <c r="B49" s="25" t="s">
        <v>194</v>
      </c>
      <c r="C49" s="31">
        <f>SUM(C50)</f>
        <v>238310</v>
      </c>
      <c r="E49" s="68"/>
      <c r="F49" s="68"/>
      <c r="G49" s="152"/>
      <c r="H49" s="152"/>
      <c r="I49" s="152"/>
      <c r="J49" s="152"/>
      <c r="K49" s="152"/>
    </row>
    <row r="50" spans="1:11" s="151" customFormat="1" x14ac:dyDescent="0.3">
      <c r="A50" s="12" t="s">
        <v>193</v>
      </c>
      <c r="B50" s="24" t="s">
        <v>215</v>
      </c>
      <c r="C50" s="24">
        <v>238310</v>
      </c>
      <c r="E50" s="68"/>
      <c r="F50" s="57"/>
      <c r="G50" s="152"/>
      <c r="H50" s="152"/>
      <c r="I50" s="152"/>
      <c r="J50" s="152"/>
      <c r="K50" s="152"/>
    </row>
    <row r="51" spans="1:11" s="72" customFormat="1" ht="13.5" customHeight="1" x14ac:dyDescent="0.25">
      <c r="A51" s="265" t="s">
        <v>119</v>
      </c>
      <c r="B51" s="25" t="s">
        <v>109</v>
      </c>
      <c r="C51" s="31">
        <f>SUM(C52:C57)</f>
        <v>250100</v>
      </c>
      <c r="D51" s="78"/>
      <c r="E51" s="25"/>
      <c r="F51" s="101"/>
      <c r="G51" s="96"/>
      <c r="H51" s="12"/>
    </row>
    <row r="52" spans="1:11" s="72" customFormat="1" ht="13.5" customHeight="1" x14ac:dyDescent="0.25">
      <c r="A52" s="72" t="s">
        <v>150</v>
      </c>
      <c r="B52" s="23" t="s">
        <v>340</v>
      </c>
      <c r="C52" s="24">
        <v>18560</v>
      </c>
      <c r="D52" s="21"/>
      <c r="E52" s="21"/>
      <c r="F52" s="5"/>
      <c r="G52" s="350"/>
      <c r="H52" s="122"/>
    </row>
    <row r="53" spans="1:11" s="306" customFormat="1" ht="13.5" customHeight="1" x14ac:dyDescent="0.25">
      <c r="A53" s="12" t="s">
        <v>188</v>
      </c>
      <c r="B53" s="24" t="s">
        <v>187</v>
      </c>
      <c r="C53" s="24">
        <v>75000</v>
      </c>
      <c r="D53" s="302"/>
      <c r="E53" s="300"/>
      <c r="F53" s="689"/>
      <c r="I53" s="307"/>
    </row>
    <row r="54" spans="1:11" s="72" customFormat="1" ht="13.5" customHeight="1" x14ac:dyDescent="0.25">
      <c r="A54" s="72" t="s">
        <v>697</v>
      </c>
      <c r="B54" s="43" t="s">
        <v>696</v>
      </c>
      <c r="C54" s="24">
        <v>28540</v>
      </c>
      <c r="D54" s="21"/>
      <c r="E54" s="21"/>
      <c r="F54" s="5"/>
      <c r="G54" s="350"/>
      <c r="H54" s="122"/>
    </row>
    <row r="55" spans="1:11" s="66" customFormat="1" x14ac:dyDescent="0.3">
      <c r="A55" s="72" t="s">
        <v>816</v>
      </c>
      <c r="B55" s="24" t="s">
        <v>810</v>
      </c>
      <c r="C55" s="24">
        <v>23000</v>
      </c>
      <c r="D55" s="78"/>
      <c r="E55" s="25"/>
    </row>
    <row r="56" spans="1:11" s="66" customFormat="1" x14ac:dyDescent="0.3">
      <c r="A56" s="72" t="s">
        <v>820</v>
      </c>
      <c r="B56" s="24" t="s">
        <v>821</v>
      </c>
      <c r="C56" s="24">
        <v>55000</v>
      </c>
      <c r="D56" s="78"/>
      <c r="E56" s="25"/>
    </row>
    <row r="57" spans="1:11" s="66" customFormat="1" x14ac:dyDescent="0.3">
      <c r="A57" s="72" t="s">
        <v>811</v>
      </c>
      <c r="B57" s="24" t="s">
        <v>812</v>
      </c>
      <c r="C57" s="24">
        <v>50000</v>
      </c>
      <c r="D57" s="78"/>
      <c r="E57" s="25"/>
    </row>
    <row r="58" spans="1:11" s="72" customFormat="1" ht="13.5" customHeight="1" x14ac:dyDescent="0.25">
      <c r="A58" s="265" t="s">
        <v>124</v>
      </c>
      <c r="B58" s="25" t="s">
        <v>123</v>
      </c>
      <c r="C58" s="31">
        <f>SUM(C59:C60)</f>
        <v>79500</v>
      </c>
      <c r="D58" s="21"/>
      <c r="E58" s="21"/>
      <c r="F58" s="5"/>
      <c r="G58" s="350"/>
      <c r="H58" s="122"/>
    </row>
    <row r="59" spans="1:11" s="66" customFormat="1" x14ac:dyDescent="0.3">
      <c r="A59" s="12" t="s">
        <v>230</v>
      </c>
      <c r="B59" s="43" t="s">
        <v>229</v>
      </c>
      <c r="C59" s="24">
        <v>44500</v>
      </c>
      <c r="D59" s="57"/>
      <c r="E59" s="57"/>
    </row>
    <row r="60" spans="1:11" s="66" customFormat="1" x14ac:dyDescent="0.3">
      <c r="A60" s="72" t="s">
        <v>93</v>
      </c>
      <c r="B60" s="23" t="s">
        <v>72</v>
      </c>
      <c r="C60" s="60">
        <v>35000</v>
      </c>
      <c r="D60" s="68"/>
      <c r="E60" s="68"/>
      <c r="F60" s="68"/>
    </row>
    <row r="61" spans="1:11" s="66" customFormat="1" x14ac:dyDescent="0.3">
      <c r="A61" s="265" t="s">
        <v>151</v>
      </c>
      <c r="B61" s="25" t="s">
        <v>133</v>
      </c>
      <c r="C61" s="64">
        <f>SUM(C62:C64)</f>
        <v>310380</v>
      </c>
      <c r="E61" s="68"/>
      <c r="F61" s="68"/>
    </row>
    <row r="62" spans="1:11" s="8" customFormat="1" ht="13.5" customHeight="1" x14ac:dyDescent="0.25">
      <c r="A62" s="72" t="s">
        <v>152</v>
      </c>
      <c r="B62" s="23" t="s">
        <v>65</v>
      </c>
      <c r="C62" s="24">
        <v>26100</v>
      </c>
      <c r="D62" s="78"/>
      <c r="E62" s="25"/>
      <c r="F62" s="99"/>
      <c r="G62" s="55"/>
      <c r="H62" s="43"/>
    </row>
    <row r="63" spans="1:11" s="151" customFormat="1" x14ac:dyDescent="0.3">
      <c r="A63" s="72" t="s">
        <v>154</v>
      </c>
      <c r="B63" s="23" t="s">
        <v>133</v>
      </c>
      <c r="C63" s="24">
        <v>212280</v>
      </c>
      <c r="E63" s="68"/>
      <c r="F63" s="68"/>
      <c r="G63" s="152"/>
      <c r="H63" s="152"/>
      <c r="I63" s="152"/>
      <c r="J63" s="152"/>
      <c r="K63" s="152"/>
    </row>
    <row r="64" spans="1:11" s="8" customFormat="1" ht="13.5" customHeight="1" x14ac:dyDescent="0.25">
      <c r="A64" s="12" t="s">
        <v>699</v>
      </c>
      <c r="B64" s="43" t="s">
        <v>698</v>
      </c>
      <c r="C64" s="24">
        <v>72000</v>
      </c>
      <c r="F64" s="101"/>
      <c r="G64" s="9"/>
    </row>
    <row r="65" spans="1:11" s="151" customFormat="1" ht="13.5" thickBot="1" x14ac:dyDescent="0.35">
      <c r="A65" s="72"/>
      <c r="B65" s="23"/>
      <c r="C65" s="23"/>
      <c r="E65" s="68"/>
      <c r="F65" s="68"/>
      <c r="G65" s="152"/>
      <c r="H65" s="152"/>
      <c r="I65" s="152"/>
      <c r="J65" s="152"/>
      <c r="K65" s="152"/>
    </row>
    <row r="66" spans="1:11" s="151" customFormat="1" ht="13.5" thickBot="1" x14ac:dyDescent="0.35">
      <c r="A66" s="1098" t="s">
        <v>3</v>
      </c>
      <c r="B66" s="1099"/>
      <c r="C66" s="700">
        <f>C67+C70+C73+C76+C78+C80</f>
        <v>3555420</v>
      </c>
      <c r="E66" s="68"/>
      <c r="F66" s="68"/>
      <c r="G66" s="152"/>
      <c r="H66" s="152"/>
      <c r="I66" s="152"/>
      <c r="J66" s="152"/>
      <c r="K66" s="152"/>
    </row>
    <row r="67" spans="1:11" s="74" customFormat="1" x14ac:dyDescent="0.3">
      <c r="A67" s="63" t="s">
        <v>110</v>
      </c>
      <c r="B67" s="211" t="s">
        <v>111</v>
      </c>
      <c r="C67" s="64">
        <f>SUM(C68:C69)</f>
        <v>362150</v>
      </c>
      <c r="E67" s="57"/>
      <c r="F67" s="57"/>
      <c r="G67" s="177"/>
      <c r="H67" s="177"/>
      <c r="I67" s="177"/>
      <c r="J67" s="177"/>
      <c r="K67" s="177"/>
    </row>
    <row r="68" spans="1:11" customFormat="1" ht="12.5" x14ac:dyDescent="0.25">
      <c r="A68" s="12" t="s">
        <v>160</v>
      </c>
      <c r="B68" s="101" t="s">
        <v>251</v>
      </c>
      <c r="C68" s="22">
        <v>290000</v>
      </c>
      <c r="E68" s="96"/>
      <c r="G68" s="23"/>
    </row>
    <row r="69" spans="1:11" s="66" customFormat="1" x14ac:dyDescent="0.3">
      <c r="A69" s="59" t="s">
        <v>52</v>
      </c>
      <c r="B69" s="59" t="s">
        <v>15</v>
      </c>
      <c r="C69" s="60">
        <v>72150</v>
      </c>
      <c r="F69" s="68"/>
    </row>
    <row r="70" spans="1:11" s="66" customFormat="1" x14ac:dyDescent="0.3">
      <c r="A70" s="560" t="s">
        <v>120</v>
      </c>
      <c r="B70" s="561" t="s">
        <v>121</v>
      </c>
      <c r="C70" s="31">
        <f>SUM(C71:C72)</f>
        <v>247310</v>
      </c>
      <c r="F70" s="68"/>
    </row>
    <row r="71" spans="1:11" s="8" customFormat="1" ht="13.5" customHeight="1" x14ac:dyDescent="0.3">
      <c r="A71" s="59" t="s">
        <v>140</v>
      </c>
      <c r="B71" s="43" t="s">
        <v>141</v>
      </c>
      <c r="C71" s="24">
        <v>142500</v>
      </c>
      <c r="F71" s="79"/>
      <c r="G71" s="25"/>
      <c r="H71" s="92"/>
    </row>
    <row r="72" spans="1:11" s="66" customFormat="1" x14ac:dyDescent="0.3">
      <c r="A72" s="59" t="s">
        <v>136</v>
      </c>
      <c r="B72" s="59" t="s">
        <v>71</v>
      </c>
      <c r="C72" s="24">
        <v>104810</v>
      </c>
      <c r="F72" s="68"/>
    </row>
    <row r="73" spans="1:11" s="66" customFormat="1" x14ac:dyDescent="0.3">
      <c r="A73" s="560" t="s">
        <v>112</v>
      </c>
      <c r="B73" s="63" t="s">
        <v>157</v>
      </c>
      <c r="C73" s="64">
        <f>SUM(C74:C75)</f>
        <v>842040</v>
      </c>
      <c r="F73" s="68"/>
    </row>
    <row r="74" spans="1:11" s="66" customFormat="1" x14ac:dyDescent="0.3">
      <c r="A74" s="70" t="s">
        <v>138</v>
      </c>
      <c r="B74" s="59" t="s">
        <v>878</v>
      </c>
      <c r="C74" s="60">
        <v>7000</v>
      </c>
      <c r="F74" s="68"/>
    </row>
    <row r="75" spans="1:11" s="66" customFormat="1" x14ac:dyDescent="0.3">
      <c r="A75" s="70" t="s">
        <v>156</v>
      </c>
      <c r="B75" s="70" t="s">
        <v>87</v>
      </c>
      <c r="C75" s="60">
        <v>835040</v>
      </c>
      <c r="F75" s="57"/>
    </row>
    <row r="76" spans="1:11" s="66" customFormat="1" x14ac:dyDescent="0.3">
      <c r="A76" s="63" t="s">
        <v>113</v>
      </c>
      <c r="B76" s="560" t="s">
        <v>114</v>
      </c>
      <c r="C76" s="64">
        <f>SUM(C77)</f>
        <v>9900</v>
      </c>
      <c r="F76" s="57"/>
    </row>
    <row r="77" spans="1:11" s="66" customFormat="1" x14ac:dyDescent="0.3">
      <c r="A77" s="59" t="s">
        <v>88</v>
      </c>
      <c r="B77" s="59" t="s">
        <v>64</v>
      </c>
      <c r="C77" s="60">
        <v>9900</v>
      </c>
      <c r="F77" s="57"/>
    </row>
    <row r="78" spans="1:11" s="66" customFormat="1" x14ac:dyDescent="0.3">
      <c r="A78" s="560" t="s">
        <v>132</v>
      </c>
      <c r="B78" s="560" t="s">
        <v>56</v>
      </c>
      <c r="C78" s="64">
        <f>SUM(C79)</f>
        <v>175500</v>
      </c>
      <c r="E78" s="57"/>
      <c r="F78" s="105"/>
    </row>
    <row r="79" spans="1:11" s="66" customFormat="1" x14ac:dyDescent="0.3">
      <c r="A79" s="70" t="s">
        <v>55</v>
      </c>
      <c r="B79" s="70" t="s">
        <v>56</v>
      </c>
      <c r="C79" s="60">
        <v>175500</v>
      </c>
      <c r="E79" s="67"/>
      <c r="F79" s="60"/>
    </row>
    <row r="80" spans="1:11" s="66" customFormat="1" x14ac:dyDescent="0.3">
      <c r="A80" s="560" t="s">
        <v>115</v>
      </c>
      <c r="B80" s="560" t="s">
        <v>8</v>
      </c>
      <c r="C80" s="64">
        <f>SUM(C81:C84)</f>
        <v>1918520</v>
      </c>
      <c r="F80" s="57"/>
    </row>
    <row r="81" spans="1:11" s="66" customFormat="1" x14ac:dyDescent="0.3">
      <c r="A81" s="70" t="s">
        <v>89</v>
      </c>
      <c r="B81" s="70" t="s">
        <v>8</v>
      </c>
      <c r="C81" s="60">
        <v>840200</v>
      </c>
      <c r="F81" s="68"/>
    </row>
    <row r="82" spans="1:11" s="66" customFormat="1" x14ac:dyDescent="0.3">
      <c r="A82" s="70" t="s">
        <v>181</v>
      </c>
      <c r="B82" s="70" t="s">
        <v>50</v>
      </c>
      <c r="C82" s="60">
        <v>34450</v>
      </c>
      <c r="F82" s="68"/>
    </row>
    <row r="83" spans="1:11" s="8" customFormat="1" ht="13.5" customHeight="1" x14ac:dyDescent="0.25">
      <c r="A83" s="12" t="s">
        <v>222</v>
      </c>
      <c r="B83" s="43" t="s">
        <v>221</v>
      </c>
      <c r="C83" s="24">
        <v>51120</v>
      </c>
      <c r="D83" s="232"/>
      <c r="E83" s="9"/>
      <c r="F83" s="204"/>
    </row>
    <row r="84" spans="1:11" s="66" customFormat="1" x14ac:dyDescent="0.3">
      <c r="A84" s="70" t="s">
        <v>90</v>
      </c>
      <c r="B84" s="70" t="s">
        <v>7</v>
      </c>
      <c r="C84" s="60">
        <v>992750</v>
      </c>
      <c r="E84" s="68"/>
      <c r="F84" s="67"/>
    </row>
    <row r="85" spans="1:11" s="151" customFormat="1" thickBot="1" x14ac:dyDescent="0.3">
      <c r="A85" s="130"/>
      <c r="B85" s="130"/>
      <c r="C85" s="182"/>
      <c r="D85" s="181"/>
      <c r="E85" s="130"/>
      <c r="F85" s="179"/>
      <c r="G85" s="152"/>
      <c r="H85" s="152"/>
      <c r="I85" s="152"/>
      <c r="J85" s="152"/>
      <c r="K85" s="152"/>
    </row>
    <row r="86" spans="1:11" s="8" customFormat="1" ht="13.5" thickBot="1" x14ac:dyDescent="0.35">
      <c r="A86" s="1115" t="s">
        <v>5</v>
      </c>
      <c r="B86" s="1116"/>
      <c r="C86" s="669">
        <f>C87+C90</f>
        <v>50622600</v>
      </c>
      <c r="D86" s="78"/>
      <c r="E86" s="86"/>
      <c r="F86" s="92"/>
    </row>
    <row r="87" spans="1:11" s="99" customFormat="1" x14ac:dyDescent="0.3">
      <c r="A87" s="265" t="s">
        <v>126</v>
      </c>
      <c r="B87" s="298" t="s">
        <v>233</v>
      </c>
      <c r="C87" s="32">
        <f>SUM(C88:C89)</f>
        <v>49044600</v>
      </c>
      <c r="D87" s="502"/>
      <c r="E87" s="180"/>
      <c r="F87" s="95"/>
    </row>
    <row r="88" spans="1:11" s="8" customFormat="1" ht="11.5" x14ac:dyDescent="0.25">
      <c r="A88" s="72" t="s">
        <v>232</v>
      </c>
      <c r="B88" s="72" t="s">
        <v>231</v>
      </c>
      <c r="C88" s="24">
        <v>48889600</v>
      </c>
      <c r="E88" s="83"/>
      <c r="F88" s="79"/>
      <c r="G88" s="55"/>
      <c r="H88" s="43"/>
    </row>
    <row r="89" spans="1:11" s="8" customFormat="1" x14ac:dyDescent="0.3">
      <c r="A89" s="12" t="s">
        <v>63</v>
      </c>
      <c r="B89" s="43" t="s">
        <v>605</v>
      </c>
      <c r="C89" s="24">
        <v>155000</v>
      </c>
      <c r="D89" s="79"/>
      <c r="E89" s="83"/>
      <c r="F89" s="95"/>
      <c r="G89" s="55"/>
      <c r="H89" s="43"/>
    </row>
    <row r="90" spans="1:11" s="8" customFormat="1" x14ac:dyDescent="0.3">
      <c r="A90" s="265" t="s">
        <v>128</v>
      </c>
      <c r="B90" s="298" t="s">
        <v>129</v>
      </c>
      <c r="C90" s="31">
        <f>SUM(C91)</f>
        <v>1578000</v>
      </c>
      <c r="D90" s="79"/>
      <c r="E90" s="83"/>
      <c r="F90" s="95"/>
      <c r="G90" s="55"/>
      <c r="H90" s="43"/>
    </row>
    <row r="91" spans="1:11" s="8" customFormat="1" x14ac:dyDescent="0.3">
      <c r="A91" s="72" t="s">
        <v>144</v>
      </c>
      <c r="B91" s="43" t="s">
        <v>258</v>
      </c>
      <c r="C91" s="24">
        <v>1578000</v>
      </c>
      <c r="D91" s="79"/>
      <c r="E91" s="83"/>
      <c r="F91" s="95"/>
      <c r="G91" s="55"/>
      <c r="H91" s="43"/>
    </row>
    <row r="92" spans="1:11" s="66" customFormat="1" ht="13.5" thickBot="1" x14ac:dyDescent="0.35">
      <c r="A92" s="70"/>
      <c r="B92" s="70"/>
      <c r="C92" s="60"/>
      <c r="D92" s="67"/>
      <c r="E92" s="68"/>
      <c r="F92" s="68"/>
    </row>
    <row r="93" spans="1:11" s="151" customFormat="1" ht="13.5" thickBot="1" x14ac:dyDescent="0.35">
      <c r="A93" s="1094" t="s">
        <v>4</v>
      </c>
      <c r="B93" s="1095"/>
      <c r="C93" s="702">
        <f>C94+C98</f>
        <v>187920</v>
      </c>
      <c r="D93" s="68"/>
      <c r="E93" s="68"/>
      <c r="F93" s="179"/>
      <c r="G93" s="152"/>
      <c r="H93" s="152"/>
      <c r="I93" s="152"/>
      <c r="J93" s="152"/>
      <c r="K93" s="152"/>
    </row>
    <row r="94" spans="1:11" s="74" customFormat="1" ht="13.5" customHeight="1" x14ac:dyDescent="0.3">
      <c r="A94" s="265" t="s">
        <v>116</v>
      </c>
      <c r="B94" s="211" t="s">
        <v>117</v>
      </c>
      <c r="C94" s="64">
        <f>SUM(C95:C97)</f>
        <v>131920</v>
      </c>
      <c r="D94" s="57"/>
      <c r="E94" s="57"/>
      <c r="F94" s="178"/>
      <c r="G94" s="177"/>
      <c r="H94" s="177"/>
      <c r="I94" s="177"/>
      <c r="J94" s="177"/>
      <c r="K94" s="177"/>
    </row>
    <row r="95" spans="1:11" s="8" customFormat="1" ht="13.5" customHeight="1" x14ac:dyDescent="0.3">
      <c r="A95" s="72" t="s">
        <v>91</v>
      </c>
      <c r="B95" s="23" t="s">
        <v>9</v>
      </c>
      <c r="C95" s="24">
        <v>34920</v>
      </c>
      <c r="D95" s="78"/>
      <c r="E95" s="25"/>
      <c r="F95" s="95"/>
      <c r="G95" s="55"/>
      <c r="H95" s="43"/>
    </row>
    <row r="96" spans="1:11" s="8" customFormat="1" ht="13.5" customHeight="1" x14ac:dyDescent="0.3">
      <c r="A96" s="12" t="s">
        <v>57</v>
      </c>
      <c r="B96" s="24" t="s">
        <v>58</v>
      </c>
      <c r="C96" s="24">
        <v>67000</v>
      </c>
      <c r="D96" s="78"/>
      <c r="E96" s="25"/>
      <c r="F96" s="54"/>
      <c r="G96" s="73"/>
      <c r="H96" s="43"/>
    </row>
    <row r="97" spans="1:10" s="8" customFormat="1" ht="13.5" customHeight="1" x14ac:dyDescent="0.25">
      <c r="A97" s="72" t="s">
        <v>814</v>
      </c>
      <c r="B97" s="23" t="s">
        <v>815</v>
      </c>
      <c r="C97" s="24">
        <v>30000</v>
      </c>
      <c r="D97" s="78"/>
      <c r="E97" s="25"/>
      <c r="F97" s="99"/>
      <c r="G97" s="55"/>
      <c r="H97" s="43"/>
    </row>
    <row r="98" spans="1:10" s="8" customFormat="1" ht="13.5" customHeight="1" x14ac:dyDescent="0.3">
      <c r="A98" s="265" t="s">
        <v>166</v>
      </c>
      <c r="B98" s="25" t="s">
        <v>134</v>
      </c>
      <c r="C98" s="31">
        <f>SUM(C99)</f>
        <v>56000</v>
      </c>
      <c r="D98" s="78"/>
      <c r="E98" s="25"/>
      <c r="F98" s="54"/>
      <c r="G98" s="73"/>
      <c r="H98" s="43"/>
    </row>
    <row r="99" spans="1:10" s="8" customFormat="1" ht="13.5" customHeight="1" x14ac:dyDescent="0.3">
      <c r="A99" s="72" t="s">
        <v>167</v>
      </c>
      <c r="B99" s="23" t="s">
        <v>51</v>
      </c>
      <c r="C99" s="24">
        <v>56000</v>
      </c>
      <c r="D99" s="78"/>
      <c r="E99" s="25"/>
      <c r="F99" s="95"/>
      <c r="G99" s="55"/>
      <c r="H99" s="43"/>
    </row>
    <row r="100" spans="1:10" s="8" customFormat="1" ht="13.5" customHeight="1" x14ac:dyDescent="0.3">
      <c r="A100" s="72"/>
      <c r="B100" s="23"/>
      <c r="C100" s="23"/>
      <c r="D100" s="78"/>
      <c r="E100" s="25"/>
      <c r="F100" s="95"/>
      <c r="G100" s="55"/>
      <c r="H100" s="43"/>
    </row>
    <row r="101" spans="1:10" s="498" customFormat="1" ht="12.75" customHeight="1" thickBot="1" x14ac:dyDescent="0.35">
      <c r="A101" s="499"/>
      <c r="B101" s="492"/>
      <c r="C101" s="493"/>
      <c r="D101" s="494"/>
      <c r="E101" s="495"/>
      <c r="F101" s="496"/>
      <c r="G101" s="497"/>
      <c r="H101" s="497"/>
      <c r="I101" s="497"/>
      <c r="J101" s="497"/>
    </row>
    <row r="102" spans="1:10" s="13" customFormat="1" ht="13.5" customHeight="1" x14ac:dyDescent="0.25">
      <c r="A102" s="648" t="s">
        <v>666</v>
      </c>
      <c r="B102" s="650"/>
      <c r="C102" s="690"/>
      <c r="D102" s="719" t="s">
        <v>6</v>
      </c>
      <c r="E102" s="927">
        <v>1102</v>
      </c>
      <c r="F102" s="224"/>
    </row>
    <row r="103" spans="1:10" s="13" customFormat="1" ht="13.5" customHeight="1" thickBot="1" x14ac:dyDescent="0.3">
      <c r="A103" s="652"/>
      <c r="B103" s="727"/>
      <c r="C103" s="693"/>
      <c r="D103" s="720"/>
      <c r="E103" s="721"/>
      <c r="F103" s="224"/>
    </row>
    <row r="104" spans="1:10" s="13" customFormat="1" ht="13.5" customHeight="1" x14ac:dyDescent="0.25">
      <c r="A104" s="1123" t="s">
        <v>994</v>
      </c>
      <c r="B104" s="1124"/>
      <c r="C104" s="1124"/>
      <c r="D104" s="1124"/>
      <c r="E104" s="1125"/>
      <c r="F104" s="224"/>
    </row>
    <row r="105" spans="1:10" s="13" customFormat="1" ht="13.5" customHeight="1" x14ac:dyDescent="0.25">
      <c r="A105" s="1126"/>
      <c r="B105" s="1127"/>
      <c r="C105" s="1127"/>
      <c r="D105" s="1127"/>
      <c r="E105" s="1128"/>
      <c r="F105" s="224"/>
    </row>
    <row r="106" spans="1:10" s="13" customFormat="1" ht="13.5" customHeight="1" x14ac:dyDescent="0.25">
      <c r="A106" s="1126"/>
      <c r="B106" s="1127"/>
      <c r="C106" s="1127"/>
      <c r="D106" s="1127"/>
      <c r="E106" s="1128"/>
      <c r="F106" s="224"/>
    </row>
    <row r="107" spans="1:10" s="13" customFormat="1" ht="13.5" customHeight="1" x14ac:dyDescent="0.25">
      <c r="A107" s="1126"/>
      <c r="B107" s="1127"/>
      <c r="C107" s="1127"/>
      <c r="D107" s="1127"/>
      <c r="E107" s="1128"/>
      <c r="F107" s="224"/>
    </row>
    <row r="108" spans="1:10" s="13" customFormat="1" ht="13.5" customHeight="1" x14ac:dyDescent="0.25">
      <c r="A108" s="1126"/>
      <c r="B108" s="1127"/>
      <c r="C108" s="1127"/>
      <c r="D108" s="1127"/>
      <c r="E108" s="1128"/>
      <c r="F108" s="224"/>
    </row>
    <row r="109" spans="1:10" s="13" customFormat="1" ht="13.5" customHeight="1" x14ac:dyDescent="0.25">
      <c r="A109" s="1126"/>
      <c r="B109" s="1127"/>
      <c r="C109" s="1127"/>
      <c r="D109" s="1127"/>
      <c r="E109" s="1128"/>
      <c r="F109" s="224"/>
    </row>
    <row r="110" spans="1:10" s="13" customFormat="1" ht="13.5" customHeight="1" x14ac:dyDescent="0.25">
      <c r="A110" s="1126"/>
      <c r="B110" s="1127"/>
      <c r="C110" s="1127"/>
      <c r="D110" s="1127"/>
      <c r="E110" s="1128"/>
      <c r="F110" s="224"/>
    </row>
    <row r="111" spans="1:10" s="13" customFormat="1" ht="13.5" customHeight="1" x14ac:dyDescent="0.25">
      <c r="A111" s="1126"/>
      <c r="B111" s="1127"/>
      <c r="C111" s="1127"/>
      <c r="D111" s="1127"/>
      <c r="E111" s="1128"/>
      <c r="F111" s="224"/>
    </row>
    <row r="112" spans="1:10" s="13" customFormat="1" ht="13.5" customHeight="1" thickBot="1" x14ac:dyDescent="0.3">
      <c r="A112" s="1126"/>
      <c r="B112" s="1127"/>
      <c r="C112" s="1127"/>
      <c r="D112" s="1127"/>
      <c r="E112" s="1128"/>
      <c r="F112" s="224"/>
    </row>
    <row r="113" spans="1:12" s="13" customFormat="1" ht="13.5" customHeight="1" x14ac:dyDescent="0.25">
      <c r="A113" s="119" t="s">
        <v>1029</v>
      </c>
      <c r="B113" s="173"/>
      <c r="C113" s="420"/>
      <c r="D113" s="509"/>
      <c r="E113" s="171"/>
      <c r="F113" s="224"/>
    </row>
    <row r="114" spans="1:12" s="13" customFormat="1" ht="13.5" customHeight="1" x14ac:dyDescent="0.25">
      <c r="A114" s="41" t="s">
        <v>530</v>
      </c>
      <c r="B114" s="143"/>
      <c r="C114" s="24"/>
      <c r="D114" s="227"/>
      <c r="E114" s="141"/>
      <c r="F114" s="224"/>
    </row>
    <row r="115" spans="1:12" s="13" customFormat="1" ht="13.5" customHeight="1" x14ac:dyDescent="0.25">
      <c r="A115" s="41" t="s">
        <v>1040</v>
      </c>
      <c r="B115" s="143"/>
      <c r="C115" s="24"/>
      <c r="D115" s="227"/>
      <c r="E115" s="141"/>
      <c r="F115" s="224"/>
    </row>
    <row r="116" spans="1:12" s="13" customFormat="1" ht="13.5" customHeight="1" thickBot="1" x14ac:dyDescent="0.3">
      <c r="A116" s="76" t="s">
        <v>11</v>
      </c>
      <c r="B116" s="139"/>
      <c r="C116" s="377"/>
      <c r="D116" s="510"/>
      <c r="E116" s="137"/>
      <c r="F116" s="224"/>
    </row>
    <row r="117" spans="1:12" s="13" customFormat="1" ht="13.5" customHeight="1" thickBot="1" x14ac:dyDescent="0.3">
      <c r="A117" s="762" t="s">
        <v>0</v>
      </c>
      <c r="B117" s="779"/>
      <c r="C117" s="764" t="s">
        <v>200</v>
      </c>
      <c r="D117" s="780"/>
      <c r="E117" s="772">
        <f>+C119+C142+C161+C184</f>
        <v>32000823</v>
      </c>
      <c r="F117" s="235"/>
    </row>
    <row r="118" spans="1:12" s="6" customFormat="1" ht="13.5" customHeight="1" thickBot="1" x14ac:dyDescent="0.3">
      <c r="A118" s="11"/>
      <c r="B118" s="175"/>
      <c r="C118" s="31"/>
      <c r="D118" s="500"/>
      <c r="E118" s="45"/>
      <c r="F118" s="223"/>
    </row>
    <row r="119" spans="1:12" s="6" customFormat="1" ht="13.5" customHeight="1" thickBot="1" x14ac:dyDescent="0.3">
      <c r="A119" s="1146" t="s">
        <v>1</v>
      </c>
      <c r="B119" s="1147"/>
      <c r="C119" s="666">
        <f>C120+C127+C134</f>
        <v>10952133</v>
      </c>
      <c r="D119" s="233"/>
      <c r="E119" s="501"/>
      <c r="F119" s="223"/>
    </row>
    <row r="120" spans="1:12" s="183" customFormat="1" ht="12.5" x14ac:dyDescent="0.25">
      <c r="A120" s="11" t="s">
        <v>97</v>
      </c>
      <c r="B120" s="211" t="s">
        <v>98</v>
      </c>
      <c r="C120" s="64">
        <f>SUM(C121:C126)</f>
        <v>1156881</v>
      </c>
      <c r="D120" s="64"/>
      <c r="F120" s="186"/>
      <c r="G120" s="184"/>
      <c r="H120" s="184"/>
      <c r="I120" s="184"/>
      <c r="J120" s="184"/>
      <c r="K120" s="184"/>
    </row>
    <row r="121" spans="1:12" s="8" customFormat="1" ht="12.75" customHeight="1" x14ac:dyDescent="0.25">
      <c r="A121" s="12" t="s">
        <v>23</v>
      </c>
      <c r="B121" s="24" t="s">
        <v>20</v>
      </c>
      <c r="C121" s="24">
        <f>79515+83570+441750</f>
        <v>604835</v>
      </c>
      <c r="D121" s="22"/>
      <c r="J121" s="465"/>
      <c r="K121" s="465"/>
      <c r="L121" s="465"/>
    </row>
    <row r="122" spans="1:12" s="9" customFormat="1" ht="12.75" customHeight="1" x14ac:dyDescent="0.25">
      <c r="A122" s="12" t="s">
        <v>24</v>
      </c>
      <c r="B122" s="24" t="s">
        <v>22</v>
      </c>
      <c r="C122" s="24">
        <f>1679+19878+70680</f>
        <v>92237</v>
      </c>
      <c r="D122" s="22"/>
      <c r="F122" s="23"/>
    </row>
    <row r="123" spans="1:12" s="9" customFormat="1" ht="12.75" customHeight="1" x14ac:dyDescent="0.25">
      <c r="A123" s="12" t="s">
        <v>25</v>
      </c>
      <c r="B123" s="24" t="s">
        <v>76</v>
      </c>
      <c r="C123" s="24">
        <f>75000+16365</f>
        <v>91365</v>
      </c>
      <c r="D123" s="22"/>
      <c r="F123" s="23"/>
    </row>
    <row r="124" spans="1:12" s="9" customFormat="1" ht="12.75" customHeight="1" x14ac:dyDescent="0.25">
      <c r="A124" s="12" t="s">
        <v>26</v>
      </c>
      <c r="B124" s="24" t="s">
        <v>77</v>
      </c>
      <c r="C124" s="24">
        <v>1</v>
      </c>
      <c r="D124" s="22"/>
      <c r="F124" s="23"/>
    </row>
    <row r="125" spans="1:12" s="8" customFormat="1" ht="12.75" customHeight="1" x14ac:dyDescent="0.25">
      <c r="A125" s="12" t="s">
        <v>27</v>
      </c>
      <c r="B125" s="24" t="s">
        <v>21</v>
      </c>
      <c r="C125" s="24">
        <v>1</v>
      </c>
      <c r="D125" s="22"/>
      <c r="F125" s="25"/>
    </row>
    <row r="126" spans="1:12" s="9" customFormat="1" ht="12.75" customHeight="1" x14ac:dyDescent="0.25">
      <c r="A126" s="12" t="s">
        <v>28</v>
      </c>
      <c r="B126" s="24" t="s">
        <v>19</v>
      </c>
      <c r="C126" s="24">
        <v>368442</v>
      </c>
      <c r="D126" s="22"/>
      <c r="F126" s="25"/>
    </row>
    <row r="127" spans="1:12" s="9" customFormat="1" ht="12.75" customHeight="1" x14ac:dyDescent="0.25">
      <c r="A127" s="11" t="s">
        <v>99</v>
      </c>
      <c r="B127" s="31" t="s">
        <v>100</v>
      </c>
      <c r="C127" s="31">
        <f>SUM(C128:C133)</f>
        <v>5645693</v>
      </c>
      <c r="D127" s="22"/>
      <c r="F127" s="25"/>
    </row>
    <row r="128" spans="1:12" s="8" customFormat="1" ht="12.75" customHeight="1" x14ac:dyDescent="0.25">
      <c r="A128" s="12" t="s">
        <v>30</v>
      </c>
      <c r="B128" s="24" t="s">
        <v>78</v>
      </c>
      <c r="C128" s="24">
        <f>1030284+335510+1212580+559731+157424</f>
        <v>3295529</v>
      </c>
      <c r="D128" s="22"/>
      <c r="F128" s="25"/>
      <c r="G128" s="43"/>
      <c r="H128" s="43"/>
    </row>
    <row r="129" spans="1:8" s="9" customFormat="1" ht="12.75" customHeight="1" x14ac:dyDescent="0.25">
      <c r="A129" s="12" t="s">
        <v>31</v>
      </c>
      <c r="B129" s="24" t="s">
        <v>79</v>
      </c>
      <c r="C129" s="24">
        <f>629698+159236+303145+1077849</f>
        <v>2169928</v>
      </c>
      <c r="D129" s="22"/>
      <c r="F129" s="25"/>
    </row>
    <row r="130" spans="1:8" s="9" customFormat="1" ht="12.75" customHeight="1" x14ac:dyDescent="0.25">
      <c r="A130" s="12" t="s">
        <v>32</v>
      </c>
      <c r="B130" s="24" t="s">
        <v>80</v>
      </c>
      <c r="C130" s="24">
        <v>180233</v>
      </c>
      <c r="D130" s="22"/>
      <c r="F130" s="25"/>
    </row>
    <row r="131" spans="1:8" s="9" customFormat="1" ht="12.75" customHeight="1" x14ac:dyDescent="0.25">
      <c r="A131" s="12" t="s">
        <v>33</v>
      </c>
      <c r="B131" s="24" t="s">
        <v>81</v>
      </c>
      <c r="C131" s="24">
        <v>1</v>
      </c>
      <c r="D131" s="22"/>
      <c r="F131" s="25"/>
    </row>
    <row r="132" spans="1:8" s="8" customFormat="1" ht="12.75" customHeight="1" x14ac:dyDescent="0.25">
      <c r="A132" s="12" t="s">
        <v>34</v>
      </c>
      <c r="B132" s="24" t="s">
        <v>29</v>
      </c>
      <c r="C132" s="24">
        <v>1</v>
      </c>
      <c r="D132" s="502"/>
      <c r="F132" s="25"/>
    </row>
    <row r="133" spans="1:8" s="9" customFormat="1" ht="12.75" customHeight="1" x14ac:dyDescent="0.25">
      <c r="A133" s="12" t="s">
        <v>83</v>
      </c>
      <c r="B133" s="24" t="s">
        <v>82</v>
      </c>
      <c r="C133" s="24">
        <v>1</v>
      </c>
      <c r="D133" s="22"/>
      <c r="F133" s="25"/>
    </row>
    <row r="134" spans="1:8" s="9" customFormat="1" ht="12.75" customHeight="1" x14ac:dyDescent="0.25">
      <c r="A134" s="11" t="s">
        <v>101</v>
      </c>
      <c r="B134" s="31" t="s">
        <v>102</v>
      </c>
      <c r="C134" s="31">
        <f>SUM(C135:C140)</f>
        <v>4149559</v>
      </c>
      <c r="D134" s="22"/>
      <c r="F134" s="25"/>
    </row>
    <row r="135" spans="1:8" s="8" customFormat="1" ht="12.75" customHeight="1" x14ac:dyDescent="0.25">
      <c r="A135" s="12" t="s">
        <v>39</v>
      </c>
      <c r="B135" s="24" t="s">
        <v>35</v>
      </c>
      <c r="C135" s="24">
        <f>2860269+85772+333424+45355+161265</f>
        <v>3486085</v>
      </c>
      <c r="D135" s="22"/>
    </row>
    <row r="136" spans="1:8" s="9" customFormat="1" ht="12.75" customHeight="1" x14ac:dyDescent="0.25">
      <c r="A136" s="12" t="s">
        <v>40</v>
      </c>
      <c r="B136" s="24" t="s">
        <v>37</v>
      </c>
      <c r="C136" s="24">
        <f>181424+46563+83356+296378</f>
        <v>607721</v>
      </c>
      <c r="D136" s="22"/>
      <c r="F136" s="23"/>
    </row>
    <row r="137" spans="1:8" s="9" customFormat="1" ht="12.75" customHeight="1" x14ac:dyDescent="0.3">
      <c r="A137" s="12" t="s">
        <v>41</v>
      </c>
      <c r="B137" s="24" t="s">
        <v>84</v>
      </c>
      <c r="C137" s="24">
        <v>55750</v>
      </c>
      <c r="D137" s="22"/>
      <c r="E137" s="25"/>
      <c r="F137" s="92"/>
    </row>
    <row r="138" spans="1:8" s="9" customFormat="1" ht="12.75" customHeight="1" x14ac:dyDescent="0.3">
      <c r="A138" s="12" t="s">
        <v>42</v>
      </c>
      <c r="B138" s="24" t="s">
        <v>85</v>
      </c>
      <c r="C138" s="24">
        <v>1</v>
      </c>
      <c r="D138" s="22"/>
      <c r="E138" s="25"/>
      <c r="F138" s="92"/>
    </row>
    <row r="139" spans="1:8" s="8" customFormat="1" ht="12.75" customHeight="1" x14ac:dyDescent="0.3">
      <c r="A139" s="12" t="s">
        <v>43</v>
      </c>
      <c r="B139" s="24" t="s">
        <v>36</v>
      </c>
      <c r="C139" s="24">
        <v>1</v>
      </c>
      <c r="D139" s="22"/>
      <c r="E139" s="25"/>
      <c r="F139" s="92"/>
    </row>
    <row r="140" spans="1:8" s="9" customFormat="1" ht="12.75" customHeight="1" x14ac:dyDescent="0.3">
      <c r="A140" s="12" t="s">
        <v>44</v>
      </c>
      <c r="B140" s="24" t="s">
        <v>38</v>
      </c>
      <c r="C140" s="24">
        <v>1</v>
      </c>
      <c r="D140" s="22"/>
      <c r="E140" s="25"/>
      <c r="F140" s="93"/>
    </row>
    <row r="141" spans="1:8" s="9" customFormat="1" ht="12.75" customHeight="1" thickBot="1" x14ac:dyDescent="0.3">
      <c r="A141" s="12"/>
      <c r="B141" s="24"/>
      <c r="C141" s="24"/>
      <c r="D141" s="398"/>
      <c r="E141" s="399"/>
      <c r="F141" s="503"/>
      <c r="G141" s="504"/>
      <c r="H141" s="73"/>
    </row>
    <row r="142" spans="1:8" s="8" customFormat="1" ht="13.5" customHeight="1" thickBot="1" x14ac:dyDescent="0.35">
      <c r="A142" s="1104" t="s">
        <v>2</v>
      </c>
      <c r="B142" s="1105"/>
      <c r="C142" s="723">
        <f>C143+C145+C147+C149+C154+C156</f>
        <v>454370</v>
      </c>
      <c r="D142" s="68"/>
      <c r="E142" s="9"/>
      <c r="F142" s="204"/>
    </row>
    <row r="143" spans="1:8" s="99" customFormat="1" ht="13.5" customHeight="1" x14ac:dyDescent="0.3">
      <c r="A143" s="11" t="s">
        <v>103</v>
      </c>
      <c r="B143" s="211" t="s">
        <v>104</v>
      </c>
      <c r="C143" s="32">
        <f>SUM(C144)</f>
        <v>105150</v>
      </c>
      <c r="D143" s="95"/>
      <c r="E143" s="155"/>
    </row>
    <row r="144" spans="1:8" s="99" customFormat="1" ht="13.5" customHeight="1" x14ac:dyDescent="0.3">
      <c r="A144" s="12" t="s">
        <v>46</v>
      </c>
      <c r="B144" s="43" t="s">
        <v>161</v>
      </c>
      <c r="C144" s="22">
        <v>105150</v>
      </c>
      <c r="E144" s="155"/>
      <c r="F144" s="95"/>
    </row>
    <row r="145" spans="1:8" s="99" customFormat="1" ht="13.5" customHeight="1" x14ac:dyDescent="0.3">
      <c r="A145" s="11" t="s">
        <v>105</v>
      </c>
      <c r="B145" s="556" t="s">
        <v>106</v>
      </c>
      <c r="C145" s="32">
        <f>SUM(C146:C146)</f>
        <v>49300</v>
      </c>
      <c r="E145" s="155"/>
      <c r="F145" s="95"/>
    </row>
    <row r="146" spans="1:8" s="66" customFormat="1" x14ac:dyDescent="0.3">
      <c r="A146" s="12" t="s">
        <v>86</v>
      </c>
      <c r="B146" s="8" t="s">
        <v>66</v>
      </c>
      <c r="C146" s="60">
        <v>49300</v>
      </c>
      <c r="E146" s="484"/>
      <c r="F146" s="484"/>
      <c r="G146" s="56"/>
      <c r="H146" s="56"/>
    </row>
    <row r="147" spans="1:8" s="66" customFormat="1" x14ac:dyDescent="0.3">
      <c r="A147" s="11" t="s">
        <v>107</v>
      </c>
      <c r="B147" s="556" t="s">
        <v>108</v>
      </c>
      <c r="C147" s="64">
        <f>SUM(C148)</f>
        <v>122540</v>
      </c>
      <c r="E147" s="484"/>
      <c r="F147" s="484"/>
      <c r="G147" s="56"/>
      <c r="H147" s="56"/>
    </row>
    <row r="148" spans="1:8" s="66" customFormat="1" x14ac:dyDescent="0.3">
      <c r="A148" s="12" t="s">
        <v>47</v>
      </c>
      <c r="B148" s="23" t="s">
        <v>48</v>
      </c>
      <c r="C148" s="24">
        <v>122540</v>
      </c>
      <c r="E148" s="484"/>
      <c r="F148" s="490"/>
      <c r="G148" s="505"/>
      <c r="H148" s="56"/>
    </row>
    <row r="149" spans="1:8" s="66" customFormat="1" x14ac:dyDescent="0.3">
      <c r="A149" s="265" t="s">
        <v>119</v>
      </c>
      <c r="B149" s="25" t="s">
        <v>109</v>
      </c>
      <c r="C149" s="31">
        <f>SUM(C150:C153)</f>
        <v>71140</v>
      </c>
      <c r="E149" s="484"/>
      <c r="F149" s="484"/>
      <c r="G149" s="505"/>
      <c r="H149" s="56"/>
    </row>
    <row r="150" spans="1:8" s="66" customFormat="1" x14ac:dyDescent="0.3">
      <c r="A150" s="72" t="s">
        <v>150</v>
      </c>
      <c r="B150" s="24" t="s">
        <v>69</v>
      </c>
      <c r="C150" s="60">
        <v>8140</v>
      </c>
      <c r="E150" s="484"/>
      <c r="F150" s="484"/>
      <c r="G150" s="505"/>
      <c r="H150" s="56"/>
    </row>
    <row r="151" spans="1:8" s="66" customFormat="1" x14ac:dyDescent="0.3">
      <c r="A151" s="72" t="s">
        <v>816</v>
      </c>
      <c r="B151" s="24" t="s">
        <v>810</v>
      </c>
      <c r="C151" s="24">
        <v>23000</v>
      </c>
      <c r="D151" s="78"/>
      <c r="E151" s="25"/>
    </row>
    <row r="152" spans="1:8" s="66" customFormat="1" x14ac:dyDescent="0.3">
      <c r="A152" s="72" t="s">
        <v>820</v>
      </c>
      <c r="B152" s="24" t="s">
        <v>821</v>
      </c>
      <c r="C152" s="24">
        <v>25000</v>
      </c>
      <c r="D152" s="78"/>
      <c r="E152" s="25"/>
    </row>
    <row r="153" spans="1:8" s="66" customFormat="1" x14ac:dyDescent="0.3">
      <c r="A153" s="72" t="s">
        <v>811</v>
      </c>
      <c r="B153" s="24" t="s">
        <v>812</v>
      </c>
      <c r="C153" s="24">
        <v>15000</v>
      </c>
      <c r="D153" s="78"/>
      <c r="E153" s="25"/>
    </row>
    <row r="154" spans="1:8" s="66" customFormat="1" x14ac:dyDescent="0.3">
      <c r="A154" s="11" t="s">
        <v>124</v>
      </c>
      <c r="B154" s="25" t="s">
        <v>531</v>
      </c>
      <c r="C154" s="64">
        <f>SUM(C155)</f>
        <v>8150</v>
      </c>
      <c r="D154" s="484"/>
      <c r="E154" s="484"/>
      <c r="F154" s="484"/>
      <c r="G154" s="505"/>
      <c r="H154" s="56"/>
    </row>
    <row r="155" spans="1:8" s="66" customFormat="1" x14ac:dyDescent="0.3">
      <c r="A155" s="72" t="s">
        <v>532</v>
      </c>
      <c r="B155" s="24" t="s">
        <v>72</v>
      </c>
      <c r="C155" s="60">
        <v>8150</v>
      </c>
      <c r="D155" s="484"/>
      <c r="E155" s="484"/>
      <c r="F155" s="484"/>
      <c r="G155" s="505"/>
      <c r="H155" s="56"/>
    </row>
    <row r="156" spans="1:8" s="66" customFormat="1" x14ac:dyDescent="0.3">
      <c r="A156" s="265" t="s">
        <v>151</v>
      </c>
      <c r="B156" s="25" t="s">
        <v>133</v>
      </c>
      <c r="C156" s="64">
        <f>SUM(C157:C159)</f>
        <v>98090</v>
      </c>
      <c r="D156" s="484"/>
      <c r="E156" s="484"/>
      <c r="F156" s="484"/>
      <c r="G156" s="505"/>
      <c r="H156" s="56"/>
    </row>
    <row r="157" spans="1:8" s="5" customFormat="1" x14ac:dyDescent="0.25">
      <c r="A157" s="72" t="s">
        <v>152</v>
      </c>
      <c r="B157" s="24" t="s">
        <v>65</v>
      </c>
      <c r="C157" s="24">
        <v>25180</v>
      </c>
      <c r="D157" s="353"/>
      <c r="E157" s="353"/>
      <c r="F157" s="353"/>
      <c r="G157" s="394"/>
      <c r="H157" s="147"/>
    </row>
    <row r="158" spans="1:8" s="66" customFormat="1" x14ac:dyDescent="0.3">
      <c r="A158" s="72" t="s">
        <v>155</v>
      </c>
      <c r="B158" s="23" t="s">
        <v>125</v>
      </c>
      <c r="C158" s="60">
        <v>28510</v>
      </c>
      <c r="D158" s="484"/>
      <c r="E158" s="484"/>
      <c r="F158" s="484"/>
      <c r="G158" s="505"/>
      <c r="H158" s="56"/>
    </row>
    <row r="159" spans="1:8" s="8" customFormat="1" ht="13.5" customHeight="1" x14ac:dyDescent="0.25">
      <c r="A159" s="12" t="s">
        <v>699</v>
      </c>
      <c r="B159" s="43" t="s">
        <v>698</v>
      </c>
      <c r="C159" s="24">
        <v>44400</v>
      </c>
      <c r="F159" s="101"/>
      <c r="G159" s="9"/>
    </row>
    <row r="160" spans="1:8" s="66" customFormat="1" ht="13.5" thickBot="1" x14ac:dyDescent="0.35">
      <c r="A160" s="72"/>
      <c r="B160" s="23"/>
      <c r="C160" s="67"/>
      <c r="D160" s="484"/>
      <c r="E160" s="484"/>
      <c r="F160" s="484"/>
      <c r="G160" s="505"/>
      <c r="H160" s="56"/>
    </row>
    <row r="161" spans="1:12" s="8" customFormat="1" ht="13.5" customHeight="1" thickBot="1" x14ac:dyDescent="0.35">
      <c r="A161" s="1096" t="s">
        <v>3</v>
      </c>
      <c r="B161" s="1097"/>
      <c r="C161" s="724">
        <f>C162+C164+C167+C170+C173+C178</f>
        <v>20481840</v>
      </c>
      <c r="D161" s="68"/>
      <c r="E161" s="9"/>
      <c r="F161" s="204"/>
    </row>
    <row r="162" spans="1:12" s="99" customFormat="1" ht="13.5" customHeight="1" x14ac:dyDescent="0.3">
      <c r="A162" s="560" t="s">
        <v>110</v>
      </c>
      <c r="B162" s="298" t="s">
        <v>111</v>
      </c>
      <c r="C162" s="32">
        <f>SUM(C163)</f>
        <v>53680</v>
      </c>
      <c r="D162" s="95"/>
      <c r="E162" s="155"/>
    </row>
    <row r="163" spans="1:12" s="8" customFormat="1" ht="13.5" customHeight="1" x14ac:dyDescent="0.25">
      <c r="A163" s="72" t="s">
        <v>52</v>
      </c>
      <c r="B163" s="24" t="s">
        <v>15</v>
      </c>
      <c r="C163" s="24">
        <v>53680</v>
      </c>
      <c r="E163" s="353"/>
      <c r="F163" s="357"/>
      <c r="G163" s="504"/>
      <c r="H163" s="55"/>
    </row>
    <row r="164" spans="1:12" s="8" customFormat="1" ht="13.5" customHeight="1" x14ac:dyDescent="0.25">
      <c r="A164" s="560" t="s">
        <v>112</v>
      </c>
      <c r="B164" s="63" t="s">
        <v>157</v>
      </c>
      <c r="C164" s="31">
        <f>SUM(C165:C166)</f>
        <v>904180</v>
      </c>
      <c r="E164" s="353"/>
      <c r="F164" s="353"/>
      <c r="G164" s="504"/>
      <c r="H164" s="55"/>
    </row>
    <row r="165" spans="1:12" s="8" customFormat="1" ht="13.5" customHeight="1" x14ac:dyDescent="0.25">
      <c r="A165" s="70" t="s">
        <v>138</v>
      </c>
      <c r="B165" s="59" t="s">
        <v>878</v>
      </c>
      <c r="C165" s="24">
        <v>9600</v>
      </c>
      <c r="E165" s="353"/>
      <c r="F165" s="353"/>
      <c r="G165" s="504"/>
      <c r="H165" s="55"/>
    </row>
    <row r="166" spans="1:12" s="8" customFormat="1" ht="13.5" customHeight="1" x14ac:dyDescent="0.25">
      <c r="A166" s="70" t="s">
        <v>156</v>
      </c>
      <c r="B166" s="59" t="s">
        <v>533</v>
      </c>
      <c r="C166" s="24">
        <v>894580</v>
      </c>
      <c r="E166" s="353"/>
      <c r="F166" s="357"/>
      <c r="G166" s="504"/>
      <c r="H166" s="55"/>
    </row>
    <row r="167" spans="1:12" s="8" customFormat="1" ht="13.5" customHeight="1" x14ac:dyDescent="0.25">
      <c r="A167" s="63" t="s">
        <v>113</v>
      </c>
      <c r="B167" s="560" t="s">
        <v>114</v>
      </c>
      <c r="C167" s="31">
        <f>SUM(C168:C169)</f>
        <v>440760</v>
      </c>
      <c r="E167" s="353"/>
      <c r="F167" s="353"/>
      <c r="G167" s="504"/>
      <c r="H167" s="55"/>
    </row>
    <row r="168" spans="1:12" s="8" customFormat="1" ht="13.5" customHeight="1" x14ac:dyDescent="0.25">
      <c r="A168" s="59" t="s">
        <v>88</v>
      </c>
      <c r="B168" s="59" t="s">
        <v>64</v>
      </c>
      <c r="C168" s="24">
        <v>278000</v>
      </c>
      <c r="E168" s="352"/>
      <c r="F168" s="506"/>
      <c r="G168" s="504"/>
      <c r="H168" s="43"/>
    </row>
    <row r="169" spans="1:12" s="8" customFormat="1" ht="13.5" customHeight="1" x14ac:dyDescent="0.3">
      <c r="A169" s="12" t="s">
        <v>365</v>
      </c>
      <c r="B169" s="12" t="s">
        <v>542</v>
      </c>
      <c r="C169" s="24">
        <v>162760</v>
      </c>
      <c r="E169" s="73"/>
      <c r="F169" s="57"/>
      <c r="G169" s="43"/>
      <c r="H169" s="43"/>
      <c r="I169" s="43"/>
      <c r="J169" s="43"/>
      <c r="K169" s="43"/>
    </row>
    <row r="170" spans="1:12" s="8" customFormat="1" ht="13.5" customHeight="1" x14ac:dyDescent="0.25">
      <c r="A170" s="560" t="s">
        <v>132</v>
      </c>
      <c r="B170" s="560" t="s">
        <v>56</v>
      </c>
      <c r="C170" s="31">
        <f>SUM(C171:C172)</f>
        <v>200320</v>
      </c>
      <c r="E170" s="352"/>
      <c r="F170" s="506"/>
      <c r="G170" s="504"/>
      <c r="H170" s="43"/>
    </row>
    <row r="171" spans="1:12" s="8" customFormat="1" ht="13.5" customHeight="1" x14ac:dyDescent="0.25">
      <c r="A171" s="59" t="s">
        <v>55</v>
      </c>
      <c r="B171" s="59" t="s">
        <v>56</v>
      </c>
      <c r="C171" s="24">
        <v>119600</v>
      </c>
      <c r="E171" s="352"/>
      <c r="F171" s="506"/>
      <c r="G171" s="504"/>
      <c r="H171" s="43"/>
    </row>
    <row r="172" spans="1:12" s="8" customFormat="1" ht="13.5" customHeight="1" x14ac:dyDescent="0.25">
      <c r="A172" s="59" t="s">
        <v>534</v>
      </c>
      <c r="B172" s="59" t="s">
        <v>535</v>
      </c>
      <c r="C172" s="24">
        <v>80720</v>
      </c>
      <c r="E172" s="352"/>
      <c r="F172" s="506"/>
      <c r="G172" s="504"/>
      <c r="H172" s="43"/>
    </row>
    <row r="173" spans="1:12" s="43" customFormat="1" ht="13.5" customHeight="1" x14ac:dyDescent="0.25">
      <c r="A173" s="11" t="s">
        <v>367</v>
      </c>
      <c r="B173" s="31" t="s">
        <v>368</v>
      </c>
      <c r="C173" s="31">
        <f>SUM(C174:C177)</f>
        <v>18177000</v>
      </c>
      <c r="E173" s="353"/>
      <c r="F173" s="503"/>
      <c r="G173" s="504"/>
    </row>
    <row r="174" spans="1:12" s="43" customFormat="1" ht="13.5" customHeight="1" x14ac:dyDescent="0.25">
      <c r="A174" s="12" t="s">
        <v>536</v>
      </c>
      <c r="B174" s="43" t="s">
        <v>537</v>
      </c>
      <c r="C174" s="24">
        <v>14250000</v>
      </c>
      <c r="F174" s="126"/>
      <c r="J174" s="298"/>
      <c r="K174" s="211"/>
      <c r="L174" s="559"/>
    </row>
    <row r="175" spans="1:12" s="43" customFormat="1" ht="13.5" customHeight="1" x14ac:dyDescent="0.25">
      <c r="A175" s="12" t="s">
        <v>538</v>
      </c>
      <c r="B175" s="43" t="s">
        <v>539</v>
      </c>
      <c r="C175" s="24">
        <v>2750000</v>
      </c>
      <c r="E175" s="73"/>
    </row>
    <row r="176" spans="1:12" s="43" customFormat="1" ht="13.5" customHeight="1" x14ac:dyDescent="0.25">
      <c r="A176" s="12" t="s">
        <v>540</v>
      </c>
      <c r="B176" s="43" t="s">
        <v>541</v>
      </c>
      <c r="C176" s="24">
        <v>287000</v>
      </c>
      <c r="E176" s="73"/>
      <c r="F176" s="101"/>
    </row>
    <row r="177" spans="1:11" s="43" customFormat="1" ht="13.5" customHeight="1" x14ac:dyDescent="0.25">
      <c r="A177" s="12" t="s">
        <v>602</v>
      </c>
      <c r="B177" s="43" t="s">
        <v>601</v>
      </c>
      <c r="C177" s="24">
        <v>890000</v>
      </c>
      <c r="E177" s="73"/>
      <c r="F177" s="101"/>
    </row>
    <row r="178" spans="1:11" s="8" customFormat="1" ht="13.5" customHeight="1" x14ac:dyDescent="0.25">
      <c r="A178" s="560" t="s">
        <v>115</v>
      </c>
      <c r="B178" s="31" t="s">
        <v>8</v>
      </c>
      <c r="C178" s="31">
        <f>SUM(C179:C182)</f>
        <v>705900</v>
      </c>
      <c r="E178" s="9"/>
      <c r="F178" s="231"/>
    </row>
    <row r="179" spans="1:11" s="8" customFormat="1" ht="13.5" customHeight="1" x14ac:dyDescent="0.25">
      <c r="A179" s="72" t="s">
        <v>92</v>
      </c>
      <c r="B179" s="24" t="s">
        <v>8</v>
      </c>
      <c r="C179" s="60">
        <v>409900</v>
      </c>
      <c r="E179" s="353"/>
      <c r="F179" s="507"/>
      <c r="G179" s="507"/>
    </row>
    <row r="180" spans="1:11" s="8" customFormat="1" ht="13.5" customHeight="1" x14ac:dyDescent="0.3">
      <c r="A180" s="72" t="s">
        <v>94</v>
      </c>
      <c r="B180" s="24" t="s">
        <v>50</v>
      </c>
      <c r="C180" s="60">
        <v>57000</v>
      </c>
      <c r="D180" s="353"/>
      <c r="E180" s="353"/>
      <c r="F180" s="491"/>
      <c r="G180" s="507"/>
    </row>
    <row r="181" spans="1:11" s="8" customFormat="1" ht="13.5" customHeight="1" x14ac:dyDescent="0.25">
      <c r="A181" s="12" t="s">
        <v>222</v>
      </c>
      <c r="B181" s="43" t="s">
        <v>221</v>
      </c>
      <c r="C181" s="24">
        <v>135500</v>
      </c>
      <c r="D181" s="232"/>
      <c r="E181" s="9"/>
      <c r="F181" s="204"/>
    </row>
    <row r="182" spans="1:11" s="8" customFormat="1" ht="13.5" customHeight="1" x14ac:dyDescent="0.3">
      <c r="A182" s="72" t="s">
        <v>90</v>
      </c>
      <c r="B182" s="24" t="s">
        <v>7</v>
      </c>
      <c r="C182" s="24">
        <v>103500</v>
      </c>
      <c r="D182" s="357"/>
      <c r="F182" s="484"/>
      <c r="G182" s="504"/>
      <c r="H182" s="43"/>
      <c r="J182" s="83"/>
    </row>
    <row r="183" spans="1:11" s="8" customFormat="1" ht="13.5" customHeight="1" thickBot="1" x14ac:dyDescent="0.35">
      <c r="A183" s="72"/>
      <c r="B183" s="24"/>
      <c r="C183" s="24"/>
      <c r="D183" s="353"/>
      <c r="F183" s="484"/>
      <c r="G183" s="504"/>
      <c r="H183" s="43"/>
      <c r="J183" s="83"/>
    </row>
    <row r="184" spans="1:11" s="8" customFormat="1" ht="13.5" customHeight="1" thickBot="1" x14ac:dyDescent="0.35">
      <c r="A184" s="1100" t="s">
        <v>4</v>
      </c>
      <c r="B184" s="1101"/>
      <c r="C184" s="725">
        <f>C185+C187</f>
        <v>112480</v>
      </c>
      <c r="D184" s="68"/>
      <c r="E184" s="9"/>
      <c r="F184" s="204"/>
    </row>
    <row r="185" spans="1:11" s="99" customFormat="1" ht="13.5" customHeight="1" x14ac:dyDescent="0.3">
      <c r="A185" s="265" t="s">
        <v>116</v>
      </c>
      <c r="B185" s="211" t="s">
        <v>117</v>
      </c>
      <c r="C185" s="32">
        <f>SUM(C186)</f>
        <v>74880</v>
      </c>
      <c r="D185" s="95"/>
      <c r="E185" s="155"/>
    </row>
    <row r="186" spans="1:11" s="66" customFormat="1" x14ac:dyDescent="0.3">
      <c r="A186" s="70" t="s">
        <v>91</v>
      </c>
      <c r="B186" s="70" t="s">
        <v>139</v>
      </c>
      <c r="C186" s="60">
        <v>74880</v>
      </c>
      <c r="D186" s="491"/>
      <c r="E186" s="491"/>
      <c r="F186" s="491"/>
      <c r="G186" s="508"/>
    </row>
    <row r="187" spans="1:11" s="66" customFormat="1" x14ac:dyDescent="0.3">
      <c r="A187" s="265" t="s">
        <v>166</v>
      </c>
      <c r="B187" s="25" t="s">
        <v>134</v>
      </c>
      <c r="C187" s="64">
        <f>SUM(C188)</f>
        <v>37600</v>
      </c>
      <c r="D187" s="491"/>
      <c r="E187" s="491"/>
      <c r="F187" s="491"/>
      <c r="G187" s="508"/>
    </row>
    <row r="188" spans="1:11" s="66" customFormat="1" x14ac:dyDescent="0.3">
      <c r="A188" s="12" t="s">
        <v>167</v>
      </c>
      <c r="B188" s="24" t="s">
        <v>51</v>
      </c>
      <c r="C188" s="60">
        <v>37600</v>
      </c>
      <c r="D188" s="491"/>
      <c r="E188" s="491"/>
      <c r="F188" s="491"/>
      <c r="G188" s="508"/>
    </row>
    <row r="189" spans="1:11" s="6" customFormat="1" ht="13.5" customHeight="1" x14ac:dyDescent="0.25">
      <c r="A189" s="72"/>
      <c r="B189" s="182"/>
      <c r="C189" s="25"/>
      <c r="D189" s="248"/>
      <c r="E189" s="157"/>
      <c r="F189" s="223"/>
    </row>
    <row r="190" spans="1:11" customFormat="1" thickBot="1" x14ac:dyDescent="0.3">
      <c r="A190" s="72"/>
      <c r="B190" s="72"/>
      <c r="C190" s="176"/>
      <c r="D190" s="135"/>
      <c r="E190" s="10"/>
      <c r="F190" s="157"/>
      <c r="G190" s="156"/>
      <c r="H190" s="156"/>
      <c r="I190" s="156"/>
      <c r="J190" s="156"/>
      <c r="K190" s="156"/>
    </row>
    <row r="191" spans="1:11" s="187" customFormat="1" ht="13.5" customHeight="1" x14ac:dyDescent="0.25">
      <c r="A191" s="1117" t="s">
        <v>606</v>
      </c>
      <c r="B191" s="1118"/>
      <c r="C191" s="1119"/>
      <c r="D191" s="719" t="s">
        <v>6</v>
      </c>
      <c r="E191" s="927">
        <v>1103</v>
      </c>
      <c r="F191" s="583"/>
    </row>
    <row r="192" spans="1:11" s="187" customFormat="1" ht="13.5" thickBot="1" x14ac:dyDescent="0.3">
      <c r="A192" s="1120"/>
      <c r="B192" s="1121"/>
      <c r="C192" s="1122"/>
      <c r="D192" s="729"/>
      <c r="E192" s="730"/>
      <c r="F192" s="197"/>
    </row>
    <row r="193" spans="1:11" customFormat="1" ht="13.5" customHeight="1" x14ac:dyDescent="0.25">
      <c r="A193" s="1123" t="s">
        <v>995</v>
      </c>
      <c r="B193" s="1124"/>
      <c r="C193" s="1124"/>
      <c r="D193" s="1124"/>
      <c r="E193" s="1125"/>
      <c r="F193" s="157"/>
      <c r="G193" s="156"/>
      <c r="H193" s="156"/>
      <c r="I193" s="156"/>
      <c r="J193" s="156"/>
      <c r="K193" s="156"/>
    </row>
    <row r="194" spans="1:11" customFormat="1" ht="13.5" customHeight="1" x14ac:dyDescent="0.25">
      <c r="A194" s="1126"/>
      <c r="B194" s="1127"/>
      <c r="C194" s="1127"/>
      <c r="D194" s="1127"/>
      <c r="E194" s="1128"/>
      <c r="F194" s="157"/>
      <c r="G194" s="156"/>
      <c r="H194" s="156"/>
      <c r="I194" s="156"/>
      <c r="J194" s="156"/>
      <c r="K194" s="156"/>
    </row>
    <row r="195" spans="1:11" customFormat="1" ht="13.5" customHeight="1" x14ac:dyDescent="0.25">
      <c r="A195" s="1126"/>
      <c r="B195" s="1127"/>
      <c r="C195" s="1127"/>
      <c r="D195" s="1127"/>
      <c r="E195" s="1128"/>
      <c r="F195" s="157"/>
      <c r="G195" s="156"/>
      <c r="H195" s="156"/>
      <c r="I195" s="156"/>
      <c r="J195" s="156"/>
      <c r="K195" s="156"/>
    </row>
    <row r="196" spans="1:11" customFormat="1" ht="13.5" customHeight="1" thickBot="1" x14ac:dyDescent="0.3">
      <c r="A196" s="1126"/>
      <c r="B196" s="1127"/>
      <c r="C196" s="1127"/>
      <c r="D196" s="1127"/>
      <c r="E196" s="1128"/>
      <c r="F196" s="9"/>
      <c r="G196" s="156"/>
      <c r="H196" s="156"/>
      <c r="I196" s="156"/>
      <c r="J196" s="156"/>
      <c r="K196" s="156"/>
    </row>
    <row r="197" spans="1:11" customFormat="1" ht="13.5" customHeight="1" x14ac:dyDescent="0.25">
      <c r="A197" s="119" t="s">
        <v>1029</v>
      </c>
      <c r="B197" s="174"/>
      <c r="C197" s="173"/>
      <c r="D197" s="172"/>
      <c r="E197" s="171"/>
      <c r="F197" s="157"/>
      <c r="G197" s="156"/>
      <c r="H197" s="156"/>
      <c r="I197" s="156"/>
      <c r="J197" s="156"/>
      <c r="K197" s="156"/>
    </row>
    <row r="198" spans="1:11" customFormat="1" ht="13.5" customHeight="1" x14ac:dyDescent="0.25">
      <c r="A198" s="58" t="s">
        <v>668</v>
      </c>
      <c r="B198" s="12"/>
      <c r="C198" s="143"/>
      <c r="D198" s="142"/>
      <c r="E198" s="141"/>
      <c r="F198" s="157"/>
      <c r="G198" s="156"/>
      <c r="H198" s="156"/>
      <c r="I198" s="156"/>
      <c r="J198" s="156"/>
      <c r="K198" s="156"/>
    </row>
    <row r="199" spans="1:11" customFormat="1" ht="13.5" customHeight="1" x14ac:dyDescent="0.25">
      <c r="A199" s="58" t="s">
        <v>1040</v>
      </c>
      <c r="B199" s="12"/>
      <c r="C199" s="143"/>
      <c r="D199" s="142"/>
      <c r="E199" s="141"/>
      <c r="F199" s="157"/>
      <c r="G199" s="156"/>
      <c r="H199" s="156"/>
      <c r="I199" s="156"/>
      <c r="J199" s="156"/>
      <c r="K199" s="156"/>
    </row>
    <row r="200" spans="1:11" customFormat="1" thickBot="1" x14ac:dyDescent="0.3">
      <c r="A200" s="76" t="s">
        <v>11</v>
      </c>
      <c r="B200" s="140"/>
      <c r="C200" s="139"/>
      <c r="D200" s="138"/>
      <c r="E200" s="137"/>
      <c r="F200" s="157"/>
      <c r="G200" s="156"/>
      <c r="H200" s="156"/>
      <c r="I200" s="156"/>
      <c r="J200" s="156"/>
      <c r="K200" s="156"/>
    </row>
    <row r="201" spans="1:11" customFormat="1" thickBot="1" x14ac:dyDescent="0.3">
      <c r="A201" s="762" t="s">
        <v>0</v>
      </c>
      <c r="B201" s="763"/>
      <c r="C201" s="764" t="s">
        <v>200</v>
      </c>
      <c r="D201" s="766" t="s">
        <v>200</v>
      </c>
      <c r="E201" s="772">
        <f>(C203+C218+C232)</f>
        <v>1361270</v>
      </c>
      <c r="F201" s="157"/>
      <c r="G201" s="156"/>
      <c r="H201" s="156"/>
      <c r="I201" s="156"/>
      <c r="J201" s="156"/>
      <c r="K201" s="156"/>
    </row>
    <row r="202" spans="1:11" customFormat="1" thickBot="1" x14ac:dyDescent="0.3">
      <c r="A202" s="72"/>
      <c r="B202" s="72"/>
      <c r="C202" s="28"/>
      <c r="D202" s="28"/>
      <c r="E202" s="568"/>
      <c r="F202" s="568"/>
      <c r="G202" s="156"/>
      <c r="H202" s="156"/>
      <c r="I202" s="156"/>
      <c r="J202" s="156"/>
      <c r="K202" s="156"/>
    </row>
    <row r="203" spans="1:11" s="151" customFormat="1" thickBot="1" x14ac:dyDescent="0.3">
      <c r="A203" s="1104" t="s">
        <v>2</v>
      </c>
      <c r="B203" s="1105"/>
      <c r="C203" s="667">
        <f>C204+C206+C208+C210+C213</f>
        <v>403580</v>
      </c>
      <c r="D203" s="23"/>
      <c r="E203" s="108"/>
      <c r="F203" s="9"/>
      <c r="G203" s="152"/>
      <c r="H203" s="152"/>
      <c r="I203" s="152"/>
      <c r="J203" s="152"/>
      <c r="K203" s="152"/>
    </row>
    <row r="204" spans="1:11" s="153" customFormat="1" ht="13.5" customHeight="1" x14ac:dyDescent="0.25">
      <c r="A204" s="11" t="s">
        <v>103</v>
      </c>
      <c r="B204" s="298" t="s">
        <v>104</v>
      </c>
      <c r="C204" s="32">
        <f>SUM(C205)</f>
        <v>58440</v>
      </c>
      <c r="D204" s="96"/>
      <c r="F204" s="131"/>
      <c r="G204" s="155"/>
      <c r="H204" s="154"/>
      <c r="I204" s="154"/>
      <c r="J204" s="154"/>
      <c r="K204" s="154"/>
    </row>
    <row r="205" spans="1:11" s="151" customFormat="1" ht="13.5" customHeight="1" x14ac:dyDescent="0.25">
      <c r="A205" s="12" t="s">
        <v>46</v>
      </c>
      <c r="B205" s="43" t="s">
        <v>161</v>
      </c>
      <c r="C205" s="24">
        <v>58440</v>
      </c>
      <c r="D205" s="23"/>
      <c r="F205" s="23"/>
      <c r="G205" s="9"/>
      <c r="H205" s="152"/>
      <c r="I205" s="152"/>
      <c r="J205" s="152"/>
      <c r="K205" s="152"/>
    </row>
    <row r="206" spans="1:11" s="151" customFormat="1" ht="13.5" customHeight="1" x14ac:dyDescent="0.25">
      <c r="A206" s="11" t="s">
        <v>105</v>
      </c>
      <c r="B206" s="556" t="s">
        <v>106</v>
      </c>
      <c r="C206" s="31">
        <f>SUM(C207)</f>
        <v>31280</v>
      </c>
      <c r="D206" s="23"/>
      <c r="F206" s="23"/>
      <c r="G206" s="9"/>
      <c r="H206" s="152"/>
      <c r="I206" s="152"/>
      <c r="J206" s="152"/>
      <c r="K206" s="152"/>
    </row>
    <row r="207" spans="1:11" s="151" customFormat="1" ht="13.5" customHeight="1" x14ac:dyDescent="0.25">
      <c r="A207" s="12" t="s">
        <v>86</v>
      </c>
      <c r="B207" s="43" t="s">
        <v>66</v>
      </c>
      <c r="C207" s="24">
        <v>31280</v>
      </c>
      <c r="D207" s="23"/>
      <c r="F207" s="23"/>
      <c r="G207" s="9"/>
      <c r="H207" s="152"/>
      <c r="I207" s="152"/>
      <c r="J207" s="152"/>
      <c r="K207" s="152"/>
    </row>
    <row r="208" spans="1:11" s="151" customFormat="1" ht="13.5" customHeight="1" x14ac:dyDescent="0.25">
      <c r="A208" s="11" t="s">
        <v>107</v>
      </c>
      <c r="B208" s="556" t="s">
        <v>108</v>
      </c>
      <c r="C208" s="31">
        <f>SUM(C209)</f>
        <v>19000</v>
      </c>
      <c r="D208" s="23"/>
      <c r="F208" s="31"/>
      <c r="G208" s="73"/>
      <c r="H208" s="152"/>
      <c r="I208" s="152"/>
      <c r="J208" s="152"/>
      <c r="K208" s="152"/>
    </row>
    <row r="209" spans="1:11" s="151" customFormat="1" ht="13.5" customHeight="1" x14ac:dyDescent="0.25">
      <c r="A209" s="12" t="s">
        <v>47</v>
      </c>
      <c r="B209" s="43" t="s">
        <v>48</v>
      </c>
      <c r="C209" s="24">
        <v>19000</v>
      </c>
      <c r="D209" s="25"/>
      <c r="F209" s="31"/>
      <c r="G209" s="73"/>
      <c r="H209" s="152"/>
      <c r="I209" s="152"/>
      <c r="J209" s="152"/>
      <c r="K209" s="152"/>
    </row>
    <row r="210" spans="1:11" s="151" customFormat="1" ht="13.5" customHeight="1" x14ac:dyDescent="0.25">
      <c r="A210" s="265" t="s">
        <v>124</v>
      </c>
      <c r="B210" s="559" t="s">
        <v>123</v>
      </c>
      <c r="C210" s="31">
        <f>SUM(C211:C212)</f>
        <v>89400</v>
      </c>
      <c r="D210" s="25"/>
      <c r="E210" s="23"/>
      <c r="F210" s="9"/>
      <c r="G210" s="152"/>
      <c r="H210" s="152"/>
      <c r="I210" s="152"/>
      <c r="J210" s="152"/>
      <c r="K210" s="152"/>
    </row>
    <row r="211" spans="1:11" s="151" customFormat="1" ht="13.5" customHeight="1" x14ac:dyDescent="0.25">
      <c r="A211" s="72" t="s">
        <v>230</v>
      </c>
      <c r="B211" s="43" t="s">
        <v>229</v>
      </c>
      <c r="C211" s="24">
        <v>57000</v>
      </c>
      <c r="D211" s="25"/>
      <c r="E211" s="23"/>
      <c r="F211" s="9"/>
      <c r="G211" s="152"/>
      <c r="H211" s="152"/>
      <c r="I211" s="152"/>
      <c r="J211" s="152"/>
      <c r="K211" s="152"/>
    </row>
    <row r="212" spans="1:11" s="151" customFormat="1" ht="13.5" customHeight="1" x14ac:dyDescent="0.25">
      <c r="A212" s="72" t="s">
        <v>93</v>
      </c>
      <c r="B212" s="43" t="s">
        <v>72</v>
      </c>
      <c r="C212" s="24">
        <v>32400</v>
      </c>
      <c r="D212" s="25"/>
      <c r="E212" s="23"/>
      <c r="F212" s="9"/>
      <c r="G212" s="152"/>
      <c r="H212" s="152"/>
      <c r="I212" s="152"/>
      <c r="J212" s="152"/>
      <c r="K212" s="152"/>
    </row>
    <row r="213" spans="1:11" s="151" customFormat="1" ht="13.5" customHeight="1" x14ac:dyDescent="0.25">
      <c r="A213" s="265" t="s">
        <v>151</v>
      </c>
      <c r="B213" s="25" t="s">
        <v>133</v>
      </c>
      <c r="C213" s="31">
        <f>SUM(C214:C216)</f>
        <v>205460</v>
      </c>
      <c r="D213" s="25"/>
      <c r="E213" s="23"/>
      <c r="F213" s="9"/>
      <c r="G213" s="152"/>
      <c r="H213" s="152"/>
      <c r="I213" s="152"/>
      <c r="J213" s="152"/>
      <c r="K213" s="152"/>
    </row>
    <row r="214" spans="1:11" s="151" customFormat="1" ht="13.5" customHeight="1" x14ac:dyDescent="0.25">
      <c r="A214" s="12" t="s">
        <v>153</v>
      </c>
      <c r="B214" s="43" t="s">
        <v>70</v>
      </c>
      <c r="C214" s="24">
        <v>86600</v>
      </c>
      <c r="D214" s="25"/>
      <c r="E214" s="23"/>
      <c r="F214" s="9"/>
      <c r="G214" s="152"/>
      <c r="H214" s="152"/>
      <c r="I214" s="152"/>
      <c r="J214" s="152"/>
      <c r="K214" s="152"/>
    </row>
    <row r="215" spans="1:11" s="151" customFormat="1" ht="13.5" customHeight="1" x14ac:dyDescent="0.25">
      <c r="A215" s="12" t="s">
        <v>154</v>
      </c>
      <c r="B215" s="43" t="s">
        <v>125</v>
      </c>
      <c r="C215" s="24">
        <v>21060</v>
      </c>
      <c r="D215" s="25"/>
      <c r="E215" s="25"/>
      <c r="F215" s="9"/>
      <c r="G215" s="152"/>
      <c r="H215" s="152"/>
      <c r="I215" s="152"/>
      <c r="J215" s="152"/>
      <c r="K215" s="152"/>
    </row>
    <row r="216" spans="1:11" s="8" customFormat="1" ht="13.5" customHeight="1" x14ac:dyDescent="0.25">
      <c r="A216" s="12" t="s">
        <v>699</v>
      </c>
      <c r="B216" s="43" t="s">
        <v>698</v>
      </c>
      <c r="C216" s="24">
        <v>97800</v>
      </c>
      <c r="F216" s="101"/>
      <c r="G216" s="9"/>
    </row>
    <row r="217" spans="1:11" s="151" customFormat="1" thickBot="1" x14ac:dyDescent="0.3">
      <c r="A217" s="72"/>
      <c r="B217" s="43"/>
      <c r="C217" s="23"/>
      <c r="D217" s="23"/>
      <c r="E217" s="25"/>
      <c r="F217" s="9"/>
      <c r="G217" s="152"/>
      <c r="H217" s="152"/>
      <c r="I217" s="152"/>
      <c r="J217" s="152"/>
      <c r="K217" s="152"/>
    </row>
    <row r="218" spans="1:11" s="151" customFormat="1" thickBot="1" x14ac:dyDescent="0.3">
      <c r="A218" s="1096" t="s">
        <v>3</v>
      </c>
      <c r="B218" s="1097"/>
      <c r="C218" s="668">
        <f>C219+C221+C223+C225</f>
        <v>929690</v>
      </c>
      <c r="D218" s="23"/>
      <c r="E218" s="23"/>
      <c r="F218" s="9"/>
      <c r="G218" s="152"/>
      <c r="H218" s="152"/>
      <c r="I218" s="152"/>
      <c r="J218" s="152"/>
      <c r="K218" s="152"/>
    </row>
    <row r="219" spans="1:11" s="8" customFormat="1" ht="13.5" customHeight="1" x14ac:dyDescent="0.3">
      <c r="A219" s="560" t="s">
        <v>110</v>
      </c>
      <c r="B219" s="298" t="s">
        <v>111</v>
      </c>
      <c r="C219" s="31">
        <f>C220</f>
        <v>61390</v>
      </c>
      <c r="F219" s="113"/>
      <c r="G219" s="86"/>
      <c r="H219" s="92"/>
    </row>
    <row r="220" spans="1:11" s="8" customFormat="1" ht="13.5" customHeight="1" x14ac:dyDescent="0.25">
      <c r="A220" s="72" t="s">
        <v>52</v>
      </c>
      <c r="B220" s="24" t="s">
        <v>15</v>
      </c>
      <c r="C220" s="24">
        <v>61390</v>
      </c>
      <c r="E220" s="353"/>
      <c r="F220" s="357"/>
      <c r="G220" s="504"/>
      <c r="H220" s="55"/>
    </row>
    <row r="221" spans="1:11" s="153" customFormat="1" ht="13.5" customHeight="1" x14ac:dyDescent="0.25">
      <c r="A221" s="560" t="s">
        <v>112</v>
      </c>
      <c r="B221" s="63" t="s">
        <v>157</v>
      </c>
      <c r="C221" s="32">
        <f>SUM(C222)</f>
        <v>207500</v>
      </c>
      <c r="D221" s="96"/>
      <c r="E221" s="96"/>
      <c r="F221" s="155"/>
      <c r="G221" s="154"/>
      <c r="H221" s="154"/>
      <c r="I221" s="154"/>
      <c r="J221" s="154"/>
      <c r="K221" s="154"/>
    </row>
    <row r="222" spans="1:11" s="151" customFormat="1" ht="13.5" customHeight="1" x14ac:dyDescent="0.25">
      <c r="A222" s="70" t="s">
        <v>156</v>
      </c>
      <c r="B222" s="70" t="s">
        <v>87</v>
      </c>
      <c r="C222" s="24">
        <v>207500</v>
      </c>
      <c r="E222" s="23"/>
      <c r="F222" s="9"/>
      <c r="G222" s="152"/>
      <c r="H222" s="152"/>
      <c r="I222" s="152"/>
      <c r="J222" s="152"/>
      <c r="K222" s="152"/>
    </row>
    <row r="223" spans="1:11" s="151" customFormat="1" ht="13.5" customHeight="1" x14ac:dyDescent="0.25">
      <c r="A223" s="63" t="s">
        <v>132</v>
      </c>
      <c r="B223" s="559" t="s">
        <v>56</v>
      </c>
      <c r="C223" s="31">
        <f>SUM(C224)</f>
        <v>66000</v>
      </c>
      <c r="D223" s="23"/>
      <c r="E223" s="23"/>
      <c r="F223" s="9"/>
      <c r="G223" s="152"/>
      <c r="H223" s="152"/>
      <c r="I223" s="152"/>
      <c r="J223" s="152"/>
      <c r="K223" s="152"/>
    </row>
    <row r="224" spans="1:11" s="151" customFormat="1" ht="13.5" customHeight="1" x14ac:dyDescent="0.25">
      <c r="A224" s="59" t="s">
        <v>95</v>
      </c>
      <c r="B224" s="43" t="s">
        <v>96</v>
      </c>
      <c r="C224" s="24">
        <v>66000</v>
      </c>
      <c r="D224" s="23"/>
      <c r="E224" s="23"/>
      <c r="F224" s="9"/>
      <c r="G224" s="152"/>
      <c r="H224" s="152"/>
      <c r="I224" s="152"/>
      <c r="J224" s="152"/>
      <c r="K224" s="152"/>
    </row>
    <row r="225" spans="1:11" s="153" customFormat="1" ht="13.5" customHeight="1" x14ac:dyDescent="0.25">
      <c r="A225" s="11" t="s">
        <v>115</v>
      </c>
      <c r="B225" s="265" t="s">
        <v>8</v>
      </c>
      <c r="C225" s="32">
        <f>SUM(C226:C230)</f>
        <v>594800</v>
      </c>
      <c r="D225" s="96"/>
      <c r="E225" s="96"/>
      <c r="F225" s="155"/>
      <c r="G225" s="154"/>
      <c r="H225" s="154"/>
      <c r="I225" s="154"/>
      <c r="J225" s="154"/>
      <c r="K225" s="154"/>
    </row>
    <row r="226" spans="1:11" s="151" customFormat="1" ht="13.5" customHeight="1" x14ac:dyDescent="0.25">
      <c r="A226" s="12" t="s">
        <v>89</v>
      </c>
      <c r="B226" s="72" t="s">
        <v>8</v>
      </c>
      <c r="C226" s="24">
        <v>367000</v>
      </c>
      <c r="E226" s="23"/>
      <c r="F226" s="23"/>
      <c r="G226" s="152"/>
      <c r="H226" s="152"/>
      <c r="I226" s="152"/>
      <c r="J226" s="152"/>
      <c r="K226" s="152"/>
    </row>
    <row r="227" spans="1:11" s="151" customFormat="1" ht="13.5" customHeight="1" x14ac:dyDescent="0.25">
      <c r="A227" s="12" t="s">
        <v>181</v>
      </c>
      <c r="B227" s="72" t="s">
        <v>50</v>
      </c>
      <c r="C227" s="24">
        <v>10500</v>
      </c>
      <c r="D227" s="23"/>
      <c r="E227" s="23"/>
      <c r="F227" s="9"/>
      <c r="G227" s="152"/>
      <c r="H227" s="152"/>
      <c r="I227" s="152"/>
      <c r="J227" s="152"/>
      <c r="K227" s="152"/>
    </row>
    <row r="228" spans="1:11" s="151" customFormat="1" ht="13.5" customHeight="1" x14ac:dyDescent="0.25">
      <c r="A228" s="12" t="s">
        <v>224</v>
      </c>
      <c r="B228" s="43" t="s">
        <v>223</v>
      </c>
      <c r="C228" s="24">
        <v>35600</v>
      </c>
      <c r="D228" s="23"/>
      <c r="E228" s="23"/>
      <c r="F228" s="9"/>
      <c r="G228" s="152"/>
      <c r="H228" s="152"/>
      <c r="I228" s="152"/>
      <c r="J228" s="152"/>
      <c r="K228" s="152"/>
    </row>
    <row r="229" spans="1:11" s="151" customFormat="1" ht="13.5" customHeight="1" x14ac:dyDescent="0.25">
      <c r="A229" s="12" t="s">
        <v>222</v>
      </c>
      <c r="B229" s="70" t="s">
        <v>221</v>
      </c>
      <c r="C229" s="24">
        <v>95800</v>
      </c>
      <c r="D229" s="23"/>
      <c r="E229" s="23"/>
      <c r="F229" s="9"/>
      <c r="G229" s="152"/>
      <c r="H229" s="152"/>
      <c r="I229" s="152"/>
      <c r="J229" s="152"/>
      <c r="K229" s="152"/>
    </row>
    <row r="230" spans="1:11" s="8" customFormat="1" ht="13.5" customHeight="1" x14ac:dyDescent="0.3">
      <c r="A230" s="72" t="s">
        <v>90</v>
      </c>
      <c r="B230" s="24" t="s">
        <v>7</v>
      </c>
      <c r="C230" s="24">
        <v>85900</v>
      </c>
      <c r="D230" s="357"/>
      <c r="F230" s="484"/>
      <c r="G230" s="504"/>
      <c r="H230" s="43"/>
      <c r="J230" s="83"/>
    </row>
    <row r="231" spans="1:11" s="151" customFormat="1" thickBot="1" x14ac:dyDescent="0.3">
      <c r="A231" s="72"/>
      <c r="B231" s="72"/>
      <c r="C231" s="23"/>
      <c r="D231" s="23"/>
      <c r="E231" s="23"/>
      <c r="F231" s="9"/>
      <c r="G231" s="152"/>
      <c r="H231" s="152"/>
      <c r="I231" s="152"/>
      <c r="J231" s="152"/>
      <c r="K231" s="152"/>
    </row>
    <row r="232" spans="1:11" s="151" customFormat="1" thickBot="1" x14ac:dyDescent="0.3">
      <c r="A232" s="1100" t="s">
        <v>4</v>
      </c>
      <c r="B232" s="1101"/>
      <c r="C232" s="670">
        <f>C233+C235</f>
        <v>28000</v>
      </c>
      <c r="D232" s="23"/>
      <c r="E232" s="23"/>
      <c r="F232" s="9"/>
      <c r="G232" s="152"/>
      <c r="H232" s="152"/>
      <c r="I232" s="152"/>
      <c r="J232" s="152"/>
      <c r="K232" s="152"/>
    </row>
    <row r="233" spans="1:11" s="153" customFormat="1" ht="13.5" customHeight="1" x14ac:dyDescent="0.25">
      <c r="A233" s="265" t="s">
        <v>116</v>
      </c>
      <c r="B233" s="298" t="s">
        <v>117</v>
      </c>
      <c r="C233" s="32">
        <f>SUM(C234:C234)</f>
        <v>19300</v>
      </c>
      <c r="D233" s="96"/>
      <c r="E233" s="96"/>
      <c r="F233" s="155"/>
      <c r="G233" s="154"/>
      <c r="H233" s="154"/>
      <c r="I233" s="154"/>
      <c r="J233" s="154"/>
      <c r="K233" s="154"/>
    </row>
    <row r="234" spans="1:11" s="151" customFormat="1" ht="13.5" customHeight="1" x14ac:dyDescent="0.25">
      <c r="A234" s="72" t="s">
        <v>91</v>
      </c>
      <c r="B234" s="43" t="s">
        <v>139</v>
      </c>
      <c r="C234" s="24">
        <v>19300</v>
      </c>
      <c r="D234" s="23"/>
      <c r="E234" s="23"/>
      <c r="F234" s="9"/>
      <c r="G234" s="152"/>
      <c r="H234" s="152"/>
      <c r="I234" s="152"/>
      <c r="J234" s="152"/>
      <c r="K234" s="152"/>
    </row>
    <row r="235" spans="1:11" s="151" customFormat="1" ht="13.5" customHeight="1" x14ac:dyDescent="0.25">
      <c r="A235" s="265" t="s">
        <v>166</v>
      </c>
      <c r="B235" s="25" t="s">
        <v>135</v>
      </c>
      <c r="C235" s="31">
        <f>SUM(C236)</f>
        <v>8700</v>
      </c>
      <c r="D235" s="23"/>
      <c r="E235" s="23"/>
      <c r="F235" s="9"/>
      <c r="G235" s="152"/>
      <c r="H235" s="152"/>
      <c r="I235" s="152"/>
      <c r="J235" s="152"/>
      <c r="K235" s="152"/>
    </row>
    <row r="236" spans="1:11" s="151" customFormat="1" ht="13.5" customHeight="1" x14ac:dyDescent="0.25">
      <c r="A236" s="72" t="s">
        <v>167</v>
      </c>
      <c r="B236" s="43" t="s">
        <v>51</v>
      </c>
      <c r="C236" s="24">
        <v>8700</v>
      </c>
      <c r="D236" s="23"/>
      <c r="E236" s="23"/>
      <c r="F236" s="9"/>
      <c r="G236" s="152"/>
      <c r="H236" s="152"/>
      <c r="I236" s="152"/>
      <c r="J236" s="152"/>
      <c r="K236" s="152"/>
    </row>
    <row r="237" spans="1:11" s="151" customFormat="1" ht="13.5" customHeight="1" x14ac:dyDescent="0.25">
      <c r="A237" s="72"/>
      <c r="B237" s="43"/>
      <c r="C237" s="23"/>
      <c r="D237" s="23"/>
      <c r="E237" s="23"/>
      <c r="F237" s="9"/>
      <c r="G237" s="152"/>
      <c r="H237" s="152"/>
      <c r="I237" s="152"/>
      <c r="J237" s="152"/>
      <c r="K237" s="152"/>
    </row>
    <row r="238" spans="1:11" s="52" customFormat="1" ht="13.5" thickBot="1" x14ac:dyDescent="0.35">
      <c r="C238" s="62"/>
      <c r="D238" s="62"/>
      <c r="E238" s="62"/>
      <c r="F238" s="223"/>
    </row>
    <row r="239" spans="1:11" s="69" customFormat="1" x14ac:dyDescent="0.3">
      <c r="A239" s="1117" t="s">
        <v>1008</v>
      </c>
      <c r="B239" s="1118"/>
      <c r="C239" s="1119"/>
      <c r="D239" s="704" t="s">
        <v>6</v>
      </c>
      <c r="E239" s="910" t="s">
        <v>663</v>
      </c>
      <c r="F239" s="580"/>
    </row>
    <row r="240" spans="1:11" s="69" customFormat="1" ht="13.5" thickBot="1" x14ac:dyDescent="0.35">
      <c r="A240" s="1120"/>
      <c r="B240" s="1121"/>
      <c r="C240" s="1122"/>
      <c r="D240" s="705"/>
      <c r="E240" s="706"/>
      <c r="F240" s="224"/>
    </row>
    <row r="241" spans="1:7" s="69" customFormat="1" x14ac:dyDescent="0.3">
      <c r="A241" s="1123" t="s">
        <v>1007</v>
      </c>
      <c r="B241" s="1124"/>
      <c r="C241" s="1124"/>
      <c r="D241" s="1124"/>
      <c r="E241" s="1125"/>
      <c r="F241" s="224"/>
    </row>
    <row r="242" spans="1:7" s="69" customFormat="1" x14ac:dyDescent="0.3">
      <c r="A242" s="1126"/>
      <c r="B242" s="1127"/>
      <c r="C242" s="1127"/>
      <c r="D242" s="1127"/>
      <c r="E242" s="1128"/>
      <c r="F242" s="224"/>
    </row>
    <row r="243" spans="1:7" s="69" customFormat="1" x14ac:dyDescent="0.3">
      <c r="A243" s="1126"/>
      <c r="B243" s="1127"/>
      <c r="C243" s="1127"/>
      <c r="D243" s="1127"/>
      <c r="E243" s="1128"/>
      <c r="F243" s="224"/>
    </row>
    <row r="244" spans="1:7" s="69" customFormat="1" x14ac:dyDescent="0.3">
      <c r="A244" s="1126"/>
      <c r="B244" s="1127"/>
      <c r="C244" s="1127"/>
      <c r="D244" s="1127"/>
      <c r="E244" s="1128"/>
      <c r="F244" s="224"/>
    </row>
    <row r="245" spans="1:7" s="69" customFormat="1" x14ac:dyDescent="0.3">
      <c r="A245" s="1126"/>
      <c r="B245" s="1127"/>
      <c r="C245" s="1127"/>
      <c r="D245" s="1127"/>
      <c r="E245" s="1128"/>
      <c r="F245" s="224"/>
    </row>
    <row r="246" spans="1:7" s="56" customFormat="1" x14ac:dyDescent="0.3">
      <c r="A246" s="1126"/>
      <c r="B246" s="1127"/>
      <c r="C246" s="1127"/>
      <c r="D246" s="1127"/>
      <c r="E246" s="1128"/>
      <c r="F246" s="99"/>
    </row>
    <row r="247" spans="1:7" s="112" customFormat="1" ht="14.15" customHeight="1" thickBot="1" x14ac:dyDescent="0.35">
      <c r="A247" s="1129"/>
      <c r="B247" s="1130"/>
      <c r="C247" s="1130"/>
      <c r="D247" s="1130"/>
      <c r="E247" s="1131"/>
    </row>
    <row r="248" spans="1:7" s="234" customFormat="1" ht="11.5" x14ac:dyDescent="0.25">
      <c r="A248" s="58" t="s">
        <v>1029</v>
      </c>
      <c r="B248" s="59"/>
      <c r="C248" s="60"/>
      <c r="D248" s="60"/>
      <c r="E248" s="61"/>
      <c r="F248" s="224"/>
    </row>
    <row r="249" spans="1:7" s="234" customFormat="1" ht="11.5" x14ac:dyDescent="0.25">
      <c r="A249" s="41" t="s">
        <v>643</v>
      </c>
      <c r="B249" s="59"/>
      <c r="C249" s="60"/>
      <c r="D249" s="60"/>
      <c r="E249" s="61"/>
      <c r="F249" s="224"/>
    </row>
    <row r="250" spans="1:7" s="234" customFormat="1" ht="11.5" x14ac:dyDescent="0.25">
      <c r="A250" s="41" t="s">
        <v>1040</v>
      </c>
      <c r="B250" s="59"/>
      <c r="C250" s="60"/>
      <c r="D250" s="60"/>
      <c r="E250" s="61"/>
      <c r="F250" s="224"/>
    </row>
    <row r="251" spans="1:7" s="234" customFormat="1" ht="12" thickBot="1" x14ac:dyDescent="0.3">
      <c r="A251" s="58" t="s">
        <v>13</v>
      </c>
      <c r="B251" s="59"/>
      <c r="C251" s="60"/>
      <c r="D251" s="60"/>
      <c r="E251" s="61"/>
      <c r="F251" s="224"/>
    </row>
    <row r="252" spans="1:7" s="234" customFormat="1" ht="12" thickBot="1" x14ac:dyDescent="0.3">
      <c r="A252" s="743" t="s">
        <v>14</v>
      </c>
      <c r="B252" s="744"/>
      <c r="C252" s="750"/>
      <c r="D252" s="751"/>
      <c r="E252" s="747">
        <f>+C254+C285+C305+C313+D335</f>
        <v>43024170</v>
      </c>
      <c r="F252" s="235"/>
      <c r="G252" s="235"/>
    </row>
    <row r="253" spans="1:7" s="234" customFormat="1" ht="12" thickBot="1" x14ac:dyDescent="0.3">
      <c r="A253" s="63"/>
      <c r="B253" s="63"/>
      <c r="C253" s="64"/>
      <c r="D253" s="64"/>
      <c r="E253" s="236"/>
      <c r="F253" s="224"/>
    </row>
    <row r="254" spans="1:7" s="66" customFormat="1" ht="13.5" thickBot="1" x14ac:dyDescent="0.35">
      <c r="A254" s="1102" t="s">
        <v>2</v>
      </c>
      <c r="B254" s="1103"/>
      <c r="C254" s="699">
        <f>C255+C257+C260+C263+C265+C268+C276+C279</f>
        <v>3476290</v>
      </c>
      <c r="D254" s="92"/>
      <c r="E254" s="109"/>
      <c r="F254" s="204"/>
    </row>
    <row r="255" spans="1:7" s="239" customFormat="1" x14ac:dyDescent="0.3">
      <c r="A255" s="11" t="s">
        <v>103</v>
      </c>
      <c r="B255" s="298" t="s">
        <v>104</v>
      </c>
      <c r="C255" s="563">
        <f>SUM(C256)</f>
        <v>617500</v>
      </c>
      <c r="D255" s="95"/>
      <c r="E255" s="238"/>
      <c r="F255" s="99"/>
    </row>
    <row r="256" spans="1:7" s="66" customFormat="1" x14ac:dyDescent="0.3">
      <c r="A256" s="12" t="s">
        <v>46</v>
      </c>
      <c r="B256" s="43" t="s">
        <v>161</v>
      </c>
      <c r="C256" s="60">
        <v>617500</v>
      </c>
      <c r="D256" s="70"/>
      <c r="E256" s="68"/>
      <c r="F256" s="204"/>
    </row>
    <row r="257" spans="1:255" s="214" customFormat="1" ht="13.5" customHeight="1" x14ac:dyDescent="0.2">
      <c r="A257" s="265" t="s">
        <v>199</v>
      </c>
      <c r="B257" s="298" t="s">
        <v>228</v>
      </c>
      <c r="C257" s="31">
        <f>SUM(C258:C259)</f>
        <v>90030</v>
      </c>
      <c r="D257" s="24"/>
      <c r="E257" s="24"/>
      <c r="F257" s="215"/>
      <c r="G257" s="177"/>
      <c r="H257" s="177"/>
      <c r="I257" s="177"/>
      <c r="J257" s="177"/>
      <c r="K257" s="177"/>
    </row>
    <row r="258" spans="1:255" s="203" customFormat="1" ht="11.5" x14ac:dyDescent="0.25">
      <c r="A258" s="72" t="s">
        <v>197</v>
      </c>
      <c r="B258" s="43" t="s">
        <v>196</v>
      </c>
      <c r="C258" s="24">
        <v>39150</v>
      </c>
      <c r="D258" s="23"/>
      <c r="E258" s="72"/>
      <c r="F258" s="219"/>
      <c r="G258" s="152"/>
      <c r="H258" s="152"/>
      <c r="I258" s="152"/>
      <c r="J258" s="152"/>
      <c r="K258" s="152"/>
    </row>
    <row r="259" spans="1:255" s="217" customFormat="1" ht="13.5" customHeight="1" x14ac:dyDescent="0.25">
      <c r="A259" s="12" t="s">
        <v>227</v>
      </c>
      <c r="B259" s="8" t="s">
        <v>226</v>
      </c>
      <c r="C259" s="24">
        <v>50880</v>
      </c>
      <c r="D259" s="28"/>
      <c r="E259" s="28"/>
      <c r="F259" s="158"/>
      <c r="G259" s="156"/>
      <c r="H259" s="156"/>
      <c r="I259" s="156"/>
      <c r="J259" s="156"/>
      <c r="K259" s="156"/>
    </row>
    <row r="260" spans="1:255" s="66" customFormat="1" x14ac:dyDescent="0.3">
      <c r="A260" s="11" t="s">
        <v>105</v>
      </c>
      <c r="B260" s="556" t="s">
        <v>106</v>
      </c>
      <c r="C260" s="64">
        <f>SUM(C261:C262)</f>
        <v>488040</v>
      </c>
      <c r="D260" s="240"/>
      <c r="F260" s="204"/>
    </row>
    <row r="261" spans="1:255" s="66" customFormat="1" x14ac:dyDescent="0.3">
      <c r="A261" s="12" t="s">
        <v>67</v>
      </c>
      <c r="B261" s="8" t="s">
        <v>68</v>
      </c>
      <c r="C261" s="24">
        <v>16420</v>
      </c>
      <c r="D261" s="96"/>
      <c r="E261" s="31"/>
      <c r="F261" s="43"/>
      <c r="G261" s="55"/>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43"/>
      <c r="BM261" s="43"/>
      <c r="BN261" s="43"/>
      <c r="BO261" s="43"/>
      <c r="BP261" s="43"/>
      <c r="BQ261" s="43"/>
      <c r="BR261" s="43"/>
      <c r="BS261" s="43"/>
      <c r="BT261" s="43"/>
      <c r="BU261" s="43"/>
      <c r="BV261" s="43"/>
      <c r="BW261" s="43"/>
      <c r="BX261" s="43"/>
      <c r="BY261" s="43"/>
      <c r="BZ261" s="43"/>
      <c r="CA261" s="43"/>
      <c r="CB261" s="43"/>
      <c r="CC261" s="43"/>
      <c r="CD261" s="43"/>
      <c r="CE261" s="43"/>
      <c r="CF261" s="43"/>
      <c r="CG261" s="43"/>
      <c r="CH261" s="43"/>
      <c r="CI261" s="43"/>
      <c r="CJ261" s="43"/>
      <c r="CK261" s="43"/>
      <c r="CL261" s="43"/>
      <c r="CM261" s="43"/>
      <c r="CN261" s="43"/>
      <c r="CO261" s="43"/>
      <c r="CP261" s="43"/>
      <c r="CQ261" s="43"/>
      <c r="CR261" s="43"/>
      <c r="CS261" s="43"/>
      <c r="CT261" s="43"/>
      <c r="CU261" s="43"/>
      <c r="CV261" s="43"/>
      <c r="CW261" s="43"/>
      <c r="CX261" s="43"/>
      <c r="CY261" s="43"/>
      <c r="CZ261" s="43"/>
      <c r="DA261" s="43"/>
      <c r="DB261" s="43"/>
      <c r="DC261" s="43"/>
      <c r="DD261" s="43"/>
      <c r="DE261" s="43"/>
      <c r="DF261" s="43"/>
      <c r="DG261" s="43"/>
      <c r="DH261" s="43"/>
      <c r="DI261" s="43"/>
      <c r="DJ261" s="43"/>
      <c r="DK261" s="43"/>
      <c r="DL261" s="43"/>
      <c r="DM261" s="43"/>
      <c r="DN261" s="43"/>
      <c r="DO261" s="43"/>
      <c r="DP261" s="43"/>
      <c r="DQ261" s="43"/>
      <c r="DR261" s="43"/>
      <c r="DS261" s="43"/>
      <c r="DT261" s="43"/>
      <c r="DU261" s="43"/>
      <c r="DV261" s="43"/>
      <c r="DW261" s="43"/>
      <c r="DX261" s="43"/>
      <c r="DY261" s="43"/>
      <c r="DZ261" s="43"/>
      <c r="EA261" s="43"/>
      <c r="EB261" s="43"/>
      <c r="EC261" s="43"/>
      <c r="ED261" s="43"/>
      <c r="EE261" s="43"/>
      <c r="EF261" s="43"/>
      <c r="EG261" s="43"/>
      <c r="EH261" s="43"/>
      <c r="EI261" s="43"/>
      <c r="EJ261" s="43"/>
      <c r="EK261" s="43"/>
      <c r="EL261" s="43"/>
      <c r="EM261" s="43"/>
      <c r="EN261" s="43"/>
      <c r="EO261" s="43"/>
      <c r="EP261" s="43"/>
      <c r="EQ261" s="43"/>
      <c r="ER261" s="43"/>
      <c r="ES261" s="43"/>
      <c r="ET261" s="43"/>
      <c r="EU261" s="43"/>
      <c r="EV261" s="43"/>
      <c r="EW261" s="43"/>
      <c r="EX261" s="43"/>
      <c r="EY261" s="43"/>
      <c r="EZ261" s="43"/>
      <c r="FA261" s="43"/>
      <c r="FB261" s="43"/>
      <c r="FC261" s="43"/>
      <c r="FD261" s="43"/>
      <c r="FE261" s="43"/>
      <c r="FF261" s="43"/>
      <c r="FG261" s="43"/>
      <c r="FH261" s="43"/>
      <c r="FI261" s="43"/>
      <c r="FJ261" s="43"/>
      <c r="FK261" s="43"/>
      <c r="FL261" s="43"/>
      <c r="FM261" s="43"/>
      <c r="FN261" s="43"/>
      <c r="FO261" s="43"/>
      <c r="FP261" s="43"/>
      <c r="FQ261" s="43"/>
      <c r="FR261" s="43"/>
      <c r="FS261" s="43"/>
      <c r="FT261" s="43"/>
      <c r="FU261" s="43"/>
      <c r="FV261" s="43"/>
      <c r="FW261" s="43"/>
      <c r="FX261" s="43"/>
      <c r="FY261" s="43"/>
      <c r="FZ261" s="43"/>
      <c r="GA261" s="43"/>
      <c r="GB261" s="43"/>
      <c r="GC261" s="43"/>
      <c r="GD261" s="43"/>
      <c r="GE261" s="43"/>
      <c r="GF261" s="43"/>
      <c r="GG261" s="43"/>
      <c r="GH261" s="43"/>
      <c r="GI261" s="43"/>
      <c r="GJ261" s="43"/>
      <c r="GK261" s="43"/>
      <c r="GL261" s="43"/>
      <c r="GM261" s="43"/>
      <c r="GN261" s="43"/>
      <c r="GO261" s="43"/>
      <c r="GP261" s="43"/>
      <c r="GQ261" s="43"/>
      <c r="GR261" s="43"/>
      <c r="GS261" s="43"/>
      <c r="GT261" s="43"/>
      <c r="GU261" s="43"/>
      <c r="GV261" s="43"/>
      <c r="GW261" s="43"/>
      <c r="GX261" s="43"/>
      <c r="GY261" s="43"/>
      <c r="GZ261" s="43"/>
      <c r="HA261" s="43"/>
      <c r="HB261" s="43"/>
      <c r="HC261" s="43"/>
      <c r="HD261" s="43"/>
      <c r="HE261" s="43"/>
      <c r="HF261" s="43"/>
      <c r="HG261" s="43"/>
      <c r="HH261" s="43"/>
      <c r="HI261" s="43"/>
      <c r="HJ261" s="43"/>
      <c r="HK261" s="43"/>
      <c r="HL261" s="43"/>
      <c r="HM261" s="43"/>
      <c r="HN261" s="43"/>
      <c r="HO261" s="43"/>
      <c r="HP261" s="43"/>
      <c r="HQ261" s="43"/>
      <c r="HR261" s="43"/>
      <c r="HS261" s="43"/>
      <c r="HT261" s="43"/>
      <c r="HU261" s="43"/>
      <c r="HV261" s="43"/>
      <c r="HW261" s="43"/>
      <c r="HX261" s="43"/>
      <c r="HY261" s="43"/>
      <c r="HZ261" s="43"/>
      <c r="IA261" s="43"/>
      <c r="IB261" s="43"/>
      <c r="IC261" s="43"/>
      <c r="ID261" s="43"/>
      <c r="IE261" s="43"/>
      <c r="IF261" s="43"/>
      <c r="IG261" s="43"/>
      <c r="IH261" s="43"/>
      <c r="II261" s="43"/>
      <c r="IJ261" s="43"/>
      <c r="IK261" s="43"/>
      <c r="IL261" s="43"/>
      <c r="IM261" s="43"/>
      <c r="IN261" s="43"/>
      <c r="IO261" s="43"/>
      <c r="IP261" s="43"/>
      <c r="IQ261" s="43"/>
      <c r="IR261" s="43"/>
      <c r="IS261" s="43"/>
      <c r="IT261" s="43"/>
      <c r="IU261" s="43"/>
    </row>
    <row r="262" spans="1:255" s="66" customFormat="1" x14ac:dyDescent="0.3">
      <c r="A262" s="12" t="s">
        <v>86</v>
      </c>
      <c r="B262" s="43" t="s">
        <v>66</v>
      </c>
      <c r="C262" s="24">
        <v>471620</v>
      </c>
      <c r="F262" s="96"/>
      <c r="G262" s="31"/>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c r="BD262" s="43"/>
      <c r="BE262" s="43"/>
      <c r="BF262" s="43"/>
      <c r="BG262" s="43"/>
      <c r="BH262" s="43"/>
      <c r="BI262" s="43"/>
      <c r="BJ262" s="43"/>
      <c r="BK262" s="43"/>
      <c r="BL262" s="43"/>
      <c r="BM262" s="43"/>
      <c r="BN262" s="43"/>
      <c r="BO262" s="43"/>
      <c r="BP262" s="43"/>
      <c r="BQ262" s="43"/>
      <c r="BR262" s="43"/>
      <c r="BS262" s="43"/>
      <c r="BT262" s="43"/>
      <c r="BU262" s="43"/>
      <c r="BV262" s="43"/>
      <c r="BW262" s="43"/>
      <c r="BX262" s="43"/>
      <c r="BY262" s="43"/>
      <c r="BZ262" s="43"/>
      <c r="CA262" s="43"/>
      <c r="CB262" s="43"/>
      <c r="CC262" s="43"/>
      <c r="CD262" s="43"/>
      <c r="CE262" s="43"/>
      <c r="CF262" s="43"/>
      <c r="CG262" s="43"/>
      <c r="CH262" s="43"/>
      <c r="CI262" s="43"/>
      <c r="CJ262" s="43"/>
      <c r="CK262" s="43"/>
      <c r="CL262" s="43"/>
      <c r="CM262" s="43"/>
      <c r="CN262" s="43"/>
      <c r="CO262" s="43"/>
      <c r="CP262" s="43"/>
      <c r="CQ262" s="43"/>
      <c r="CR262" s="43"/>
      <c r="CS262" s="43"/>
      <c r="CT262" s="43"/>
      <c r="CU262" s="43"/>
      <c r="CV262" s="43"/>
      <c r="CW262" s="43"/>
      <c r="CX262" s="43"/>
      <c r="CY262" s="43"/>
      <c r="CZ262" s="43"/>
      <c r="DA262" s="43"/>
      <c r="DB262" s="43"/>
      <c r="DC262" s="43"/>
      <c r="DD262" s="43"/>
      <c r="DE262" s="43"/>
      <c r="DF262" s="43"/>
      <c r="DG262" s="43"/>
      <c r="DH262" s="43"/>
      <c r="DI262" s="43"/>
      <c r="DJ262" s="43"/>
      <c r="DK262" s="43"/>
      <c r="DL262" s="43"/>
      <c r="DM262" s="43"/>
      <c r="DN262" s="43"/>
      <c r="DO262" s="43"/>
      <c r="DP262" s="43"/>
      <c r="DQ262" s="43"/>
      <c r="DR262" s="43"/>
      <c r="DS262" s="43"/>
      <c r="DT262" s="43"/>
      <c r="DU262" s="43"/>
      <c r="DV262" s="43"/>
      <c r="DW262" s="43"/>
      <c r="DX262" s="43"/>
      <c r="DY262" s="43"/>
      <c r="DZ262" s="43"/>
      <c r="EA262" s="43"/>
      <c r="EB262" s="43"/>
      <c r="EC262" s="43"/>
      <c r="ED262" s="43"/>
      <c r="EE262" s="43"/>
      <c r="EF262" s="43"/>
      <c r="EG262" s="43"/>
      <c r="EH262" s="43"/>
      <c r="EI262" s="43"/>
      <c r="EJ262" s="43"/>
      <c r="EK262" s="43"/>
      <c r="EL262" s="43"/>
      <c r="EM262" s="43"/>
      <c r="EN262" s="43"/>
      <c r="EO262" s="43"/>
      <c r="EP262" s="43"/>
      <c r="EQ262" s="43"/>
      <c r="ER262" s="43"/>
      <c r="ES262" s="43"/>
      <c r="ET262" s="43"/>
      <c r="EU262" s="43"/>
      <c r="EV262" s="43"/>
      <c r="EW262" s="43"/>
      <c r="EX262" s="43"/>
      <c r="EY262" s="43"/>
      <c r="EZ262" s="43"/>
      <c r="FA262" s="43"/>
      <c r="FB262" s="43"/>
      <c r="FC262" s="43"/>
      <c r="FD262" s="43"/>
      <c r="FE262" s="43"/>
      <c r="FF262" s="43"/>
      <c r="FG262" s="43"/>
      <c r="FH262" s="43"/>
      <c r="FI262" s="43"/>
      <c r="FJ262" s="43"/>
      <c r="FK262" s="43"/>
      <c r="FL262" s="43"/>
      <c r="FM262" s="43"/>
      <c r="FN262" s="43"/>
      <c r="FO262" s="43"/>
      <c r="FP262" s="43"/>
      <c r="FQ262" s="43"/>
      <c r="FR262" s="43"/>
      <c r="FS262" s="43"/>
      <c r="FT262" s="43"/>
      <c r="FU262" s="43"/>
      <c r="FV262" s="43"/>
      <c r="FW262" s="43"/>
      <c r="FX262" s="43"/>
      <c r="FY262" s="43"/>
      <c r="FZ262" s="43"/>
      <c r="GA262" s="43"/>
      <c r="GB262" s="43"/>
      <c r="GC262" s="43"/>
      <c r="GD262" s="43"/>
      <c r="GE262" s="43"/>
      <c r="GF262" s="43"/>
      <c r="GG262" s="43"/>
      <c r="GH262" s="43"/>
      <c r="GI262" s="43"/>
      <c r="GJ262" s="43"/>
      <c r="GK262" s="43"/>
      <c r="GL262" s="43"/>
      <c r="GM262" s="43"/>
      <c r="GN262" s="43"/>
      <c r="GO262" s="43"/>
      <c r="GP262" s="43"/>
      <c r="GQ262" s="43"/>
      <c r="GR262" s="43"/>
      <c r="GS262" s="43"/>
      <c r="GT262" s="43"/>
      <c r="GU262" s="43"/>
      <c r="GV262" s="43"/>
      <c r="GW262" s="43"/>
      <c r="GX262" s="43"/>
      <c r="GY262" s="43"/>
      <c r="GZ262" s="43"/>
      <c r="HA262" s="43"/>
      <c r="HB262" s="43"/>
      <c r="HC262" s="43"/>
      <c r="HD262" s="43"/>
      <c r="HE262" s="43"/>
      <c r="HF262" s="43"/>
      <c r="HG262" s="43"/>
      <c r="HH262" s="43"/>
      <c r="HI262" s="43"/>
      <c r="HJ262" s="43"/>
      <c r="HK262" s="43"/>
      <c r="HL262" s="43"/>
      <c r="HM262" s="43"/>
      <c r="HN262" s="43"/>
      <c r="HO262" s="43"/>
      <c r="HP262" s="43"/>
      <c r="HQ262" s="43"/>
      <c r="HR262" s="43"/>
      <c r="HS262" s="43"/>
      <c r="HT262" s="43"/>
      <c r="HU262" s="43"/>
      <c r="HV262" s="43"/>
      <c r="HW262" s="43"/>
      <c r="HX262" s="43"/>
      <c r="HY262" s="43"/>
      <c r="HZ262" s="43"/>
      <c r="IA262" s="43"/>
      <c r="IB262" s="43"/>
      <c r="IC262" s="43"/>
      <c r="ID262" s="43"/>
      <c r="IE262" s="43"/>
      <c r="IF262" s="43"/>
      <c r="IG262" s="43"/>
      <c r="IH262" s="43"/>
      <c r="II262" s="43"/>
      <c r="IJ262" s="43"/>
      <c r="IK262" s="43"/>
      <c r="IL262" s="43"/>
      <c r="IM262" s="43"/>
      <c r="IN262" s="43"/>
      <c r="IO262" s="43"/>
      <c r="IP262" s="43"/>
      <c r="IQ262" s="43"/>
      <c r="IR262" s="43"/>
      <c r="IS262" s="43"/>
      <c r="IT262" s="43"/>
      <c r="IU262" s="43"/>
    </row>
    <row r="263" spans="1:255" s="66" customFormat="1" x14ac:dyDescent="0.3">
      <c r="A263" s="11" t="s">
        <v>107</v>
      </c>
      <c r="B263" s="556" t="s">
        <v>108</v>
      </c>
      <c r="C263" s="31">
        <f>SUM(C264)</f>
        <v>255710</v>
      </c>
      <c r="F263" s="96"/>
      <c r="G263" s="31"/>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43"/>
      <c r="BM263" s="43"/>
      <c r="BN263" s="43"/>
      <c r="BO263" s="43"/>
      <c r="BP263" s="43"/>
      <c r="BQ263" s="43"/>
      <c r="BR263" s="43"/>
      <c r="BS263" s="43"/>
      <c r="BT263" s="43"/>
      <c r="BU263" s="43"/>
      <c r="BV263" s="43"/>
      <c r="BW263" s="43"/>
      <c r="BX263" s="43"/>
      <c r="BY263" s="43"/>
      <c r="BZ263" s="43"/>
      <c r="CA263" s="43"/>
      <c r="CB263" s="43"/>
      <c r="CC263" s="43"/>
      <c r="CD263" s="43"/>
      <c r="CE263" s="43"/>
      <c r="CF263" s="43"/>
      <c r="CG263" s="43"/>
      <c r="CH263" s="43"/>
      <c r="CI263" s="43"/>
      <c r="CJ263" s="43"/>
      <c r="CK263" s="43"/>
      <c r="CL263" s="43"/>
      <c r="CM263" s="43"/>
      <c r="CN263" s="43"/>
      <c r="CO263" s="43"/>
      <c r="CP263" s="43"/>
      <c r="CQ263" s="43"/>
      <c r="CR263" s="43"/>
      <c r="CS263" s="43"/>
      <c r="CT263" s="43"/>
      <c r="CU263" s="43"/>
      <c r="CV263" s="43"/>
      <c r="CW263" s="43"/>
      <c r="CX263" s="43"/>
      <c r="CY263" s="43"/>
      <c r="CZ263" s="43"/>
      <c r="DA263" s="43"/>
      <c r="DB263" s="43"/>
      <c r="DC263" s="43"/>
      <c r="DD263" s="43"/>
      <c r="DE263" s="43"/>
      <c r="DF263" s="43"/>
      <c r="DG263" s="43"/>
      <c r="DH263" s="43"/>
      <c r="DI263" s="43"/>
      <c r="DJ263" s="43"/>
      <c r="DK263" s="43"/>
      <c r="DL263" s="43"/>
      <c r="DM263" s="43"/>
      <c r="DN263" s="43"/>
      <c r="DO263" s="43"/>
      <c r="DP263" s="43"/>
      <c r="DQ263" s="43"/>
      <c r="DR263" s="43"/>
      <c r="DS263" s="43"/>
      <c r="DT263" s="43"/>
      <c r="DU263" s="43"/>
      <c r="DV263" s="43"/>
      <c r="DW263" s="43"/>
      <c r="DX263" s="43"/>
      <c r="DY263" s="43"/>
      <c r="DZ263" s="43"/>
      <c r="EA263" s="43"/>
      <c r="EB263" s="43"/>
      <c r="EC263" s="43"/>
      <c r="ED263" s="43"/>
      <c r="EE263" s="43"/>
      <c r="EF263" s="43"/>
      <c r="EG263" s="43"/>
      <c r="EH263" s="43"/>
      <c r="EI263" s="43"/>
      <c r="EJ263" s="43"/>
      <c r="EK263" s="43"/>
      <c r="EL263" s="43"/>
      <c r="EM263" s="43"/>
      <c r="EN263" s="43"/>
      <c r="EO263" s="43"/>
      <c r="EP263" s="43"/>
      <c r="EQ263" s="43"/>
      <c r="ER263" s="43"/>
      <c r="ES263" s="43"/>
      <c r="ET263" s="43"/>
      <c r="EU263" s="43"/>
      <c r="EV263" s="43"/>
      <c r="EW263" s="43"/>
      <c r="EX263" s="43"/>
      <c r="EY263" s="43"/>
      <c r="EZ263" s="43"/>
      <c r="FA263" s="43"/>
      <c r="FB263" s="43"/>
      <c r="FC263" s="43"/>
      <c r="FD263" s="43"/>
      <c r="FE263" s="43"/>
      <c r="FF263" s="43"/>
      <c r="FG263" s="43"/>
      <c r="FH263" s="43"/>
      <c r="FI263" s="43"/>
      <c r="FJ263" s="43"/>
      <c r="FK263" s="43"/>
      <c r="FL263" s="43"/>
      <c r="FM263" s="43"/>
      <c r="FN263" s="43"/>
      <c r="FO263" s="43"/>
      <c r="FP263" s="43"/>
      <c r="FQ263" s="43"/>
      <c r="FR263" s="43"/>
      <c r="FS263" s="43"/>
      <c r="FT263" s="43"/>
      <c r="FU263" s="43"/>
      <c r="FV263" s="43"/>
      <c r="FW263" s="43"/>
      <c r="FX263" s="43"/>
      <c r="FY263" s="43"/>
      <c r="FZ263" s="43"/>
      <c r="GA263" s="43"/>
      <c r="GB263" s="43"/>
      <c r="GC263" s="43"/>
      <c r="GD263" s="43"/>
      <c r="GE263" s="43"/>
      <c r="GF263" s="43"/>
      <c r="GG263" s="43"/>
      <c r="GH263" s="43"/>
      <c r="GI263" s="43"/>
      <c r="GJ263" s="43"/>
      <c r="GK263" s="43"/>
      <c r="GL263" s="43"/>
      <c r="GM263" s="43"/>
      <c r="GN263" s="43"/>
      <c r="GO263" s="43"/>
      <c r="GP263" s="43"/>
      <c r="GQ263" s="43"/>
      <c r="GR263" s="43"/>
      <c r="GS263" s="43"/>
      <c r="GT263" s="43"/>
      <c r="GU263" s="43"/>
      <c r="GV263" s="43"/>
      <c r="GW263" s="43"/>
      <c r="GX263" s="43"/>
      <c r="GY263" s="43"/>
      <c r="GZ263" s="43"/>
      <c r="HA263" s="43"/>
      <c r="HB263" s="43"/>
      <c r="HC263" s="43"/>
      <c r="HD263" s="43"/>
      <c r="HE263" s="43"/>
      <c r="HF263" s="43"/>
      <c r="HG263" s="43"/>
      <c r="HH263" s="43"/>
      <c r="HI263" s="43"/>
      <c r="HJ263" s="43"/>
      <c r="HK263" s="43"/>
      <c r="HL263" s="43"/>
      <c r="HM263" s="43"/>
      <c r="HN263" s="43"/>
      <c r="HO263" s="43"/>
      <c r="HP263" s="43"/>
      <c r="HQ263" s="43"/>
      <c r="HR263" s="43"/>
      <c r="HS263" s="43"/>
      <c r="HT263" s="43"/>
      <c r="HU263" s="43"/>
      <c r="HV263" s="43"/>
      <c r="HW263" s="43"/>
      <c r="HX263" s="43"/>
      <c r="HY263" s="43"/>
      <c r="HZ263" s="43"/>
      <c r="IA263" s="43"/>
      <c r="IB263" s="43"/>
      <c r="IC263" s="43"/>
      <c r="ID263" s="43"/>
      <c r="IE263" s="43"/>
      <c r="IF263" s="43"/>
      <c r="IG263" s="43"/>
      <c r="IH263" s="43"/>
      <c r="II263" s="43"/>
      <c r="IJ263" s="43"/>
      <c r="IK263" s="43"/>
      <c r="IL263" s="43"/>
      <c r="IM263" s="43"/>
      <c r="IN263" s="43"/>
      <c r="IO263" s="43"/>
      <c r="IP263" s="43"/>
      <c r="IQ263" s="43"/>
      <c r="IR263" s="43"/>
      <c r="IS263" s="43"/>
      <c r="IT263" s="43"/>
      <c r="IU263" s="43"/>
    </row>
    <row r="264" spans="1:255" s="43" customFormat="1" ht="13.5" customHeight="1" x14ac:dyDescent="0.3">
      <c r="A264" s="12" t="s">
        <v>47</v>
      </c>
      <c r="B264" s="43" t="s">
        <v>48</v>
      </c>
      <c r="C264" s="60">
        <v>255710</v>
      </c>
      <c r="F264" s="67"/>
      <c r="G264" s="68"/>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c r="AR264" s="66"/>
      <c r="AS264" s="66"/>
      <c r="AT264" s="66"/>
      <c r="AU264" s="66"/>
      <c r="AV264" s="66"/>
      <c r="AW264" s="66"/>
      <c r="AX264" s="66"/>
      <c r="AY264" s="66"/>
      <c r="AZ264" s="66"/>
      <c r="BA264" s="66"/>
      <c r="BB264" s="66"/>
      <c r="BC264" s="66"/>
      <c r="BD264" s="66"/>
      <c r="BE264" s="66"/>
      <c r="BF264" s="66"/>
      <c r="BG264" s="66"/>
      <c r="BH264" s="66"/>
      <c r="BI264" s="66"/>
      <c r="BJ264" s="66"/>
      <c r="BK264" s="66"/>
      <c r="BL264" s="66"/>
      <c r="BM264" s="66"/>
      <c r="BN264" s="66"/>
      <c r="BO264" s="66"/>
      <c r="BP264" s="66"/>
      <c r="BQ264" s="66"/>
      <c r="BR264" s="66"/>
      <c r="BS264" s="66"/>
      <c r="BT264" s="66"/>
      <c r="BU264" s="66"/>
      <c r="BV264" s="66"/>
      <c r="BW264" s="66"/>
      <c r="BX264" s="66"/>
      <c r="BY264" s="66"/>
      <c r="BZ264" s="66"/>
      <c r="CA264" s="66"/>
      <c r="CB264" s="66"/>
      <c r="CC264" s="66"/>
      <c r="CD264" s="66"/>
      <c r="CE264" s="66"/>
      <c r="CF264" s="66"/>
      <c r="CG264" s="66"/>
      <c r="CH264" s="66"/>
      <c r="CI264" s="66"/>
      <c r="CJ264" s="66"/>
      <c r="CK264" s="66"/>
      <c r="CL264" s="66"/>
      <c r="CM264" s="66"/>
      <c r="CN264" s="66"/>
      <c r="CO264" s="66"/>
      <c r="CP264" s="66"/>
      <c r="CQ264" s="66"/>
      <c r="CR264" s="66"/>
      <c r="CS264" s="66"/>
      <c r="CT264" s="66"/>
      <c r="CU264" s="66"/>
      <c r="CV264" s="66"/>
      <c r="CW264" s="66"/>
      <c r="CX264" s="66"/>
      <c r="CY264" s="66"/>
      <c r="CZ264" s="66"/>
      <c r="DA264" s="66"/>
      <c r="DB264" s="66"/>
      <c r="DC264" s="66"/>
      <c r="DD264" s="66"/>
      <c r="DE264" s="66"/>
      <c r="DF264" s="66"/>
      <c r="DG264" s="66"/>
      <c r="DH264" s="66"/>
      <c r="DI264" s="66"/>
      <c r="DJ264" s="66"/>
      <c r="DK264" s="66"/>
      <c r="DL264" s="66"/>
      <c r="DM264" s="66"/>
      <c r="DN264" s="66"/>
      <c r="DO264" s="66"/>
      <c r="DP264" s="66"/>
      <c r="DQ264" s="66"/>
      <c r="DR264" s="66"/>
      <c r="DS264" s="66"/>
      <c r="DT264" s="66"/>
      <c r="DU264" s="66"/>
      <c r="DV264" s="66"/>
      <c r="DW264" s="66"/>
      <c r="DX264" s="66"/>
      <c r="DY264" s="66"/>
      <c r="DZ264" s="66"/>
      <c r="EA264" s="66"/>
      <c r="EB264" s="66"/>
      <c r="EC264" s="66"/>
      <c r="ED264" s="66"/>
      <c r="EE264" s="66"/>
      <c r="EF264" s="66"/>
      <c r="EG264" s="66"/>
      <c r="EH264" s="66"/>
      <c r="EI264" s="66"/>
      <c r="EJ264" s="66"/>
      <c r="EK264" s="66"/>
      <c r="EL264" s="66"/>
      <c r="EM264" s="66"/>
      <c r="EN264" s="66"/>
      <c r="EO264" s="66"/>
      <c r="EP264" s="66"/>
      <c r="EQ264" s="66"/>
      <c r="ER264" s="66"/>
      <c r="ES264" s="66"/>
      <c r="ET264" s="66"/>
      <c r="EU264" s="66"/>
      <c r="EV264" s="66"/>
      <c r="EW264" s="66"/>
      <c r="EX264" s="66"/>
      <c r="EY264" s="66"/>
      <c r="EZ264" s="66"/>
      <c r="FA264" s="66"/>
      <c r="FB264" s="66"/>
      <c r="FC264" s="66"/>
      <c r="FD264" s="66"/>
      <c r="FE264" s="66"/>
      <c r="FF264" s="66"/>
      <c r="FG264" s="66"/>
      <c r="FH264" s="66"/>
      <c r="FI264" s="66"/>
      <c r="FJ264" s="66"/>
      <c r="FK264" s="66"/>
      <c r="FL264" s="66"/>
      <c r="FM264" s="66"/>
      <c r="FN264" s="66"/>
      <c r="FO264" s="66"/>
      <c r="FP264" s="66"/>
      <c r="FQ264" s="66"/>
      <c r="FR264" s="66"/>
      <c r="FS264" s="66"/>
      <c r="FT264" s="66"/>
      <c r="FU264" s="66"/>
      <c r="FV264" s="66"/>
      <c r="FW264" s="66"/>
      <c r="FX264" s="66"/>
      <c r="FY264" s="66"/>
      <c r="FZ264" s="66"/>
      <c r="GA264" s="66"/>
      <c r="GB264" s="66"/>
      <c r="GC264" s="66"/>
      <c r="GD264" s="66"/>
      <c r="GE264" s="66"/>
      <c r="GF264" s="66"/>
      <c r="GG264" s="66"/>
      <c r="GH264" s="66"/>
      <c r="GI264" s="66"/>
      <c r="GJ264" s="66"/>
      <c r="GK264" s="66"/>
      <c r="GL264" s="66"/>
      <c r="GM264" s="66"/>
      <c r="GN264" s="66"/>
      <c r="GO264" s="66"/>
      <c r="GP264" s="66"/>
      <c r="GQ264" s="66"/>
      <c r="GR264" s="66"/>
      <c r="GS264" s="66"/>
      <c r="GT264" s="66"/>
      <c r="GU264" s="66"/>
      <c r="GV264" s="66"/>
      <c r="GW264" s="66"/>
      <c r="GX264" s="66"/>
      <c r="GY264" s="66"/>
      <c r="GZ264" s="66"/>
      <c r="HA264" s="66"/>
      <c r="HB264" s="66"/>
      <c r="HC264" s="66"/>
      <c r="HD264" s="66"/>
      <c r="HE264" s="66"/>
      <c r="HF264" s="66"/>
      <c r="HG264" s="66"/>
      <c r="HH264" s="66"/>
      <c r="HI264" s="66"/>
      <c r="HJ264" s="66"/>
      <c r="HK264" s="66"/>
      <c r="HL264" s="66"/>
      <c r="HM264" s="66"/>
      <c r="HN264" s="66"/>
      <c r="HO264" s="66"/>
      <c r="HP264" s="66"/>
      <c r="HQ264" s="66"/>
      <c r="HR264" s="66"/>
      <c r="HS264" s="66"/>
      <c r="HT264" s="66"/>
      <c r="HU264" s="66"/>
      <c r="HV264" s="66"/>
      <c r="HW264" s="66"/>
      <c r="HX264" s="66"/>
      <c r="HY264" s="66"/>
      <c r="HZ264" s="66"/>
      <c r="IA264" s="66"/>
      <c r="IB264" s="66"/>
      <c r="IC264" s="66"/>
      <c r="ID264" s="66"/>
      <c r="IE264" s="66"/>
      <c r="IF264" s="66"/>
      <c r="IG264" s="66"/>
      <c r="IH264" s="66"/>
      <c r="II264" s="66"/>
      <c r="IJ264" s="66"/>
      <c r="IK264" s="66"/>
      <c r="IL264" s="66"/>
      <c r="IM264" s="66"/>
      <c r="IN264" s="66"/>
      <c r="IO264" s="66"/>
      <c r="IP264" s="66"/>
      <c r="IQ264" s="66"/>
      <c r="IR264" s="66"/>
      <c r="IS264" s="66"/>
      <c r="IT264" s="66"/>
      <c r="IU264" s="66"/>
    </row>
    <row r="265" spans="1:255" s="43" customFormat="1" ht="13.5" customHeight="1" x14ac:dyDescent="0.3">
      <c r="A265" s="11" t="s">
        <v>195</v>
      </c>
      <c r="B265" s="25" t="s">
        <v>194</v>
      </c>
      <c r="C265" s="64">
        <f>SUM(C266:C267)</f>
        <v>883500</v>
      </c>
      <c r="F265" s="67"/>
      <c r="G265" s="68"/>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c r="AQ265" s="66"/>
      <c r="AR265" s="66"/>
      <c r="AS265" s="66"/>
      <c r="AT265" s="66"/>
      <c r="AU265" s="66"/>
      <c r="AV265" s="66"/>
      <c r="AW265" s="66"/>
      <c r="AX265" s="66"/>
      <c r="AY265" s="66"/>
      <c r="AZ265" s="66"/>
      <c r="BA265" s="66"/>
      <c r="BB265" s="66"/>
      <c r="BC265" s="66"/>
      <c r="BD265" s="66"/>
      <c r="BE265" s="66"/>
      <c r="BF265" s="66"/>
      <c r="BG265" s="66"/>
      <c r="BH265" s="66"/>
      <c r="BI265" s="66"/>
      <c r="BJ265" s="66"/>
      <c r="BK265" s="66"/>
      <c r="BL265" s="66"/>
      <c r="BM265" s="66"/>
      <c r="BN265" s="66"/>
      <c r="BO265" s="66"/>
      <c r="BP265" s="66"/>
      <c r="BQ265" s="66"/>
      <c r="BR265" s="66"/>
      <c r="BS265" s="66"/>
      <c r="BT265" s="66"/>
      <c r="BU265" s="66"/>
      <c r="BV265" s="66"/>
      <c r="BW265" s="66"/>
      <c r="BX265" s="66"/>
      <c r="BY265" s="66"/>
      <c r="BZ265" s="66"/>
      <c r="CA265" s="66"/>
      <c r="CB265" s="66"/>
      <c r="CC265" s="66"/>
      <c r="CD265" s="66"/>
      <c r="CE265" s="66"/>
      <c r="CF265" s="66"/>
      <c r="CG265" s="66"/>
      <c r="CH265" s="66"/>
      <c r="CI265" s="66"/>
      <c r="CJ265" s="66"/>
      <c r="CK265" s="66"/>
      <c r="CL265" s="66"/>
      <c r="CM265" s="66"/>
      <c r="CN265" s="66"/>
      <c r="CO265" s="66"/>
      <c r="CP265" s="66"/>
      <c r="CQ265" s="66"/>
      <c r="CR265" s="66"/>
      <c r="CS265" s="66"/>
      <c r="CT265" s="66"/>
      <c r="CU265" s="66"/>
      <c r="CV265" s="66"/>
      <c r="CW265" s="66"/>
      <c r="CX265" s="66"/>
      <c r="CY265" s="66"/>
      <c r="CZ265" s="66"/>
      <c r="DA265" s="66"/>
      <c r="DB265" s="66"/>
      <c r="DC265" s="66"/>
      <c r="DD265" s="66"/>
      <c r="DE265" s="66"/>
      <c r="DF265" s="66"/>
      <c r="DG265" s="66"/>
      <c r="DH265" s="66"/>
      <c r="DI265" s="66"/>
      <c r="DJ265" s="66"/>
      <c r="DK265" s="66"/>
      <c r="DL265" s="66"/>
      <c r="DM265" s="66"/>
      <c r="DN265" s="66"/>
      <c r="DO265" s="66"/>
      <c r="DP265" s="66"/>
      <c r="DQ265" s="66"/>
      <c r="DR265" s="66"/>
      <c r="DS265" s="66"/>
      <c r="DT265" s="66"/>
      <c r="DU265" s="66"/>
      <c r="DV265" s="66"/>
      <c r="DW265" s="66"/>
      <c r="DX265" s="66"/>
      <c r="DY265" s="66"/>
      <c r="DZ265" s="66"/>
      <c r="EA265" s="66"/>
      <c r="EB265" s="66"/>
      <c r="EC265" s="66"/>
      <c r="ED265" s="66"/>
      <c r="EE265" s="66"/>
      <c r="EF265" s="66"/>
      <c r="EG265" s="66"/>
      <c r="EH265" s="66"/>
      <c r="EI265" s="66"/>
      <c r="EJ265" s="66"/>
      <c r="EK265" s="66"/>
      <c r="EL265" s="66"/>
      <c r="EM265" s="66"/>
      <c r="EN265" s="66"/>
      <c r="EO265" s="66"/>
      <c r="EP265" s="66"/>
      <c r="EQ265" s="66"/>
      <c r="ER265" s="66"/>
      <c r="ES265" s="66"/>
      <c r="ET265" s="66"/>
      <c r="EU265" s="66"/>
      <c r="EV265" s="66"/>
      <c r="EW265" s="66"/>
      <c r="EX265" s="66"/>
      <c r="EY265" s="66"/>
      <c r="EZ265" s="66"/>
      <c r="FA265" s="66"/>
      <c r="FB265" s="66"/>
      <c r="FC265" s="66"/>
      <c r="FD265" s="66"/>
      <c r="FE265" s="66"/>
      <c r="FF265" s="66"/>
      <c r="FG265" s="66"/>
      <c r="FH265" s="66"/>
      <c r="FI265" s="66"/>
      <c r="FJ265" s="66"/>
      <c r="FK265" s="66"/>
      <c r="FL265" s="66"/>
      <c r="FM265" s="66"/>
      <c r="FN265" s="66"/>
      <c r="FO265" s="66"/>
      <c r="FP265" s="66"/>
      <c r="FQ265" s="66"/>
      <c r="FR265" s="66"/>
      <c r="FS265" s="66"/>
      <c r="FT265" s="66"/>
      <c r="FU265" s="66"/>
      <c r="FV265" s="66"/>
      <c r="FW265" s="66"/>
      <c r="FX265" s="66"/>
      <c r="FY265" s="66"/>
      <c r="FZ265" s="66"/>
      <c r="GA265" s="66"/>
      <c r="GB265" s="66"/>
      <c r="GC265" s="66"/>
      <c r="GD265" s="66"/>
      <c r="GE265" s="66"/>
      <c r="GF265" s="66"/>
      <c r="GG265" s="66"/>
      <c r="GH265" s="66"/>
      <c r="GI265" s="66"/>
      <c r="GJ265" s="66"/>
      <c r="GK265" s="66"/>
      <c r="GL265" s="66"/>
      <c r="GM265" s="66"/>
      <c r="GN265" s="66"/>
      <c r="GO265" s="66"/>
      <c r="GP265" s="66"/>
      <c r="GQ265" s="66"/>
      <c r="GR265" s="66"/>
      <c r="GS265" s="66"/>
      <c r="GT265" s="66"/>
      <c r="GU265" s="66"/>
      <c r="GV265" s="66"/>
      <c r="GW265" s="66"/>
      <c r="GX265" s="66"/>
      <c r="GY265" s="66"/>
      <c r="GZ265" s="66"/>
      <c r="HA265" s="66"/>
      <c r="HB265" s="66"/>
      <c r="HC265" s="66"/>
      <c r="HD265" s="66"/>
      <c r="HE265" s="66"/>
      <c r="HF265" s="66"/>
      <c r="HG265" s="66"/>
      <c r="HH265" s="66"/>
      <c r="HI265" s="66"/>
      <c r="HJ265" s="66"/>
      <c r="HK265" s="66"/>
      <c r="HL265" s="66"/>
      <c r="HM265" s="66"/>
      <c r="HN265" s="66"/>
      <c r="HO265" s="66"/>
      <c r="HP265" s="66"/>
      <c r="HQ265" s="66"/>
      <c r="HR265" s="66"/>
      <c r="HS265" s="66"/>
      <c r="HT265" s="66"/>
      <c r="HU265" s="66"/>
      <c r="HV265" s="66"/>
      <c r="HW265" s="66"/>
      <c r="HX265" s="66"/>
      <c r="HY265" s="66"/>
      <c r="HZ265" s="66"/>
      <c r="IA265" s="66"/>
      <c r="IB265" s="66"/>
      <c r="IC265" s="66"/>
      <c r="ID265" s="66"/>
      <c r="IE265" s="66"/>
      <c r="IF265" s="66"/>
      <c r="IG265" s="66"/>
      <c r="IH265" s="66"/>
      <c r="II265" s="66"/>
      <c r="IJ265" s="66"/>
      <c r="IK265" s="66"/>
      <c r="IL265" s="66"/>
      <c r="IM265" s="66"/>
      <c r="IN265" s="66"/>
      <c r="IO265" s="66"/>
      <c r="IP265" s="66"/>
      <c r="IQ265" s="66"/>
      <c r="IR265" s="66"/>
      <c r="IS265" s="66"/>
      <c r="IT265" s="66"/>
      <c r="IU265" s="66"/>
    </row>
    <row r="266" spans="1:255" s="43" customFormat="1" ht="13.5" customHeight="1" x14ac:dyDescent="0.3">
      <c r="A266" s="12" t="s">
        <v>193</v>
      </c>
      <c r="B266" s="8" t="s">
        <v>215</v>
      </c>
      <c r="C266" s="60">
        <v>785830</v>
      </c>
      <c r="F266" s="67"/>
      <c r="G266" s="68"/>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c r="AR266" s="66"/>
      <c r="AS266" s="66"/>
      <c r="AT266" s="66"/>
      <c r="AU266" s="66"/>
      <c r="AV266" s="66"/>
      <c r="AW266" s="66"/>
      <c r="AX266" s="66"/>
      <c r="AY266" s="66"/>
      <c r="AZ266" s="66"/>
      <c r="BA266" s="66"/>
      <c r="BB266" s="66"/>
      <c r="BC266" s="66"/>
      <c r="BD266" s="66"/>
      <c r="BE266" s="66"/>
      <c r="BF266" s="66"/>
      <c r="BG266" s="66"/>
      <c r="BH266" s="66"/>
      <c r="BI266" s="66"/>
      <c r="BJ266" s="66"/>
      <c r="BK266" s="66"/>
      <c r="BL266" s="66"/>
      <c r="BM266" s="66"/>
      <c r="BN266" s="66"/>
      <c r="BO266" s="66"/>
      <c r="BP266" s="66"/>
      <c r="BQ266" s="66"/>
      <c r="BR266" s="66"/>
      <c r="BS266" s="66"/>
      <c r="BT266" s="66"/>
      <c r="BU266" s="66"/>
      <c r="BV266" s="66"/>
      <c r="BW266" s="66"/>
      <c r="BX266" s="66"/>
      <c r="BY266" s="66"/>
      <c r="BZ266" s="66"/>
      <c r="CA266" s="66"/>
      <c r="CB266" s="66"/>
      <c r="CC266" s="66"/>
      <c r="CD266" s="66"/>
      <c r="CE266" s="66"/>
      <c r="CF266" s="66"/>
      <c r="CG266" s="66"/>
      <c r="CH266" s="66"/>
      <c r="CI266" s="66"/>
      <c r="CJ266" s="66"/>
      <c r="CK266" s="66"/>
      <c r="CL266" s="66"/>
      <c r="CM266" s="66"/>
      <c r="CN266" s="66"/>
      <c r="CO266" s="66"/>
      <c r="CP266" s="66"/>
      <c r="CQ266" s="66"/>
      <c r="CR266" s="66"/>
      <c r="CS266" s="66"/>
      <c r="CT266" s="66"/>
      <c r="CU266" s="66"/>
      <c r="CV266" s="66"/>
      <c r="CW266" s="66"/>
      <c r="CX266" s="66"/>
      <c r="CY266" s="66"/>
      <c r="CZ266" s="66"/>
      <c r="DA266" s="66"/>
      <c r="DB266" s="66"/>
      <c r="DC266" s="66"/>
      <c r="DD266" s="66"/>
      <c r="DE266" s="66"/>
      <c r="DF266" s="66"/>
      <c r="DG266" s="66"/>
      <c r="DH266" s="66"/>
      <c r="DI266" s="66"/>
      <c r="DJ266" s="66"/>
      <c r="DK266" s="66"/>
      <c r="DL266" s="66"/>
      <c r="DM266" s="66"/>
      <c r="DN266" s="66"/>
      <c r="DO266" s="66"/>
      <c r="DP266" s="66"/>
      <c r="DQ266" s="66"/>
      <c r="DR266" s="66"/>
      <c r="DS266" s="66"/>
      <c r="DT266" s="66"/>
      <c r="DU266" s="66"/>
      <c r="DV266" s="66"/>
      <c r="DW266" s="66"/>
      <c r="DX266" s="66"/>
      <c r="DY266" s="66"/>
      <c r="DZ266" s="66"/>
      <c r="EA266" s="66"/>
      <c r="EB266" s="66"/>
      <c r="EC266" s="66"/>
      <c r="ED266" s="66"/>
      <c r="EE266" s="66"/>
      <c r="EF266" s="66"/>
      <c r="EG266" s="66"/>
      <c r="EH266" s="66"/>
      <c r="EI266" s="66"/>
      <c r="EJ266" s="66"/>
      <c r="EK266" s="66"/>
      <c r="EL266" s="66"/>
      <c r="EM266" s="66"/>
      <c r="EN266" s="66"/>
      <c r="EO266" s="66"/>
      <c r="EP266" s="66"/>
      <c r="EQ266" s="66"/>
      <c r="ER266" s="66"/>
      <c r="ES266" s="66"/>
      <c r="ET266" s="66"/>
      <c r="EU266" s="66"/>
      <c r="EV266" s="66"/>
      <c r="EW266" s="66"/>
      <c r="EX266" s="66"/>
      <c r="EY266" s="66"/>
      <c r="EZ266" s="66"/>
      <c r="FA266" s="66"/>
      <c r="FB266" s="66"/>
      <c r="FC266" s="66"/>
      <c r="FD266" s="66"/>
      <c r="FE266" s="66"/>
      <c r="FF266" s="66"/>
      <c r="FG266" s="66"/>
      <c r="FH266" s="66"/>
      <c r="FI266" s="66"/>
      <c r="FJ266" s="66"/>
      <c r="FK266" s="66"/>
      <c r="FL266" s="66"/>
      <c r="FM266" s="66"/>
      <c r="FN266" s="66"/>
      <c r="FO266" s="66"/>
      <c r="FP266" s="66"/>
      <c r="FQ266" s="66"/>
      <c r="FR266" s="66"/>
      <c r="FS266" s="66"/>
      <c r="FT266" s="66"/>
      <c r="FU266" s="66"/>
      <c r="FV266" s="66"/>
      <c r="FW266" s="66"/>
      <c r="FX266" s="66"/>
      <c r="FY266" s="66"/>
      <c r="FZ266" s="66"/>
      <c r="GA266" s="66"/>
      <c r="GB266" s="66"/>
      <c r="GC266" s="66"/>
      <c r="GD266" s="66"/>
      <c r="GE266" s="66"/>
      <c r="GF266" s="66"/>
      <c r="GG266" s="66"/>
      <c r="GH266" s="66"/>
      <c r="GI266" s="66"/>
      <c r="GJ266" s="66"/>
      <c r="GK266" s="66"/>
      <c r="GL266" s="66"/>
      <c r="GM266" s="66"/>
      <c r="GN266" s="66"/>
      <c r="GO266" s="66"/>
      <c r="GP266" s="66"/>
      <c r="GQ266" s="66"/>
      <c r="GR266" s="66"/>
      <c r="GS266" s="66"/>
      <c r="GT266" s="66"/>
      <c r="GU266" s="66"/>
      <c r="GV266" s="66"/>
      <c r="GW266" s="66"/>
      <c r="GX266" s="66"/>
      <c r="GY266" s="66"/>
      <c r="GZ266" s="66"/>
      <c r="HA266" s="66"/>
      <c r="HB266" s="66"/>
      <c r="HC266" s="66"/>
      <c r="HD266" s="66"/>
      <c r="HE266" s="66"/>
      <c r="HF266" s="66"/>
      <c r="HG266" s="66"/>
      <c r="HH266" s="66"/>
      <c r="HI266" s="66"/>
      <c r="HJ266" s="66"/>
      <c r="HK266" s="66"/>
      <c r="HL266" s="66"/>
      <c r="HM266" s="66"/>
      <c r="HN266" s="66"/>
      <c r="HO266" s="66"/>
      <c r="HP266" s="66"/>
      <c r="HQ266" s="66"/>
      <c r="HR266" s="66"/>
      <c r="HS266" s="66"/>
      <c r="HT266" s="66"/>
      <c r="HU266" s="66"/>
      <c r="HV266" s="66"/>
      <c r="HW266" s="66"/>
      <c r="HX266" s="66"/>
      <c r="HY266" s="66"/>
      <c r="HZ266" s="66"/>
      <c r="IA266" s="66"/>
      <c r="IB266" s="66"/>
      <c r="IC266" s="66"/>
      <c r="ID266" s="66"/>
      <c r="IE266" s="66"/>
      <c r="IF266" s="66"/>
      <c r="IG266" s="66"/>
      <c r="IH266" s="66"/>
      <c r="II266" s="66"/>
      <c r="IJ266" s="66"/>
      <c r="IK266" s="66"/>
      <c r="IL266" s="66"/>
      <c r="IM266" s="66"/>
      <c r="IN266" s="66"/>
      <c r="IO266" s="66"/>
      <c r="IP266" s="66"/>
      <c r="IQ266" s="66"/>
      <c r="IR266" s="66"/>
      <c r="IS266" s="66"/>
      <c r="IT266" s="66"/>
      <c r="IU266" s="66"/>
    </row>
    <row r="267" spans="1:255" s="43" customFormat="1" ht="13.5" customHeight="1" x14ac:dyDescent="0.3">
      <c r="A267" s="12" t="s">
        <v>214</v>
      </c>
      <c r="B267" s="8" t="s">
        <v>213</v>
      </c>
      <c r="C267" s="60">
        <v>97670</v>
      </c>
      <c r="F267" s="67"/>
      <c r="G267" s="68"/>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c r="AS267" s="66"/>
      <c r="AT267" s="66"/>
      <c r="AU267" s="66"/>
      <c r="AV267" s="66"/>
      <c r="AW267" s="66"/>
      <c r="AX267" s="66"/>
      <c r="AY267" s="66"/>
      <c r="AZ267" s="66"/>
      <c r="BA267" s="66"/>
      <c r="BB267" s="66"/>
      <c r="BC267" s="66"/>
      <c r="BD267" s="66"/>
      <c r="BE267" s="66"/>
      <c r="BF267" s="66"/>
      <c r="BG267" s="66"/>
      <c r="BH267" s="66"/>
      <c r="BI267" s="66"/>
      <c r="BJ267" s="66"/>
      <c r="BK267" s="66"/>
      <c r="BL267" s="66"/>
      <c r="BM267" s="66"/>
      <c r="BN267" s="66"/>
      <c r="BO267" s="66"/>
      <c r="BP267" s="66"/>
      <c r="BQ267" s="66"/>
      <c r="BR267" s="66"/>
      <c r="BS267" s="66"/>
      <c r="BT267" s="66"/>
      <c r="BU267" s="66"/>
      <c r="BV267" s="66"/>
      <c r="BW267" s="66"/>
      <c r="BX267" s="66"/>
      <c r="BY267" s="66"/>
      <c r="BZ267" s="66"/>
      <c r="CA267" s="66"/>
      <c r="CB267" s="66"/>
      <c r="CC267" s="66"/>
      <c r="CD267" s="66"/>
      <c r="CE267" s="66"/>
      <c r="CF267" s="66"/>
      <c r="CG267" s="66"/>
      <c r="CH267" s="66"/>
      <c r="CI267" s="66"/>
      <c r="CJ267" s="66"/>
      <c r="CK267" s="66"/>
      <c r="CL267" s="66"/>
      <c r="CM267" s="66"/>
      <c r="CN267" s="66"/>
      <c r="CO267" s="66"/>
      <c r="CP267" s="66"/>
      <c r="CQ267" s="66"/>
      <c r="CR267" s="66"/>
      <c r="CS267" s="66"/>
      <c r="CT267" s="66"/>
      <c r="CU267" s="66"/>
      <c r="CV267" s="66"/>
      <c r="CW267" s="66"/>
      <c r="CX267" s="66"/>
      <c r="CY267" s="66"/>
      <c r="CZ267" s="66"/>
      <c r="DA267" s="66"/>
      <c r="DB267" s="66"/>
      <c r="DC267" s="66"/>
      <c r="DD267" s="66"/>
      <c r="DE267" s="66"/>
      <c r="DF267" s="66"/>
      <c r="DG267" s="66"/>
      <c r="DH267" s="66"/>
      <c r="DI267" s="66"/>
      <c r="DJ267" s="66"/>
      <c r="DK267" s="66"/>
      <c r="DL267" s="66"/>
      <c r="DM267" s="66"/>
      <c r="DN267" s="66"/>
      <c r="DO267" s="66"/>
      <c r="DP267" s="66"/>
      <c r="DQ267" s="66"/>
      <c r="DR267" s="66"/>
      <c r="DS267" s="66"/>
      <c r="DT267" s="66"/>
      <c r="DU267" s="66"/>
      <c r="DV267" s="66"/>
      <c r="DW267" s="66"/>
      <c r="DX267" s="66"/>
      <c r="DY267" s="66"/>
      <c r="DZ267" s="66"/>
      <c r="EA267" s="66"/>
      <c r="EB267" s="66"/>
      <c r="EC267" s="66"/>
      <c r="ED267" s="66"/>
      <c r="EE267" s="66"/>
      <c r="EF267" s="66"/>
      <c r="EG267" s="66"/>
      <c r="EH267" s="66"/>
      <c r="EI267" s="66"/>
      <c r="EJ267" s="66"/>
      <c r="EK267" s="66"/>
      <c r="EL267" s="66"/>
      <c r="EM267" s="66"/>
      <c r="EN267" s="66"/>
      <c r="EO267" s="66"/>
      <c r="EP267" s="66"/>
      <c r="EQ267" s="66"/>
      <c r="ER267" s="66"/>
      <c r="ES267" s="66"/>
      <c r="ET267" s="66"/>
      <c r="EU267" s="66"/>
      <c r="EV267" s="66"/>
      <c r="EW267" s="66"/>
      <c r="EX267" s="66"/>
      <c r="EY267" s="66"/>
      <c r="EZ267" s="66"/>
      <c r="FA267" s="66"/>
      <c r="FB267" s="66"/>
      <c r="FC267" s="66"/>
      <c r="FD267" s="66"/>
      <c r="FE267" s="66"/>
      <c r="FF267" s="66"/>
      <c r="FG267" s="66"/>
      <c r="FH267" s="66"/>
      <c r="FI267" s="66"/>
      <c r="FJ267" s="66"/>
      <c r="FK267" s="66"/>
      <c r="FL267" s="66"/>
      <c r="FM267" s="66"/>
      <c r="FN267" s="66"/>
      <c r="FO267" s="66"/>
      <c r="FP267" s="66"/>
      <c r="FQ267" s="66"/>
      <c r="FR267" s="66"/>
      <c r="FS267" s="66"/>
      <c r="FT267" s="66"/>
      <c r="FU267" s="66"/>
      <c r="FV267" s="66"/>
      <c r="FW267" s="66"/>
      <c r="FX267" s="66"/>
      <c r="FY267" s="66"/>
      <c r="FZ267" s="66"/>
      <c r="GA267" s="66"/>
      <c r="GB267" s="66"/>
      <c r="GC267" s="66"/>
      <c r="GD267" s="66"/>
      <c r="GE267" s="66"/>
      <c r="GF267" s="66"/>
      <c r="GG267" s="66"/>
      <c r="GH267" s="66"/>
      <c r="GI267" s="66"/>
      <c r="GJ267" s="66"/>
      <c r="GK267" s="66"/>
      <c r="GL267" s="66"/>
      <c r="GM267" s="66"/>
      <c r="GN267" s="66"/>
      <c r="GO267" s="66"/>
      <c r="GP267" s="66"/>
      <c r="GQ267" s="66"/>
      <c r="GR267" s="66"/>
      <c r="GS267" s="66"/>
      <c r="GT267" s="66"/>
      <c r="GU267" s="66"/>
      <c r="GV267" s="66"/>
      <c r="GW267" s="66"/>
      <c r="GX267" s="66"/>
      <c r="GY267" s="66"/>
      <c r="GZ267" s="66"/>
      <c r="HA267" s="66"/>
      <c r="HB267" s="66"/>
      <c r="HC267" s="66"/>
      <c r="HD267" s="66"/>
      <c r="HE267" s="66"/>
      <c r="HF267" s="66"/>
      <c r="HG267" s="66"/>
      <c r="HH267" s="66"/>
      <c r="HI267" s="66"/>
      <c r="HJ267" s="66"/>
      <c r="HK267" s="66"/>
      <c r="HL267" s="66"/>
      <c r="HM267" s="66"/>
      <c r="HN267" s="66"/>
      <c r="HO267" s="66"/>
      <c r="HP267" s="66"/>
      <c r="HQ267" s="66"/>
      <c r="HR267" s="66"/>
      <c r="HS267" s="66"/>
      <c r="HT267" s="66"/>
      <c r="HU267" s="66"/>
      <c r="HV267" s="66"/>
      <c r="HW267" s="66"/>
      <c r="HX267" s="66"/>
      <c r="HY267" s="66"/>
      <c r="HZ267" s="66"/>
      <c r="IA267" s="66"/>
      <c r="IB267" s="66"/>
      <c r="IC267" s="66"/>
      <c r="ID267" s="66"/>
      <c r="IE267" s="66"/>
      <c r="IF267" s="66"/>
      <c r="IG267" s="66"/>
      <c r="IH267" s="66"/>
      <c r="II267" s="66"/>
      <c r="IJ267" s="66"/>
      <c r="IK267" s="66"/>
      <c r="IL267" s="66"/>
      <c r="IM267" s="66"/>
      <c r="IN267" s="66"/>
      <c r="IO267" s="66"/>
      <c r="IP267" s="66"/>
      <c r="IQ267" s="66"/>
      <c r="IR267" s="66"/>
      <c r="IS267" s="66"/>
      <c r="IT267" s="66"/>
      <c r="IU267" s="66"/>
    </row>
    <row r="268" spans="1:255" s="43" customFormat="1" ht="13.5" customHeight="1" x14ac:dyDescent="0.3">
      <c r="A268" s="11" t="s">
        <v>119</v>
      </c>
      <c r="B268" s="556" t="s">
        <v>109</v>
      </c>
      <c r="C268" s="64">
        <f>SUM(C269:C275)</f>
        <v>234500</v>
      </c>
      <c r="F268" s="67"/>
      <c r="G268" s="68"/>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c r="AS268" s="66"/>
      <c r="AT268" s="66"/>
      <c r="AU268" s="66"/>
      <c r="AV268" s="66"/>
      <c r="AW268" s="66"/>
      <c r="AX268" s="66"/>
      <c r="AY268" s="66"/>
      <c r="AZ268" s="66"/>
      <c r="BA268" s="66"/>
      <c r="BB268" s="66"/>
      <c r="BC268" s="66"/>
      <c r="BD268" s="66"/>
      <c r="BE268" s="66"/>
      <c r="BF268" s="66"/>
      <c r="BG268" s="66"/>
      <c r="BH268" s="66"/>
      <c r="BI268" s="66"/>
      <c r="BJ268" s="66"/>
      <c r="BK268" s="66"/>
      <c r="BL268" s="66"/>
      <c r="BM268" s="66"/>
      <c r="BN268" s="66"/>
      <c r="BO268" s="66"/>
      <c r="BP268" s="66"/>
      <c r="BQ268" s="66"/>
      <c r="BR268" s="66"/>
      <c r="BS268" s="66"/>
      <c r="BT268" s="66"/>
      <c r="BU268" s="66"/>
      <c r="BV268" s="66"/>
      <c r="BW268" s="66"/>
      <c r="BX268" s="66"/>
      <c r="BY268" s="66"/>
      <c r="BZ268" s="66"/>
      <c r="CA268" s="66"/>
      <c r="CB268" s="66"/>
      <c r="CC268" s="66"/>
      <c r="CD268" s="66"/>
      <c r="CE268" s="66"/>
      <c r="CF268" s="66"/>
      <c r="CG268" s="66"/>
      <c r="CH268" s="66"/>
      <c r="CI268" s="66"/>
      <c r="CJ268" s="66"/>
      <c r="CK268" s="66"/>
      <c r="CL268" s="66"/>
      <c r="CM268" s="66"/>
      <c r="CN268" s="66"/>
      <c r="CO268" s="66"/>
      <c r="CP268" s="66"/>
      <c r="CQ268" s="66"/>
      <c r="CR268" s="66"/>
      <c r="CS268" s="66"/>
      <c r="CT268" s="66"/>
      <c r="CU268" s="66"/>
      <c r="CV268" s="66"/>
      <c r="CW268" s="66"/>
      <c r="CX268" s="66"/>
      <c r="CY268" s="66"/>
      <c r="CZ268" s="66"/>
      <c r="DA268" s="66"/>
      <c r="DB268" s="66"/>
      <c r="DC268" s="66"/>
      <c r="DD268" s="66"/>
      <c r="DE268" s="66"/>
      <c r="DF268" s="66"/>
      <c r="DG268" s="66"/>
      <c r="DH268" s="66"/>
      <c r="DI268" s="66"/>
      <c r="DJ268" s="66"/>
      <c r="DK268" s="66"/>
      <c r="DL268" s="66"/>
      <c r="DM268" s="66"/>
      <c r="DN268" s="66"/>
      <c r="DO268" s="66"/>
      <c r="DP268" s="66"/>
      <c r="DQ268" s="66"/>
      <c r="DR268" s="66"/>
      <c r="DS268" s="66"/>
      <c r="DT268" s="66"/>
      <c r="DU268" s="66"/>
      <c r="DV268" s="66"/>
      <c r="DW268" s="66"/>
      <c r="DX268" s="66"/>
      <c r="DY268" s="66"/>
      <c r="DZ268" s="66"/>
      <c r="EA268" s="66"/>
      <c r="EB268" s="66"/>
      <c r="EC268" s="66"/>
      <c r="ED268" s="66"/>
      <c r="EE268" s="66"/>
      <c r="EF268" s="66"/>
      <c r="EG268" s="66"/>
      <c r="EH268" s="66"/>
      <c r="EI268" s="66"/>
      <c r="EJ268" s="66"/>
      <c r="EK268" s="66"/>
      <c r="EL268" s="66"/>
      <c r="EM268" s="66"/>
      <c r="EN268" s="66"/>
      <c r="EO268" s="66"/>
      <c r="EP268" s="66"/>
      <c r="EQ268" s="66"/>
      <c r="ER268" s="66"/>
      <c r="ES268" s="66"/>
      <c r="ET268" s="66"/>
      <c r="EU268" s="66"/>
      <c r="EV268" s="66"/>
      <c r="EW268" s="66"/>
      <c r="EX268" s="66"/>
      <c r="EY268" s="66"/>
      <c r="EZ268" s="66"/>
      <c r="FA268" s="66"/>
      <c r="FB268" s="66"/>
      <c r="FC268" s="66"/>
      <c r="FD268" s="66"/>
      <c r="FE268" s="66"/>
      <c r="FF268" s="66"/>
      <c r="FG268" s="66"/>
      <c r="FH268" s="66"/>
      <c r="FI268" s="66"/>
      <c r="FJ268" s="66"/>
      <c r="FK268" s="66"/>
      <c r="FL268" s="66"/>
      <c r="FM268" s="66"/>
      <c r="FN268" s="66"/>
      <c r="FO268" s="66"/>
      <c r="FP268" s="66"/>
      <c r="FQ268" s="66"/>
      <c r="FR268" s="66"/>
      <c r="FS268" s="66"/>
      <c r="FT268" s="66"/>
      <c r="FU268" s="66"/>
      <c r="FV268" s="66"/>
      <c r="FW268" s="66"/>
      <c r="FX268" s="66"/>
      <c r="FY268" s="66"/>
      <c r="FZ268" s="66"/>
      <c r="GA268" s="66"/>
      <c r="GB268" s="66"/>
      <c r="GC268" s="66"/>
      <c r="GD268" s="66"/>
      <c r="GE268" s="66"/>
      <c r="GF268" s="66"/>
      <c r="GG268" s="66"/>
      <c r="GH268" s="66"/>
      <c r="GI268" s="66"/>
      <c r="GJ268" s="66"/>
      <c r="GK268" s="66"/>
      <c r="GL268" s="66"/>
      <c r="GM268" s="66"/>
      <c r="GN268" s="66"/>
      <c r="GO268" s="66"/>
      <c r="GP268" s="66"/>
      <c r="GQ268" s="66"/>
      <c r="GR268" s="66"/>
      <c r="GS268" s="66"/>
      <c r="GT268" s="66"/>
      <c r="GU268" s="66"/>
      <c r="GV268" s="66"/>
      <c r="GW268" s="66"/>
      <c r="GX268" s="66"/>
      <c r="GY268" s="66"/>
      <c r="GZ268" s="66"/>
      <c r="HA268" s="66"/>
      <c r="HB268" s="66"/>
      <c r="HC268" s="66"/>
      <c r="HD268" s="66"/>
      <c r="HE268" s="66"/>
      <c r="HF268" s="66"/>
      <c r="HG268" s="66"/>
      <c r="HH268" s="66"/>
      <c r="HI268" s="66"/>
      <c r="HJ268" s="66"/>
      <c r="HK268" s="66"/>
      <c r="HL268" s="66"/>
      <c r="HM268" s="66"/>
      <c r="HN268" s="66"/>
      <c r="HO268" s="66"/>
      <c r="HP268" s="66"/>
      <c r="HQ268" s="66"/>
      <c r="HR268" s="66"/>
      <c r="HS268" s="66"/>
      <c r="HT268" s="66"/>
      <c r="HU268" s="66"/>
      <c r="HV268" s="66"/>
      <c r="HW268" s="66"/>
      <c r="HX268" s="66"/>
      <c r="HY268" s="66"/>
      <c r="HZ268" s="66"/>
      <c r="IA268" s="66"/>
      <c r="IB268" s="66"/>
      <c r="IC268" s="66"/>
      <c r="ID268" s="66"/>
      <c r="IE268" s="66"/>
      <c r="IF268" s="66"/>
      <c r="IG268" s="66"/>
      <c r="IH268" s="66"/>
      <c r="II268" s="66"/>
      <c r="IJ268" s="66"/>
      <c r="IK268" s="66"/>
      <c r="IL268" s="66"/>
      <c r="IM268" s="66"/>
      <c r="IN268" s="66"/>
      <c r="IO268" s="66"/>
      <c r="IP268" s="66"/>
      <c r="IQ268" s="66"/>
      <c r="IR268" s="66"/>
      <c r="IS268" s="66"/>
      <c r="IT268" s="66"/>
      <c r="IU268" s="66"/>
    </row>
    <row r="269" spans="1:255" s="43" customFormat="1" ht="13.5" customHeight="1" x14ac:dyDescent="0.3">
      <c r="A269" s="12" t="s">
        <v>190</v>
      </c>
      <c r="B269" s="43" t="s">
        <v>189</v>
      </c>
      <c r="C269" s="60">
        <v>20000</v>
      </c>
      <c r="F269" s="67"/>
      <c r="G269" s="68"/>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c r="AV269" s="66"/>
      <c r="AW269" s="66"/>
      <c r="AX269" s="66"/>
      <c r="AY269" s="66"/>
      <c r="AZ269" s="66"/>
      <c r="BA269" s="66"/>
      <c r="BB269" s="66"/>
      <c r="BC269" s="66"/>
      <c r="BD269" s="66"/>
      <c r="BE269" s="66"/>
      <c r="BF269" s="66"/>
      <c r="BG269" s="66"/>
      <c r="BH269" s="66"/>
      <c r="BI269" s="66"/>
      <c r="BJ269" s="66"/>
      <c r="BK269" s="66"/>
      <c r="BL269" s="66"/>
      <c r="BM269" s="66"/>
      <c r="BN269" s="66"/>
      <c r="BO269" s="66"/>
      <c r="BP269" s="66"/>
      <c r="BQ269" s="66"/>
      <c r="BR269" s="66"/>
      <c r="BS269" s="66"/>
      <c r="BT269" s="66"/>
      <c r="BU269" s="66"/>
      <c r="BV269" s="66"/>
      <c r="BW269" s="66"/>
      <c r="BX269" s="66"/>
      <c r="BY269" s="66"/>
      <c r="BZ269" s="66"/>
      <c r="CA269" s="66"/>
      <c r="CB269" s="66"/>
      <c r="CC269" s="66"/>
      <c r="CD269" s="66"/>
      <c r="CE269" s="66"/>
      <c r="CF269" s="66"/>
      <c r="CG269" s="66"/>
      <c r="CH269" s="66"/>
      <c r="CI269" s="66"/>
      <c r="CJ269" s="66"/>
      <c r="CK269" s="66"/>
      <c r="CL269" s="66"/>
      <c r="CM269" s="66"/>
      <c r="CN269" s="66"/>
      <c r="CO269" s="66"/>
      <c r="CP269" s="66"/>
      <c r="CQ269" s="66"/>
      <c r="CR269" s="66"/>
      <c r="CS269" s="66"/>
      <c r="CT269" s="66"/>
      <c r="CU269" s="66"/>
      <c r="CV269" s="66"/>
      <c r="CW269" s="66"/>
      <c r="CX269" s="66"/>
      <c r="CY269" s="66"/>
      <c r="CZ269" s="66"/>
      <c r="DA269" s="66"/>
      <c r="DB269" s="66"/>
      <c r="DC269" s="66"/>
      <c r="DD269" s="66"/>
      <c r="DE269" s="66"/>
      <c r="DF269" s="66"/>
      <c r="DG269" s="66"/>
      <c r="DH269" s="66"/>
      <c r="DI269" s="66"/>
      <c r="DJ269" s="66"/>
      <c r="DK269" s="66"/>
      <c r="DL269" s="66"/>
      <c r="DM269" s="66"/>
      <c r="DN269" s="66"/>
      <c r="DO269" s="66"/>
      <c r="DP269" s="66"/>
      <c r="DQ269" s="66"/>
      <c r="DR269" s="66"/>
      <c r="DS269" s="66"/>
      <c r="DT269" s="66"/>
      <c r="DU269" s="66"/>
      <c r="DV269" s="66"/>
      <c r="DW269" s="66"/>
      <c r="DX269" s="66"/>
      <c r="DY269" s="66"/>
      <c r="DZ269" s="66"/>
      <c r="EA269" s="66"/>
      <c r="EB269" s="66"/>
      <c r="EC269" s="66"/>
      <c r="ED269" s="66"/>
      <c r="EE269" s="66"/>
      <c r="EF269" s="66"/>
      <c r="EG269" s="66"/>
      <c r="EH269" s="66"/>
      <c r="EI269" s="66"/>
      <c r="EJ269" s="66"/>
      <c r="EK269" s="66"/>
      <c r="EL269" s="66"/>
      <c r="EM269" s="66"/>
      <c r="EN269" s="66"/>
      <c r="EO269" s="66"/>
      <c r="EP269" s="66"/>
      <c r="EQ269" s="66"/>
      <c r="ER269" s="66"/>
      <c r="ES269" s="66"/>
      <c r="ET269" s="66"/>
      <c r="EU269" s="66"/>
      <c r="EV269" s="66"/>
      <c r="EW269" s="66"/>
      <c r="EX269" s="66"/>
      <c r="EY269" s="66"/>
      <c r="EZ269" s="66"/>
      <c r="FA269" s="66"/>
      <c r="FB269" s="66"/>
      <c r="FC269" s="66"/>
      <c r="FD269" s="66"/>
      <c r="FE269" s="66"/>
      <c r="FF269" s="66"/>
      <c r="FG269" s="66"/>
      <c r="FH269" s="66"/>
      <c r="FI269" s="66"/>
      <c r="FJ269" s="66"/>
      <c r="FK269" s="66"/>
      <c r="FL269" s="66"/>
      <c r="FM269" s="66"/>
      <c r="FN269" s="66"/>
      <c r="FO269" s="66"/>
      <c r="FP269" s="66"/>
      <c r="FQ269" s="66"/>
      <c r="FR269" s="66"/>
      <c r="FS269" s="66"/>
      <c r="FT269" s="66"/>
      <c r="FU269" s="66"/>
      <c r="FV269" s="66"/>
      <c r="FW269" s="66"/>
      <c r="FX269" s="66"/>
      <c r="FY269" s="66"/>
      <c r="FZ269" s="66"/>
      <c r="GA269" s="66"/>
      <c r="GB269" s="66"/>
      <c r="GC269" s="66"/>
      <c r="GD269" s="66"/>
      <c r="GE269" s="66"/>
      <c r="GF269" s="66"/>
      <c r="GG269" s="66"/>
      <c r="GH269" s="66"/>
      <c r="GI269" s="66"/>
      <c r="GJ269" s="66"/>
      <c r="GK269" s="66"/>
      <c r="GL269" s="66"/>
      <c r="GM269" s="66"/>
      <c r="GN269" s="66"/>
      <c r="GO269" s="66"/>
      <c r="GP269" s="66"/>
      <c r="GQ269" s="66"/>
      <c r="GR269" s="66"/>
      <c r="GS269" s="66"/>
      <c r="GT269" s="66"/>
      <c r="GU269" s="66"/>
      <c r="GV269" s="66"/>
      <c r="GW269" s="66"/>
      <c r="GX269" s="66"/>
      <c r="GY269" s="66"/>
      <c r="GZ269" s="66"/>
      <c r="HA269" s="66"/>
      <c r="HB269" s="66"/>
      <c r="HC269" s="66"/>
      <c r="HD269" s="66"/>
      <c r="HE269" s="66"/>
      <c r="HF269" s="66"/>
      <c r="HG269" s="66"/>
      <c r="HH269" s="66"/>
      <c r="HI269" s="66"/>
      <c r="HJ269" s="66"/>
      <c r="HK269" s="66"/>
      <c r="HL269" s="66"/>
      <c r="HM269" s="66"/>
      <c r="HN269" s="66"/>
      <c r="HO269" s="66"/>
      <c r="HP269" s="66"/>
      <c r="HQ269" s="66"/>
      <c r="HR269" s="66"/>
      <c r="HS269" s="66"/>
      <c r="HT269" s="66"/>
      <c r="HU269" s="66"/>
      <c r="HV269" s="66"/>
      <c r="HW269" s="66"/>
      <c r="HX269" s="66"/>
      <c r="HY269" s="66"/>
      <c r="HZ269" s="66"/>
      <c r="IA269" s="66"/>
      <c r="IB269" s="66"/>
      <c r="IC269" s="66"/>
      <c r="ID269" s="66"/>
      <c r="IE269" s="66"/>
      <c r="IF269" s="66"/>
      <c r="IG269" s="66"/>
      <c r="IH269" s="66"/>
      <c r="II269" s="66"/>
      <c r="IJ269" s="66"/>
      <c r="IK269" s="66"/>
      <c r="IL269" s="66"/>
      <c r="IM269" s="66"/>
      <c r="IN269" s="66"/>
      <c r="IO269" s="66"/>
      <c r="IP269" s="66"/>
      <c r="IQ269" s="66"/>
      <c r="IR269" s="66"/>
      <c r="IS269" s="66"/>
      <c r="IT269" s="66"/>
      <c r="IU269" s="66"/>
    </row>
    <row r="270" spans="1:255" s="43" customFormat="1" ht="13.5" customHeight="1" x14ac:dyDescent="0.3">
      <c r="A270" s="12" t="s">
        <v>188</v>
      </c>
      <c r="B270" s="43" t="s">
        <v>187</v>
      </c>
      <c r="C270" s="60">
        <v>25000</v>
      </c>
      <c r="F270" s="67"/>
      <c r="G270" s="68"/>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c r="AQ270" s="66"/>
      <c r="AR270" s="66"/>
      <c r="AS270" s="66"/>
      <c r="AT270" s="66"/>
      <c r="AU270" s="66"/>
      <c r="AV270" s="66"/>
      <c r="AW270" s="66"/>
      <c r="AX270" s="66"/>
      <c r="AY270" s="66"/>
      <c r="AZ270" s="66"/>
      <c r="BA270" s="66"/>
      <c r="BB270" s="66"/>
      <c r="BC270" s="66"/>
      <c r="BD270" s="66"/>
      <c r="BE270" s="66"/>
      <c r="BF270" s="66"/>
      <c r="BG270" s="66"/>
      <c r="BH270" s="66"/>
      <c r="BI270" s="66"/>
      <c r="BJ270" s="66"/>
      <c r="BK270" s="66"/>
      <c r="BL270" s="66"/>
      <c r="BM270" s="66"/>
      <c r="BN270" s="66"/>
      <c r="BO270" s="66"/>
      <c r="BP270" s="66"/>
      <c r="BQ270" s="66"/>
      <c r="BR270" s="66"/>
      <c r="BS270" s="66"/>
      <c r="BT270" s="66"/>
      <c r="BU270" s="66"/>
      <c r="BV270" s="66"/>
      <c r="BW270" s="66"/>
      <c r="BX270" s="66"/>
      <c r="BY270" s="66"/>
      <c r="BZ270" s="66"/>
      <c r="CA270" s="66"/>
      <c r="CB270" s="66"/>
      <c r="CC270" s="66"/>
      <c r="CD270" s="66"/>
      <c r="CE270" s="66"/>
      <c r="CF270" s="66"/>
      <c r="CG270" s="66"/>
      <c r="CH270" s="66"/>
      <c r="CI270" s="66"/>
      <c r="CJ270" s="66"/>
      <c r="CK270" s="66"/>
      <c r="CL270" s="66"/>
      <c r="CM270" s="66"/>
      <c r="CN270" s="66"/>
      <c r="CO270" s="66"/>
      <c r="CP270" s="66"/>
      <c r="CQ270" s="66"/>
      <c r="CR270" s="66"/>
      <c r="CS270" s="66"/>
      <c r="CT270" s="66"/>
      <c r="CU270" s="66"/>
      <c r="CV270" s="66"/>
      <c r="CW270" s="66"/>
      <c r="CX270" s="66"/>
      <c r="CY270" s="66"/>
      <c r="CZ270" s="66"/>
      <c r="DA270" s="66"/>
      <c r="DB270" s="66"/>
      <c r="DC270" s="66"/>
      <c r="DD270" s="66"/>
      <c r="DE270" s="66"/>
      <c r="DF270" s="66"/>
      <c r="DG270" s="66"/>
      <c r="DH270" s="66"/>
      <c r="DI270" s="66"/>
      <c r="DJ270" s="66"/>
      <c r="DK270" s="66"/>
      <c r="DL270" s="66"/>
      <c r="DM270" s="66"/>
      <c r="DN270" s="66"/>
      <c r="DO270" s="66"/>
      <c r="DP270" s="66"/>
      <c r="DQ270" s="66"/>
      <c r="DR270" s="66"/>
      <c r="DS270" s="66"/>
      <c r="DT270" s="66"/>
      <c r="DU270" s="66"/>
      <c r="DV270" s="66"/>
      <c r="DW270" s="66"/>
      <c r="DX270" s="66"/>
      <c r="DY270" s="66"/>
      <c r="DZ270" s="66"/>
      <c r="EA270" s="66"/>
      <c r="EB270" s="66"/>
      <c r="EC270" s="66"/>
      <c r="ED270" s="66"/>
      <c r="EE270" s="66"/>
      <c r="EF270" s="66"/>
      <c r="EG270" s="66"/>
      <c r="EH270" s="66"/>
      <c r="EI270" s="66"/>
      <c r="EJ270" s="66"/>
      <c r="EK270" s="66"/>
      <c r="EL270" s="66"/>
      <c r="EM270" s="66"/>
      <c r="EN270" s="66"/>
      <c r="EO270" s="66"/>
      <c r="EP270" s="66"/>
      <c r="EQ270" s="66"/>
      <c r="ER270" s="66"/>
      <c r="ES270" s="66"/>
      <c r="ET270" s="66"/>
      <c r="EU270" s="66"/>
      <c r="EV270" s="66"/>
      <c r="EW270" s="66"/>
      <c r="EX270" s="66"/>
      <c r="EY270" s="66"/>
      <c r="EZ270" s="66"/>
      <c r="FA270" s="66"/>
      <c r="FB270" s="66"/>
      <c r="FC270" s="66"/>
      <c r="FD270" s="66"/>
      <c r="FE270" s="66"/>
      <c r="FF270" s="66"/>
      <c r="FG270" s="66"/>
      <c r="FH270" s="66"/>
      <c r="FI270" s="66"/>
      <c r="FJ270" s="66"/>
      <c r="FK270" s="66"/>
      <c r="FL270" s="66"/>
      <c r="FM270" s="66"/>
      <c r="FN270" s="66"/>
      <c r="FO270" s="66"/>
      <c r="FP270" s="66"/>
      <c r="FQ270" s="66"/>
      <c r="FR270" s="66"/>
      <c r="FS270" s="66"/>
      <c r="FT270" s="66"/>
      <c r="FU270" s="66"/>
      <c r="FV270" s="66"/>
      <c r="FW270" s="66"/>
      <c r="FX270" s="66"/>
      <c r="FY270" s="66"/>
      <c r="FZ270" s="66"/>
      <c r="GA270" s="66"/>
      <c r="GB270" s="66"/>
      <c r="GC270" s="66"/>
      <c r="GD270" s="66"/>
      <c r="GE270" s="66"/>
      <c r="GF270" s="66"/>
      <c r="GG270" s="66"/>
      <c r="GH270" s="66"/>
      <c r="GI270" s="66"/>
      <c r="GJ270" s="66"/>
      <c r="GK270" s="66"/>
      <c r="GL270" s="66"/>
      <c r="GM270" s="66"/>
      <c r="GN270" s="66"/>
      <c r="GO270" s="66"/>
      <c r="GP270" s="66"/>
      <c r="GQ270" s="66"/>
      <c r="GR270" s="66"/>
      <c r="GS270" s="66"/>
      <c r="GT270" s="66"/>
      <c r="GU270" s="66"/>
      <c r="GV270" s="66"/>
      <c r="GW270" s="66"/>
      <c r="GX270" s="66"/>
      <c r="GY270" s="66"/>
      <c r="GZ270" s="66"/>
      <c r="HA270" s="66"/>
      <c r="HB270" s="66"/>
      <c r="HC270" s="66"/>
      <c r="HD270" s="66"/>
      <c r="HE270" s="66"/>
      <c r="HF270" s="66"/>
      <c r="HG270" s="66"/>
      <c r="HH270" s="66"/>
      <c r="HI270" s="66"/>
      <c r="HJ270" s="66"/>
      <c r="HK270" s="66"/>
      <c r="HL270" s="66"/>
      <c r="HM270" s="66"/>
      <c r="HN270" s="66"/>
      <c r="HO270" s="66"/>
      <c r="HP270" s="66"/>
      <c r="HQ270" s="66"/>
      <c r="HR270" s="66"/>
      <c r="HS270" s="66"/>
      <c r="HT270" s="66"/>
      <c r="HU270" s="66"/>
      <c r="HV270" s="66"/>
      <c r="HW270" s="66"/>
      <c r="HX270" s="66"/>
      <c r="HY270" s="66"/>
      <c r="HZ270" s="66"/>
      <c r="IA270" s="66"/>
      <c r="IB270" s="66"/>
      <c r="IC270" s="66"/>
      <c r="ID270" s="66"/>
      <c r="IE270" s="66"/>
      <c r="IF270" s="66"/>
      <c r="IG270" s="66"/>
      <c r="IH270" s="66"/>
      <c r="II270" s="66"/>
      <c r="IJ270" s="66"/>
      <c r="IK270" s="66"/>
      <c r="IL270" s="66"/>
      <c r="IM270" s="66"/>
      <c r="IN270" s="66"/>
      <c r="IO270" s="66"/>
      <c r="IP270" s="66"/>
      <c r="IQ270" s="66"/>
      <c r="IR270" s="66"/>
      <c r="IS270" s="66"/>
      <c r="IT270" s="66"/>
      <c r="IU270" s="66"/>
    </row>
    <row r="271" spans="1:255" s="43" customFormat="1" ht="13.5" customHeight="1" x14ac:dyDescent="0.3">
      <c r="A271" s="12" t="s">
        <v>186</v>
      </c>
      <c r="B271" s="43" t="s">
        <v>185</v>
      </c>
      <c r="C271" s="60">
        <v>36500</v>
      </c>
      <c r="F271" s="67"/>
      <c r="G271" s="68"/>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c r="AQ271" s="66"/>
      <c r="AR271" s="66"/>
      <c r="AS271" s="66"/>
      <c r="AT271" s="66"/>
      <c r="AU271" s="66"/>
      <c r="AV271" s="66"/>
      <c r="AW271" s="66"/>
      <c r="AX271" s="66"/>
      <c r="AY271" s="66"/>
      <c r="AZ271" s="66"/>
      <c r="BA271" s="66"/>
      <c r="BB271" s="66"/>
      <c r="BC271" s="66"/>
      <c r="BD271" s="66"/>
      <c r="BE271" s="66"/>
      <c r="BF271" s="66"/>
      <c r="BG271" s="66"/>
      <c r="BH271" s="66"/>
      <c r="BI271" s="66"/>
      <c r="BJ271" s="66"/>
      <c r="BK271" s="66"/>
      <c r="BL271" s="66"/>
      <c r="BM271" s="66"/>
      <c r="BN271" s="66"/>
      <c r="BO271" s="66"/>
      <c r="BP271" s="66"/>
      <c r="BQ271" s="66"/>
      <c r="BR271" s="66"/>
      <c r="BS271" s="66"/>
      <c r="BT271" s="66"/>
      <c r="BU271" s="66"/>
      <c r="BV271" s="66"/>
      <c r="BW271" s="66"/>
      <c r="BX271" s="66"/>
      <c r="BY271" s="66"/>
      <c r="BZ271" s="66"/>
      <c r="CA271" s="66"/>
      <c r="CB271" s="66"/>
      <c r="CC271" s="66"/>
      <c r="CD271" s="66"/>
      <c r="CE271" s="66"/>
      <c r="CF271" s="66"/>
      <c r="CG271" s="66"/>
      <c r="CH271" s="66"/>
      <c r="CI271" s="66"/>
      <c r="CJ271" s="66"/>
      <c r="CK271" s="66"/>
      <c r="CL271" s="66"/>
      <c r="CM271" s="66"/>
      <c r="CN271" s="66"/>
      <c r="CO271" s="66"/>
      <c r="CP271" s="66"/>
      <c r="CQ271" s="66"/>
      <c r="CR271" s="66"/>
      <c r="CS271" s="66"/>
      <c r="CT271" s="66"/>
      <c r="CU271" s="66"/>
      <c r="CV271" s="66"/>
      <c r="CW271" s="66"/>
      <c r="CX271" s="66"/>
      <c r="CY271" s="66"/>
      <c r="CZ271" s="66"/>
      <c r="DA271" s="66"/>
      <c r="DB271" s="66"/>
      <c r="DC271" s="66"/>
      <c r="DD271" s="66"/>
      <c r="DE271" s="66"/>
      <c r="DF271" s="66"/>
      <c r="DG271" s="66"/>
      <c r="DH271" s="66"/>
      <c r="DI271" s="66"/>
      <c r="DJ271" s="66"/>
      <c r="DK271" s="66"/>
      <c r="DL271" s="66"/>
      <c r="DM271" s="66"/>
      <c r="DN271" s="66"/>
      <c r="DO271" s="66"/>
      <c r="DP271" s="66"/>
      <c r="DQ271" s="66"/>
      <c r="DR271" s="66"/>
      <c r="DS271" s="66"/>
      <c r="DT271" s="66"/>
      <c r="DU271" s="66"/>
      <c r="DV271" s="66"/>
      <c r="DW271" s="66"/>
      <c r="DX271" s="66"/>
      <c r="DY271" s="66"/>
      <c r="DZ271" s="66"/>
      <c r="EA271" s="66"/>
      <c r="EB271" s="66"/>
      <c r="EC271" s="66"/>
      <c r="ED271" s="66"/>
      <c r="EE271" s="66"/>
      <c r="EF271" s="66"/>
      <c r="EG271" s="66"/>
      <c r="EH271" s="66"/>
      <c r="EI271" s="66"/>
      <c r="EJ271" s="66"/>
      <c r="EK271" s="66"/>
      <c r="EL271" s="66"/>
      <c r="EM271" s="66"/>
      <c r="EN271" s="66"/>
      <c r="EO271" s="66"/>
      <c r="EP271" s="66"/>
      <c r="EQ271" s="66"/>
      <c r="ER271" s="66"/>
      <c r="ES271" s="66"/>
      <c r="ET271" s="66"/>
      <c r="EU271" s="66"/>
      <c r="EV271" s="66"/>
      <c r="EW271" s="66"/>
      <c r="EX271" s="66"/>
      <c r="EY271" s="66"/>
      <c r="EZ271" s="66"/>
      <c r="FA271" s="66"/>
      <c r="FB271" s="66"/>
      <c r="FC271" s="66"/>
      <c r="FD271" s="66"/>
      <c r="FE271" s="66"/>
      <c r="FF271" s="66"/>
      <c r="FG271" s="66"/>
      <c r="FH271" s="66"/>
      <c r="FI271" s="66"/>
      <c r="FJ271" s="66"/>
      <c r="FK271" s="66"/>
      <c r="FL271" s="66"/>
      <c r="FM271" s="66"/>
      <c r="FN271" s="66"/>
      <c r="FO271" s="66"/>
      <c r="FP271" s="66"/>
      <c r="FQ271" s="66"/>
      <c r="FR271" s="66"/>
      <c r="FS271" s="66"/>
      <c r="FT271" s="66"/>
      <c r="FU271" s="66"/>
      <c r="FV271" s="66"/>
      <c r="FW271" s="66"/>
      <c r="FX271" s="66"/>
      <c r="FY271" s="66"/>
      <c r="FZ271" s="66"/>
      <c r="GA271" s="66"/>
      <c r="GB271" s="66"/>
      <c r="GC271" s="66"/>
      <c r="GD271" s="66"/>
      <c r="GE271" s="66"/>
      <c r="GF271" s="66"/>
      <c r="GG271" s="66"/>
      <c r="GH271" s="66"/>
      <c r="GI271" s="66"/>
      <c r="GJ271" s="66"/>
      <c r="GK271" s="66"/>
      <c r="GL271" s="66"/>
      <c r="GM271" s="66"/>
      <c r="GN271" s="66"/>
      <c r="GO271" s="66"/>
      <c r="GP271" s="66"/>
      <c r="GQ271" s="66"/>
      <c r="GR271" s="66"/>
      <c r="GS271" s="66"/>
      <c r="GT271" s="66"/>
      <c r="GU271" s="66"/>
      <c r="GV271" s="66"/>
      <c r="GW271" s="66"/>
      <c r="GX271" s="66"/>
      <c r="GY271" s="66"/>
      <c r="GZ271" s="66"/>
      <c r="HA271" s="66"/>
      <c r="HB271" s="66"/>
      <c r="HC271" s="66"/>
      <c r="HD271" s="66"/>
      <c r="HE271" s="66"/>
      <c r="HF271" s="66"/>
      <c r="HG271" s="66"/>
      <c r="HH271" s="66"/>
      <c r="HI271" s="66"/>
      <c r="HJ271" s="66"/>
      <c r="HK271" s="66"/>
      <c r="HL271" s="66"/>
      <c r="HM271" s="66"/>
      <c r="HN271" s="66"/>
      <c r="HO271" s="66"/>
      <c r="HP271" s="66"/>
      <c r="HQ271" s="66"/>
      <c r="HR271" s="66"/>
      <c r="HS271" s="66"/>
      <c r="HT271" s="66"/>
      <c r="HU271" s="66"/>
      <c r="HV271" s="66"/>
      <c r="HW271" s="66"/>
      <c r="HX271" s="66"/>
      <c r="HY271" s="66"/>
      <c r="HZ271" s="66"/>
      <c r="IA271" s="66"/>
      <c r="IB271" s="66"/>
      <c r="IC271" s="66"/>
      <c r="ID271" s="66"/>
      <c r="IE271" s="66"/>
      <c r="IF271" s="66"/>
      <c r="IG271" s="66"/>
      <c r="IH271" s="66"/>
      <c r="II271" s="66"/>
      <c r="IJ271" s="66"/>
      <c r="IK271" s="66"/>
      <c r="IL271" s="66"/>
      <c r="IM271" s="66"/>
      <c r="IN271" s="66"/>
      <c r="IO271" s="66"/>
      <c r="IP271" s="66"/>
      <c r="IQ271" s="66"/>
      <c r="IR271" s="66"/>
      <c r="IS271" s="66"/>
      <c r="IT271" s="66"/>
      <c r="IU271" s="66"/>
    </row>
    <row r="272" spans="1:255" s="43" customFormat="1" ht="13.5" customHeight="1" x14ac:dyDescent="0.3">
      <c r="A272" s="12" t="s">
        <v>697</v>
      </c>
      <c r="B272" s="43" t="s">
        <v>696</v>
      </c>
      <c r="C272" s="60">
        <v>38000</v>
      </c>
      <c r="F272" s="67"/>
      <c r="G272" s="68"/>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c r="AQ272" s="66"/>
      <c r="AR272" s="66"/>
      <c r="AS272" s="66"/>
      <c r="AT272" s="66"/>
      <c r="AU272" s="66"/>
      <c r="AV272" s="66"/>
      <c r="AW272" s="66"/>
      <c r="AX272" s="66"/>
      <c r="AY272" s="66"/>
      <c r="AZ272" s="66"/>
      <c r="BA272" s="66"/>
      <c r="BB272" s="66"/>
      <c r="BC272" s="66"/>
      <c r="BD272" s="66"/>
      <c r="BE272" s="66"/>
      <c r="BF272" s="66"/>
      <c r="BG272" s="66"/>
      <c r="BH272" s="66"/>
      <c r="BI272" s="66"/>
      <c r="BJ272" s="66"/>
      <c r="BK272" s="66"/>
      <c r="BL272" s="66"/>
      <c r="BM272" s="66"/>
      <c r="BN272" s="66"/>
      <c r="BO272" s="66"/>
      <c r="BP272" s="66"/>
      <c r="BQ272" s="66"/>
      <c r="BR272" s="66"/>
      <c r="BS272" s="66"/>
      <c r="BT272" s="66"/>
      <c r="BU272" s="66"/>
      <c r="BV272" s="66"/>
      <c r="BW272" s="66"/>
      <c r="BX272" s="66"/>
      <c r="BY272" s="66"/>
      <c r="BZ272" s="66"/>
      <c r="CA272" s="66"/>
      <c r="CB272" s="66"/>
      <c r="CC272" s="66"/>
      <c r="CD272" s="66"/>
      <c r="CE272" s="66"/>
      <c r="CF272" s="66"/>
      <c r="CG272" s="66"/>
      <c r="CH272" s="66"/>
      <c r="CI272" s="66"/>
      <c r="CJ272" s="66"/>
      <c r="CK272" s="66"/>
      <c r="CL272" s="66"/>
      <c r="CM272" s="66"/>
      <c r="CN272" s="66"/>
      <c r="CO272" s="66"/>
      <c r="CP272" s="66"/>
      <c r="CQ272" s="66"/>
      <c r="CR272" s="66"/>
      <c r="CS272" s="66"/>
      <c r="CT272" s="66"/>
      <c r="CU272" s="66"/>
      <c r="CV272" s="66"/>
      <c r="CW272" s="66"/>
      <c r="CX272" s="66"/>
      <c r="CY272" s="66"/>
      <c r="CZ272" s="66"/>
      <c r="DA272" s="66"/>
      <c r="DB272" s="66"/>
      <c r="DC272" s="66"/>
      <c r="DD272" s="66"/>
      <c r="DE272" s="66"/>
      <c r="DF272" s="66"/>
      <c r="DG272" s="66"/>
      <c r="DH272" s="66"/>
      <c r="DI272" s="66"/>
      <c r="DJ272" s="66"/>
      <c r="DK272" s="66"/>
      <c r="DL272" s="66"/>
      <c r="DM272" s="66"/>
      <c r="DN272" s="66"/>
      <c r="DO272" s="66"/>
      <c r="DP272" s="66"/>
      <c r="DQ272" s="66"/>
      <c r="DR272" s="66"/>
      <c r="DS272" s="66"/>
      <c r="DT272" s="66"/>
      <c r="DU272" s="66"/>
      <c r="DV272" s="66"/>
      <c r="DW272" s="66"/>
      <c r="DX272" s="66"/>
      <c r="DY272" s="66"/>
      <c r="DZ272" s="66"/>
      <c r="EA272" s="66"/>
      <c r="EB272" s="66"/>
      <c r="EC272" s="66"/>
      <c r="ED272" s="66"/>
      <c r="EE272" s="66"/>
      <c r="EF272" s="66"/>
      <c r="EG272" s="66"/>
      <c r="EH272" s="66"/>
      <c r="EI272" s="66"/>
      <c r="EJ272" s="66"/>
      <c r="EK272" s="66"/>
      <c r="EL272" s="66"/>
      <c r="EM272" s="66"/>
      <c r="EN272" s="66"/>
      <c r="EO272" s="66"/>
      <c r="EP272" s="66"/>
      <c r="EQ272" s="66"/>
      <c r="ER272" s="66"/>
      <c r="ES272" s="66"/>
      <c r="ET272" s="66"/>
      <c r="EU272" s="66"/>
      <c r="EV272" s="66"/>
      <c r="EW272" s="66"/>
      <c r="EX272" s="66"/>
      <c r="EY272" s="66"/>
      <c r="EZ272" s="66"/>
      <c r="FA272" s="66"/>
      <c r="FB272" s="66"/>
      <c r="FC272" s="66"/>
      <c r="FD272" s="66"/>
      <c r="FE272" s="66"/>
      <c r="FF272" s="66"/>
      <c r="FG272" s="66"/>
      <c r="FH272" s="66"/>
      <c r="FI272" s="66"/>
      <c r="FJ272" s="66"/>
      <c r="FK272" s="66"/>
      <c r="FL272" s="66"/>
      <c r="FM272" s="66"/>
      <c r="FN272" s="66"/>
      <c r="FO272" s="66"/>
      <c r="FP272" s="66"/>
      <c r="FQ272" s="66"/>
      <c r="FR272" s="66"/>
      <c r="FS272" s="66"/>
      <c r="FT272" s="66"/>
      <c r="FU272" s="66"/>
      <c r="FV272" s="66"/>
      <c r="FW272" s="66"/>
      <c r="FX272" s="66"/>
      <c r="FY272" s="66"/>
      <c r="FZ272" s="66"/>
      <c r="GA272" s="66"/>
      <c r="GB272" s="66"/>
      <c r="GC272" s="66"/>
      <c r="GD272" s="66"/>
      <c r="GE272" s="66"/>
      <c r="GF272" s="66"/>
      <c r="GG272" s="66"/>
      <c r="GH272" s="66"/>
      <c r="GI272" s="66"/>
      <c r="GJ272" s="66"/>
      <c r="GK272" s="66"/>
      <c r="GL272" s="66"/>
      <c r="GM272" s="66"/>
      <c r="GN272" s="66"/>
      <c r="GO272" s="66"/>
      <c r="GP272" s="66"/>
      <c r="GQ272" s="66"/>
      <c r="GR272" s="66"/>
      <c r="GS272" s="66"/>
      <c r="GT272" s="66"/>
      <c r="GU272" s="66"/>
      <c r="GV272" s="66"/>
      <c r="GW272" s="66"/>
      <c r="GX272" s="66"/>
      <c r="GY272" s="66"/>
      <c r="GZ272" s="66"/>
      <c r="HA272" s="66"/>
      <c r="HB272" s="66"/>
      <c r="HC272" s="66"/>
      <c r="HD272" s="66"/>
      <c r="HE272" s="66"/>
      <c r="HF272" s="66"/>
      <c r="HG272" s="66"/>
      <c r="HH272" s="66"/>
      <c r="HI272" s="66"/>
      <c r="HJ272" s="66"/>
      <c r="HK272" s="66"/>
      <c r="HL272" s="66"/>
      <c r="HM272" s="66"/>
      <c r="HN272" s="66"/>
      <c r="HO272" s="66"/>
      <c r="HP272" s="66"/>
      <c r="HQ272" s="66"/>
      <c r="HR272" s="66"/>
      <c r="HS272" s="66"/>
      <c r="HT272" s="66"/>
      <c r="HU272" s="66"/>
      <c r="HV272" s="66"/>
      <c r="HW272" s="66"/>
      <c r="HX272" s="66"/>
      <c r="HY272" s="66"/>
      <c r="HZ272" s="66"/>
      <c r="IA272" s="66"/>
      <c r="IB272" s="66"/>
      <c r="IC272" s="66"/>
      <c r="ID272" s="66"/>
      <c r="IE272" s="66"/>
      <c r="IF272" s="66"/>
      <c r="IG272" s="66"/>
      <c r="IH272" s="66"/>
      <c r="II272" s="66"/>
      <c r="IJ272" s="66"/>
      <c r="IK272" s="66"/>
      <c r="IL272" s="66"/>
      <c r="IM272" s="66"/>
      <c r="IN272" s="66"/>
      <c r="IO272" s="66"/>
      <c r="IP272" s="66"/>
      <c r="IQ272" s="66"/>
      <c r="IR272" s="66"/>
      <c r="IS272" s="66"/>
      <c r="IT272" s="66"/>
      <c r="IU272" s="66"/>
    </row>
    <row r="273" spans="1:255" s="66" customFormat="1" x14ac:dyDescent="0.3">
      <c r="A273" s="72" t="s">
        <v>816</v>
      </c>
      <c r="B273" s="24" t="s">
        <v>810</v>
      </c>
      <c r="C273" s="24">
        <v>35000</v>
      </c>
      <c r="D273" s="78"/>
      <c r="E273" s="25"/>
    </row>
    <row r="274" spans="1:255" s="66" customFormat="1" x14ac:dyDescent="0.3">
      <c r="A274" s="72" t="s">
        <v>820</v>
      </c>
      <c r="B274" s="24" t="s">
        <v>821</v>
      </c>
      <c r="C274" s="24">
        <v>55000</v>
      </c>
      <c r="D274" s="78"/>
      <c r="E274" s="25"/>
    </row>
    <row r="275" spans="1:255" s="66" customFormat="1" x14ac:dyDescent="0.3">
      <c r="A275" s="72" t="s">
        <v>811</v>
      </c>
      <c r="B275" s="24" t="s">
        <v>812</v>
      </c>
      <c r="C275" s="24">
        <v>25000</v>
      </c>
      <c r="D275" s="78"/>
      <c r="E275" s="25"/>
    </row>
    <row r="276" spans="1:255" s="43" customFormat="1" ht="13.5" customHeight="1" x14ac:dyDescent="0.3">
      <c r="A276" s="265" t="s">
        <v>124</v>
      </c>
      <c r="B276" s="556" t="s">
        <v>123</v>
      </c>
      <c r="C276" s="64">
        <f>SUM(C277:C278)</f>
        <v>99700</v>
      </c>
      <c r="G276" s="68"/>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c r="AQ276" s="66"/>
      <c r="AR276" s="66"/>
      <c r="AS276" s="66"/>
      <c r="AT276" s="66"/>
      <c r="AU276" s="66"/>
      <c r="AV276" s="66"/>
      <c r="AW276" s="66"/>
      <c r="AX276" s="66"/>
      <c r="AY276" s="66"/>
      <c r="AZ276" s="66"/>
      <c r="BA276" s="66"/>
      <c r="BB276" s="66"/>
      <c r="BC276" s="66"/>
      <c r="BD276" s="66"/>
      <c r="BE276" s="66"/>
      <c r="BF276" s="66"/>
      <c r="BG276" s="66"/>
      <c r="BH276" s="66"/>
      <c r="BI276" s="66"/>
      <c r="BJ276" s="66"/>
      <c r="BK276" s="66"/>
      <c r="BL276" s="66"/>
      <c r="BM276" s="66"/>
      <c r="BN276" s="66"/>
      <c r="BO276" s="66"/>
      <c r="BP276" s="66"/>
      <c r="BQ276" s="66"/>
      <c r="BR276" s="66"/>
      <c r="BS276" s="66"/>
      <c r="BT276" s="66"/>
      <c r="BU276" s="66"/>
      <c r="BV276" s="66"/>
      <c r="BW276" s="66"/>
      <c r="BX276" s="66"/>
      <c r="BY276" s="66"/>
      <c r="BZ276" s="66"/>
      <c r="CA276" s="66"/>
      <c r="CB276" s="66"/>
      <c r="CC276" s="66"/>
      <c r="CD276" s="66"/>
      <c r="CE276" s="66"/>
      <c r="CF276" s="66"/>
      <c r="CG276" s="66"/>
      <c r="CH276" s="66"/>
      <c r="CI276" s="66"/>
      <c r="CJ276" s="66"/>
      <c r="CK276" s="66"/>
      <c r="CL276" s="66"/>
      <c r="CM276" s="66"/>
      <c r="CN276" s="66"/>
      <c r="CO276" s="66"/>
      <c r="CP276" s="66"/>
      <c r="CQ276" s="66"/>
      <c r="CR276" s="66"/>
      <c r="CS276" s="66"/>
      <c r="CT276" s="66"/>
      <c r="CU276" s="66"/>
      <c r="CV276" s="66"/>
      <c r="CW276" s="66"/>
      <c r="CX276" s="66"/>
      <c r="CY276" s="66"/>
      <c r="CZ276" s="66"/>
      <c r="DA276" s="66"/>
      <c r="DB276" s="66"/>
      <c r="DC276" s="66"/>
      <c r="DD276" s="66"/>
      <c r="DE276" s="66"/>
      <c r="DF276" s="66"/>
      <c r="DG276" s="66"/>
      <c r="DH276" s="66"/>
      <c r="DI276" s="66"/>
      <c r="DJ276" s="66"/>
      <c r="DK276" s="66"/>
      <c r="DL276" s="66"/>
      <c r="DM276" s="66"/>
      <c r="DN276" s="66"/>
      <c r="DO276" s="66"/>
      <c r="DP276" s="66"/>
      <c r="DQ276" s="66"/>
      <c r="DR276" s="66"/>
      <c r="DS276" s="66"/>
      <c r="DT276" s="66"/>
      <c r="DU276" s="66"/>
      <c r="DV276" s="66"/>
      <c r="DW276" s="66"/>
      <c r="DX276" s="66"/>
      <c r="DY276" s="66"/>
      <c r="DZ276" s="66"/>
      <c r="EA276" s="66"/>
      <c r="EB276" s="66"/>
      <c r="EC276" s="66"/>
      <c r="ED276" s="66"/>
      <c r="EE276" s="66"/>
      <c r="EF276" s="66"/>
      <c r="EG276" s="66"/>
      <c r="EH276" s="66"/>
      <c r="EI276" s="66"/>
      <c r="EJ276" s="66"/>
      <c r="EK276" s="66"/>
      <c r="EL276" s="66"/>
      <c r="EM276" s="66"/>
      <c r="EN276" s="66"/>
      <c r="EO276" s="66"/>
      <c r="EP276" s="66"/>
      <c r="EQ276" s="66"/>
      <c r="ER276" s="66"/>
      <c r="ES276" s="66"/>
      <c r="ET276" s="66"/>
      <c r="EU276" s="66"/>
      <c r="EV276" s="66"/>
      <c r="EW276" s="66"/>
      <c r="EX276" s="66"/>
      <c r="EY276" s="66"/>
      <c r="EZ276" s="66"/>
      <c r="FA276" s="66"/>
      <c r="FB276" s="66"/>
      <c r="FC276" s="66"/>
      <c r="FD276" s="66"/>
      <c r="FE276" s="66"/>
      <c r="FF276" s="66"/>
      <c r="FG276" s="66"/>
      <c r="FH276" s="66"/>
      <c r="FI276" s="66"/>
      <c r="FJ276" s="66"/>
      <c r="FK276" s="66"/>
      <c r="FL276" s="66"/>
      <c r="FM276" s="66"/>
      <c r="FN276" s="66"/>
      <c r="FO276" s="66"/>
      <c r="FP276" s="66"/>
      <c r="FQ276" s="66"/>
      <c r="FR276" s="66"/>
      <c r="FS276" s="66"/>
      <c r="FT276" s="66"/>
      <c r="FU276" s="66"/>
      <c r="FV276" s="66"/>
      <c r="FW276" s="66"/>
      <c r="FX276" s="66"/>
      <c r="FY276" s="66"/>
      <c r="FZ276" s="66"/>
      <c r="GA276" s="66"/>
      <c r="GB276" s="66"/>
      <c r="GC276" s="66"/>
      <c r="GD276" s="66"/>
      <c r="GE276" s="66"/>
      <c r="GF276" s="66"/>
      <c r="GG276" s="66"/>
      <c r="GH276" s="66"/>
      <c r="GI276" s="66"/>
      <c r="GJ276" s="66"/>
      <c r="GK276" s="66"/>
      <c r="GL276" s="66"/>
      <c r="GM276" s="66"/>
      <c r="GN276" s="66"/>
      <c r="GO276" s="66"/>
      <c r="GP276" s="66"/>
      <c r="GQ276" s="66"/>
      <c r="GR276" s="66"/>
      <c r="GS276" s="66"/>
      <c r="GT276" s="66"/>
      <c r="GU276" s="66"/>
      <c r="GV276" s="66"/>
      <c r="GW276" s="66"/>
      <c r="GX276" s="66"/>
      <c r="GY276" s="66"/>
      <c r="GZ276" s="66"/>
      <c r="HA276" s="66"/>
      <c r="HB276" s="66"/>
      <c r="HC276" s="66"/>
      <c r="HD276" s="66"/>
      <c r="HE276" s="66"/>
      <c r="HF276" s="66"/>
      <c r="HG276" s="66"/>
      <c r="HH276" s="66"/>
      <c r="HI276" s="66"/>
      <c r="HJ276" s="66"/>
      <c r="HK276" s="66"/>
      <c r="HL276" s="66"/>
      <c r="HM276" s="66"/>
      <c r="HN276" s="66"/>
      <c r="HO276" s="66"/>
      <c r="HP276" s="66"/>
      <c r="HQ276" s="66"/>
      <c r="HR276" s="66"/>
      <c r="HS276" s="66"/>
      <c r="HT276" s="66"/>
      <c r="HU276" s="66"/>
      <c r="HV276" s="66"/>
      <c r="HW276" s="66"/>
      <c r="HX276" s="66"/>
      <c r="HY276" s="66"/>
      <c r="HZ276" s="66"/>
      <c r="IA276" s="66"/>
      <c r="IB276" s="66"/>
      <c r="IC276" s="66"/>
      <c r="ID276" s="66"/>
      <c r="IE276" s="66"/>
      <c r="IF276" s="66"/>
      <c r="IG276" s="66"/>
      <c r="IH276" s="66"/>
      <c r="II276" s="66"/>
      <c r="IJ276" s="66"/>
      <c r="IK276" s="66"/>
      <c r="IL276" s="66"/>
      <c r="IM276" s="66"/>
      <c r="IN276" s="66"/>
      <c r="IO276" s="66"/>
      <c r="IP276" s="66"/>
      <c r="IQ276" s="66"/>
      <c r="IR276" s="66"/>
      <c r="IS276" s="66"/>
      <c r="IT276" s="66"/>
      <c r="IU276" s="66"/>
    </row>
    <row r="277" spans="1:255" s="43" customFormat="1" ht="13.5" customHeight="1" x14ac:dyDescent="0.3">
      <c r="A277" s="12" t="s">
        <v>230</v>
      </c>
      <c r="B277" s="43" t="s">
        <v>229</v>
      </c>
      <c r="C277" s="60">
        <v>43000</v>
      </c>
      <c r="F277" s="67"/>
      <c r="G277" s="68"/>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c r="AQ277" s="66"/>
      <c r="AR277" s="66"/>
      <c r="AS277" s="66"/>
      <c r="AT277" s="66"/>
      <c r="AU277" s="66"/>
      <c r="AV277" s="66"/>
      <c r="AW277" s="66"/>
      <c r="AX277" s="66"/>
      <c r="AY277" s="66"/>
      <c r="AZ277" s="66"/>
      <c r="BA277" s="66"/>
      <c r="BB277" s="66"/>
      <c r="BC277" s="66"/>
      <c r="BD277" s="66"/>
      <c r="BE277" s="66"/>
      <c r="BF277" s="66"/>
      <c r="BG277" s="66"/>
      <c r="BH277" s="66"/>
      <c r="BI277" s="66"/>
      <c r="BJ277" s="66"/>
      <c r="BK277" s="66"/>
      <c r="BL277" s="66"/>
      <c r="BM277" s="66"/>
      <c r="BN277" s="66"/>
      <c r="BO277" s="66"/>
      <c r="BP277" s="66"/>
      <c r="BQ277" s="66"/>
      <c r="BR277" s="66"/>
      <c r="BS277" s="66"/>
      <c r="BT277" s="66"/>
      <c r="BU277" s="66"/>
      <c r="BV277" s="66"/>
      <c r="BW277" s="66"/>
      <c r="BX277" s="66"/>
      <c r="BY277" s="66"/>
      <c r="BZ277" s="66"/>
      <c r="CA277" s="66"/>
      <c r="CB277" s="66"/>
      <c r="CC277" s="66"/>
      <c r="CD277" s="66"/>
      <c r="CE277" s="66"/>
      <c r="CF277" s="66"/>
      <c r="CG277" s="66"/>
      <c r="CH277" s="66"/>
      <c r="CI277" s="66"/>
      <c r="CJ277" s="66"/>
      <c r="CK277" s="66"/>
      <c r="CL277" s="66"/>
      <c r="CM277" s="66"/>
      <c r="CN277" s="66"/>
      <c r="CO277" s="66"/>
      <c r="CP277" s="66"/>
      <c r="CQ277" s="66"/>
      <c r="CR277" s="66"/>
      <c r="CS277" s="66"/>
      <c r="CT277" s="66"/>
      <c r="CU277" s="66"/>
      <c r="CV277" s="66"/>
      <c r="CW277" s="66"/>
      <c r="CX277" s="66"/>
      <c r="CY277" s="66"/>
      <c r="CZ277" s="66"/>
      <c r="DA277" s="66"/>
      <c r="DB277" s="66"/>
      <c r="DC277" s="66"/>
      <c r="DD277" s="66"/>
      <c r="DE277" s="66"/>
      <c r="DF277" s="66"/>
      <c r="DG277" s="66"/>
      <c r="DH277" s="66"/>
      <c r="DI277" s="66"/>
      <c r="DJ277" s="66"/>
      <c r="DK277" s="66"/>
      <c r="DL277" s="66"/>
      <c r="DM277" s="66"/>
      <c r="DN277" s="66"/>
      <c r="DO277" s="66"/>
      <c r="DP277" s="66"/>
      <c r="DQ277" s="66"/>
      <c r="DR277" s="66"/>
      <c r="DS277" s="66"/>
      <c r="DT277" s="66"/>
      <c r="DU277" s="66"/>
      <c r="DV277" s="66"/>
      <c r="DW277" s="66"/>
      <c r="DX277" s="66"/>
      <c r="DY277" s="66"/>
      <c r="DZ277" s="66"/>
      <c r="EA277" s="66"/>
      <c r="EB277" s="66"/>
      <c r="EC277" s="66"/>
      <c r="ED277" s="66"/>
      <c r="EE277" s="66"/>
      <c r="EF277" s="66"/>
      <c r="EG277" s="66"/>
      <c r="EH277" s="66"/>
      <c r="EI277" s="66"/>
      <c r="EJ277" s="66"/>
      <c r="EK277" s="66"/>
      <c r="EL277" s="66"/>
      <c r="EM277" s="66"/>
      <c r="EN277" s="66"/>
      <c r="EO277" s="66"/>
      <c r="EP277" s="66"/>
      <c r="EQ277" s="66"/>
      <c r="ER277" s="66"/>
      <c r="ES277" s="66"/>
      <c r="ET277" s="66"/>
      <c r="EU277" s="66"/>
      <c r="EV277" s="66"/>
      <c r="EW277" s="66"/>
      <c r="EX277" s="66"/>
      <c r="EY277" s="66"/>
      <c r="EZ277" s="66"/>
      <c r="FA277" s="66"/>
      <c r="FB277" s="66"/>
      <c r="FC277" s="66"/>
      <c r="FD277" s="66"/>
      <c r="FE277" s="66"/>
      <c r="FF277" s="66"/>
      <c r="FG277" s="66"/>
      <c r="FH277" s="66"/>
      <c r="FI277" s="66"/>
      <c r="FJ277" s="66"/>
      <c r="FK277" s="66"/>
      <c r="FL277" s="66"/>
      <c r="FM277" s="66"/>
      <c r="FN277" s="66"/>
      <c r="FO277" s="66"/>
      <c r="FP277" s="66"/>
      <c r="FQ277" s="66"/>
      <c r="FR277" s="66"/>
      <c r="FS277" s="66"/>
      <c r="FT277" s="66"/>
      <c r="FU277" s="66"/>
      <c r="FV277" s="66"/>
      <c r="FW277" s="66"/>
      <c r="FX277" s="66"/>
      <c r="FY277" s="66"/>
      <c r="FZ277" s="66"/>
      <c r="GA277" s="66"/>
      <c r="GB277" s="66"/>
      <c r="GC277" s="66"/>
      <c r="GD277" s="66"/>
      <c r="GE277" s="66"/>
      <c r="GF277" s="66"/>
      <c r="GG277" s="66"/>
      <c r="GH277" s="66"/>
      <c r="GI277" s="66"/>
      <c r="GJ277" s="66"/>
      <c r="GK277" s="66"/>
      <c r="GL277" s="66"/>
      <c r="GM277" s="66"/>
      <c r="GN277" s="66"/>
      <c r="GO277" s="66"/>
      <c r="GP277" s="66"/>
      <c r="GQ277" s="66"/>
      <c r="GR277" s="66"/>
      <c r="GS277" s="66"/>
      <c r="GT277" s="66"/>
      <c r="GU277" s="66"/>
      <c r="GV277" s="66"/>
      <c r="GW277" s="66"/>
      <c r="GX277" s="66"/>
      <c r="GY277" s="66"/>
      <c r="GZ277" s="66"/>
      <c r="HA277" s="66"/>
      <c r="HB277" s="66"/>
      <c r="HC277" s="66"/>
      <c r="HD277" s="66"/>
      <c r="HE277" s="66"/>
      <c r="HF277" s="66"/>
      <c r="HG277" s="66"/>
      <c r="HH277" s="66"/>
      <c r="HI277" s="66"/>
      <c r="HJ277" s="66"/>
      <c r="HK277" s="66"/>
      <c r="HL277" s="66"/>
      <c r="HM277" s="66"/>
      <c r="HN277" s="66"/>
      <c r="HO277" s="66"/>
      <c r="HP277" s="66"/>
      <c r="HQ277" s="66"/>
      <c r="HR277" s="66"/>
      <c r="HS277" s="66"/>
      <c r="HT277" s="66"/>
      <c r="HU277" s="66"/>
      <c r="HV277" s="66"/>
      <c r="HW277" s="66"/>
      <c r="HX277" s="66"/>
      <c r="HY277" s="66"/>
      <c r="HZ277" s="66"/>
      <c r="IA277" s="66"/>
      <c r="IB277" s="66"/>
      <c r="IC277" s="66"/>
      <c r="ID277" s="66"/>
      <c r="IE277" s="66"/>
      <c r="IF277" s="66"/>
      <c r="IG277" s="66"/>
      <c r="IH277" s="66"/>
      <c r="II277" s="66"/>
      <c r="IJ277" s="66"/>
      <c r="IK277" s="66"/>
      <c r="IL277" s="66"/>
      <c r="IM277" s="66"/>
      <c r="IN277" s="66"/>
      <c r="IO277" s="66"/>
      <c r="IP277" s="66"/>
      <c r="IQ277" s="66"/>
      <c r="IR277" s="66"/>
      <c r="IS277" s="66"/>
      <c r="IT277" s="66"/>
      <c r="IU277" s="66"/>
    </row>
    <row r="278" spans="1:255" s="43" customFormat="1" ht="13.5" customHeight="1" x14ac:dyDescent="0.3">
      <c r="A278" s="12" t="s">
        <v>93</v>
      </c>
      <c r="B278" s="43" t="s">
        <v>72</v>
      </c>
      <c r="C278" s="60">
        <v>56700</v>
      </c>
      <c r="E278" s="68"/>
      <c r="F278" s="204"/>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c r="AQ278" s="66"/>
      <c r="AR278" s="66"/>
      <c r="AS278" s="66"/>
      <c r="AT278" s="66"/>
      <c r="AU278" s="66"/>
      <c r="AV278" s="66"/>
      <c r="AW278" s="66"/>
      <c r="AX278" s="66"/>
      <c r="AY278" s="66"/>
      <c r="AZ278" s="66"/>
      <c r="BA278" s="66"/>
      <c r="BB278" s="66"/>
      <c r="BC278" s="66"/>
      <c r="BD278" s="66"/>
      <c r="BE278" s="66"/>
      <c r="BF278" s="66"/>
      <c r="BG278" s="66"/>
      <c r="BH278" s="66"/>
      <c r="BI278" s="66"/>
      <c r="BJ278" s="66"/>
      <c r="BK278" s="66"/>
      <c r="BL278" s="66"/>
      <c r="BM278" s="66"/>
      <c r="BN278" s="66"/>
      <c r="BO278" s="66"/>
      <c r="BP278" s="66"/>
      <c r="BQ278" s="66"/>
      <c r="BR278" s="66"/>
      <c r="BS278" s="66"/>
      <c r="BT278" s="66"/>
      <c r="BU278" s="66"/>
      <c r="BV278" s="66"/>
      <c r="BW278" s="66"/>
      <c r="BX278" s="66"/>
      <c r="BY278" s="66"/>
      <c r="BZ278" s="66"/>
      <c r="CA278" s="66"/>
      <c r="CB278" s="66"/>
      <c r="CC278" s="66"/>
      <c r="CD278" s="66"/>
      <c r="CE278" s="66"/>
      <c r="CF278" s="66"/>
      <c r="CG278" s="66"/>
      <c r="CH278" s="66"/>
      <c r="CI278" s="66"/>
      <c r="CJ278" s="66"/>
      <c r="CK278" s="66"/>
      <c r="CL278" s="66"/>
      <c r="CM278" s="66"/>
      <c r="CN278" s="66"/>
      <c r="CO278" s="66"/>
      <c r="CP278" s="66"/>
      <c r="CQ278" s="66"/>
      <c r="CR278" s="66"/>
      <c r="CS278" s="66"/>
      <c r="CT278" s="66"/>
      <c r="CU278" s="66"/>
      <c r="CV278" s="66"/>
      <c r="CW278" s="66"/>
      <c r="CX278" s="66"/>
      <c r="CY278" s="66"/>
      <c r="CZ278" s="66"/>
      <c r="DA278" s="66"/>
      <c r="DB278" s="66"/>
      <c r="DC278" s="66"/>
      <c r="DD278" s="66"/>
      <c r="DE278" s="66"/>
      <c r="DF278" s="66"/>
      <c r="DG278" s="66"/>
      <c r="DH278" s="66"/>
      <c r="DI278" s="66"/>
      <c r="DJ278" s="66"/>
      <c r="DK278" s="66"/>
      <c r="DL278" s="66"/>
      <c r="DM278" s="66"/>
      <c r="DN278" s="66"/>
      <c r="DO278" s="66"/>
      <c r="DP278" s="66"/>
      <c r="DQ278" s="66"/>
      <c r="DR278" s="66"/>
      <c r="DS278" s="66"/>
      <c r="DT278" s="66"/>
      <c r="DU278" s="66"/>
      <c r="DV278" s="66"/>
      <c r="DW278" s="66"/>
      <c r="DX278" s="66"/>
      <c r="DY278" s="66"/>
      <c r="DZ278" s="66"/>
      <c r="EA278" s="66"/>
      <c r="EB278" s="66"/>
      <c r="EC278" s="66"/>
      <c r="ED278" s="66"/>
      <c r="EE278" s="66"/>
      <c r="EF278" s="66"/>
      <c r="EG278" s="66"/>
      <c r="EH278" s="66"/>
      <c r="EI278" s="66"/>
      <c r="EJ278" s="66"/>
      <c r="EK278" s="66"/>
      <c r="EL278" s="66"/>
      <c r="EM278" s="66"/>
      <c r="EN278" s="66"/>
      <c r="EO278" s="66"/>
      <c r="EP278" s="66"/>
      <c r="EQ278" s="66"/>
      <c r="ER278" s="66"/>
      <c r="ES278" s="66"/>
      <c r="ET278" s="66"/>
      <c r="EU278" s="66"/>
      <c r="EV278" s="66"/>
      <c r="EW278" s="66"/>
      <c r="EX278" s="66"/>
      <c r="EY278" s="66"/>
      <c r="EZ278" s="66"/>
      <c r="FA278" s="66"/>
      <c r="FB278" s="66"/>
      <c r="FC278" s="66"/>
      <c r="FD278" s="66"/>
      <c r="FE278" s="66"/>
      <c r="FF278" s="66"/>
      <c r="FG278" s="66"/>
      <c r="FH278" s="66"/>
      <c r="FI278" s="66"/>
      <c r="FJ278" s="66"/>
      <c r="FK278" s="66"/>
      <c r="FL278" s="66"/>
      <c r="FM278" s="66"/>
      <c r="FN278" s="66"/>
      <c r="FO278" s="66"/>
      <c r="FP278" s="66"/>
      <c r="FQ278" s="66"/>
      <c r="FR278" s="66"/>
      <c r="FS278" s="66"/>
      <c r="FT278" s="66"/>
      <c r="FU278" s="66"/>
      <c r="FV278" s="66"/>
      <c r="FW278" s="66"/>
      <c r="FX278" s="66"/>
      <c r="FY278" s="66"/>
      <c r="FZ278" s="66"/>
      <c r="GA278" s="66"/>
      <c r="GB278" s="66"/>
      <c r="GC278" s="66"/>
      <c r="GD278" s="66"/>
      <c r="GE278" s="66"/>
      <c r="GF278" s="66"/>
      <c r="GG278" s="66"/>
      <c r="GH278" s="66"/>
      <c r="GI278" s="66"/>
      <c r="GJ278" s="66"/>
      <c r="GK278" s="66"/>
      <c r="GL278" s="66"/>
      <c r="GM278" s="66"/>
      <c r="GN278" s="66"/>
      <c r="GO278" s="66"/>
      <c r="GP278" s="66"/>
      <c r="GQ278" s="66"/>
      <c r="GR278" s="66"/>
      <c r="GS278" s="66"/>
      <c r="GT278" s="66"/>
      <c r="GU278" s="66"/>
      <c r="GV278" s="66"/>
      <c r="GW278" s="66"/>
      <c r="GX278" s="66"/>
      <c r="GY278" s="66"/>
      <c r="GZ278" s="66"/>
      <c r="HA278" s="66"/>
      <c r="HB278" s="66"/>
      <c r="HC278" s="66"/>
      <c r="HD278" s="66"/>
      <c r="HE278" s="66"/>
      <c r="HF278" s="66"/>
      <c r="HG278" s="66"/>
      <c r="HH278" s="66"/>
      <c r="HI278" s="66"/>
      <c r="HJ278" s="66"/>
      <c r="HK278" s="66"/>
      <c r="HL278" s="66"/>
      <c r="HM278" s="66"/>
      <c r="HN278" s="66"/>
      <c r="HO278" s="66"/>
      <c r="HP278" s="66"/>
      <c r="HQ278" s="66"/>
      <c r="HR278" s="66"/>
      <c r="HS278" s="66"/>
      <c r="HT278" s="66"/>
      <c r="HU278" s="66"/>
      <c r="HV278" s="66"/>
      <c r="HW278" s="66"/>
      <c r="HX278" s="66"/>
      <c r="HY278" s="66"/>
      <c r="HZ278" s="66"/>
      <c r="IA278" s="66"/>
      <c r="IB278" s="66"/>
      <c r="IC278" s="66"/>
      <c r="ID278" s="66"/>
      <c r="IE278" s="66"/>
      <c r="IF278" s="66"/>
      <c r="IG278" s="66"/>
      <c r="IH278" s="66"/>
      <c r="II278" s="66"/>
      <c r="IJ278" s="66"/>
      <c r="IK278" s="66"/>
      <c r="IL278" s="66"/>
      <c r="IM278" s="66"/>
      <c r="IN278" s="66"/>
      <c r="IO278" s="66"/>
      <c r="IP278" s="66"/>
      <c r="IQ278" s="66"/>
      <c r="IR278" s="66"/>
      <c r="IS278" s="66"/>
      <c r="IT278" s="66"/>
      <c r="IU278" s="66"/>
    </row>
    <row r="279" spans="1:255" s="43" customFormat="1" ht="13.5" customHeight="1" x14ac:dyDescent="0.3">
      <c r="A279" s="265" t="s">
        <v>151</v>
      </c>
      <c r="B279" s="25" t="s">
        <v>133</v>
      </c>
      <c r="C279" s="64">
        <f>SUM(C280:C283)</f>
        <v>807310</v>
      </c>
      <c r="D279" s="68"/>
      <c r="E279" s="68"/>
      <c r="F279" s="204"/>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c r="AQ279" s="66"/>
      <c r="AR279" s="66"/>
      <c r="AS279" s="66"/>
      <c r="AT279" s="66"/>
      <c r="AU279" s="66"/>
      <c r="AV279" s="66"/>
      <c r="AW279" s="66"/>
      <c r="AX279" s="66"/>
      <c r="AY279" s="66"/>
      <c r="AZ279" s="66"/>
      <c r="BA279" s="66"/>
      <c r="BB279" s="66"/>
      <c r="BC279" s="66"/>
      <c r="BD279" s="66"/>
      <c r="BE279" s="66"/>
      <c r="BF279" s="66"/>
      <c r="BG279" s="66"/>
      <c r="BH279" s="66"/>
      <c r="BI279" s="66"/>
      <c r="BJ279" s="66"/>
      <c r="BK279" s="66"/>
      <c r="BL279" s="66"/>
      <c r="BM279" s="66"/>
      <c r="BN279" s="66"/>
      <c r="BO279" s="66"/>
      <c r="BP279" s="66"/>
      <c r="BQ279" s="66"/>
      <c r="BR279" s="66"/>
      <c r="BS279" s="66"/>
      <c r="BT279" s="66"/>
      <c r="BU279" s="66"/>
      <c r="BV279" s="66"/>
      <c r="BW279" s="66"/>
      <c r="BX279" s="66"/>
      <c r="BY279" s="66"/>
      <c r="BZ279" s="66"/>
      <c r="CA279" s="66"/>
      <c r="CB279" s="66"/>
      <c r="CC279" s="66"/>
      <c r="CD279" s="66"/>
      <c r="CE279" s="66"/>
      <c r="CF279" s="66"/>
      <c r="CG279" s="66"/>
      <c r="CH279" s="66"/>
      <c r="CI279" s="66"/>
      <c r="CJ279" s="66"/>
      <c r="CK279" s="66"/>
      <c r="CL279" s="66"/>
      <c r="CM279" s="66"/>
      <c r="CN279" s="66"/>
      <c r="CO279" s="66"/>
      <c r="CP279" s="66"/>
      <c r="CQ279" s="66"/>
      <c r="CR279" s="66"/>
      <c r="CS279" s="66"/>
      <c r="CT279" s="66"/>
      <c r="CU279" s="66"/>
      <c r="CV279" s="66"/>
      <c r="CW279" s="66"/>
      <c r="CX279" s="66"/>
      <c r="CY279" s="66"/>
      <c r="CZ279" s="66"/>
      <c r="DA279" s="66"/>
      <c r="DB279" s="66"/>
      <c r="DC279" s="66"/>
      <c r="DD279" s="66"/>
      <c r="DE279" s="66"/>
      <c r="DF279" s="66"/>
      <c r="DG279" s="66"/>
      <c r="DH279" s="66"/>
      <c r="DI279" s="66"/>
      <c r="DJ279" s="66"/>
      <c r="DK279" s="66"/>
      <c r="DL279" s="66"/>
      <c r="DM279" s="66"/>
      <c r="DN279" s="66"/>
      <c r="DO279" s="66"/>
      <c r="DP279" s="66"/>
      <c r="DQ279" s="66"/>
      <c r="DR279" s="66"/>
      <c r="DS279" s="66"/>
      <c r="DT279" s="66"/>
      <c r="DU279" s="66"/>
      <c r="DV279" s="66"/>
      <c r="DW279" s="66"/>
      <c r="DX279" s="66"/>
      <c r="DY279" s="66"/>
      <c r="DZ279" s="66"/>
      <c r="EA279" s="66"/>
      <c r="EB279" s="66"/>
      <c r="EC279" s="66"/>
      <c r="ED279" s="66"/>
      <c r="EE279" s="66"/>
      <c r="EF279" s="66"/>
      <c r="EG279" s="66"/>
      <c r="EH279" s="66"/>
      <c r="EI279" s="66"/>
      <c r="EJ279" s="66"/>
      <c r="EK279" s="66"/>
      <c r="EL279" s="66"/>
      <c r="EM279" s="66"/>
      <c r="EN279" s="66"/>
      <c r="EO279" s="66"/>
      <c r="EP279" s="66"/>
      <c r="EQ279" s="66"/>
      <c r="ER279" s="66"/>
      <c r="ES279" s="66"/>
      <c r="ET279" s="66"/>
      <c r="EU279" s="66"/>
      <c r="EV279" s="66"/>
      <c r="EW279" s="66"/>
      <c r="EX279" s="66"/>
      <c r="EY279" s="66"/>
      <c r="EZ279" s="66"/>
      <c r="FA279" s="66"/>
      <c r="FB279" s="66"/>
      <c r="FC279" s="66"/>
      <c r="FD279" s="66"/>
      <c r="FE279" s="66"/>
      <c r="FF279" s="66"/>
      <c r="FG279" s="66"/>
      <c r="FH279" s="66"/>
      <c r="FI279" s="66"/>
      <c r="FJ279" s="66"/>
      <c r="FK279" s="66"/>
      <c r="FL279" s="66"/>
      <c r="FM279" s="66"/>
      <c r="FN279" s="66"/>
      <c r="FO279" s="66"/>
      <c r="FP279" s="66"/>
      <c r="FQ279" s="66"/>
      <c r="FR279" s="66"/>
      <c r="FS279" s="66"/>
      <c r="FT279" s="66"/>
      <c r="FU279" s="66"/>
      <c r="FV279" s="66"/>
      <c r="FW279" s="66"/>
      <c r="FX279" s="66"/>
      <c r="FY279" s="66"/>
      <c r="FZ279" s="66"/>
      <c r="GA279" s="66"/>
      <c r="GB279" s="66"/>
      <c r="GC279" s="66"/>
      <c r="GD279" s="66"/>
      <c r="GE279" s="66"/>
      <c r="GF279" s="66"/>
      <c r="GG279" s="66"/>
      <c r="GH279" s="66"/>
      <c r="GI279" s="66"/>
      <c r="GJ279" s="66"/>
      <c r="GK279" s="66"/>
      <c r="GL279" s="66"/>
      <c r="GM279" s="66"/>
      <c r="GN279" s="66"/>
      <c r="GO279" s="66"/>
      <c r="GP279" s="66"/>
      <c r="GQ279" s="66"/>
      <c r="GR279" s="66"/>
      <c r="GS279" s="66"/>
      <c r="GT279" s="66"/>
      <c r="GU279" s="66"/>
      <c r="GV279" s="66"/>
      <c r="GW279" s="66"/>
      <c r="GX279" s="66"/>
      <c r="GY279" s="66"/>
      <c r="GZ279" s="66"/>
      <c r="HA279" s="66"/>
      <c r="HB279" s="66"/>
      <c r="HC279" s="66"/>
      <c r="HD279" s="66"/>
      <c r="HE279" s="66"/>
      <c r="HF279" s="66"/>
      <c r="HG279" s="66"/>
      <c r="HH279" s="66"/>
      <c r="HI279" s="66"/>
      <c r="HJ279" s="66"/>
      <c r="HK279" s="66"/>
      <c r="HL279" s="66"/>
      <c r="HM279" s="66"/>
      <c r="HN279" s="66"/>
      <c r="HO279" s="66"/>
      <c r="HP279" s="66"/>
      <c r="HQ279" s="66"/>
      <c r="HR279" s="66"/>
      <c r="HS279" s="66"/>
      <c r="HT279" s="66"/>
      <c r="HU279" s="66"/>
      <c r="HV279" s="66"/>
      <c r="HW279" s="66"/>
      <c r="HX279" s="66"/>
      <c r="HY279" s="66"/>
      <c r="HZ279" s="66"/>
      <c r="IA279" s="66"/>
      <c r="IB279" s="66"/>
      <c r="IC279" s="66"/>
      <c r="ID279" s="66"/>
      <c r="IE279" s="66"/>
      <c r="IF279" s="66"/>
      <c r="IG279" s="66"/>
      <c r="IH279" s="66"/>
      <c r="II279" s="66"/>
      <c r="IJ279" s="66"/>
      <c r="IK279" s="66"/>
      <c r="IL279" s="66"/>
      <c r="IM279" s="66"/>
      <c r="IN279" s="66"/>
      <c r="IO279" s="66"/>
      <c r="IP279" s="66"/>
      <c r="IQ279" s="66"/>
      <c r="IR279" s="66"/>
      <c r="IS279" s="66"/>
      <c r="IT279" s="66"/>
      <c r="IU279" s="66"/>
    </row>
    <row r="280" spans="1:255" s="66" customFormat="1" x14ac:dyDescent="0.3">
      <c r="A280" s="12" t="s">
        <v>152</v>
      </c>
      <c r="B280" s="43" t="s">
        <v>65</v>
      </c>
      <c r="C280" s="60">
        <v>230060</v>
      </c>
      <c r="D280" s="67"/>
      <c r="E280" s="68"/>
      <c r="F280" s="204"/>
    </row>
    <row r="281" spans="1:255" s="66" customFormat="1" x14ac:dyDescent="0.3">
      <c r="A281" s="12" t="s">
        <v>153</v>
      </c>
      <c r="B281" s="43" t="s">
        <v>70</v>
      </c>
      <c r="C281" s="60">
        <v>63250</v>
      </c>
      <c r="D281" s="68"/>
      <c r="E281" s="68"/>
      <c r="F281" s="204"/>
    </row>
    <row r="282" spans="1:255" s="66" customFormat="1" x14ac:dyDescent="0.3">
      <c r="A282" s="12" t="s">
        <v>154</v>
      </c>
      <c r="B282" s="43" t="s">
        <v>125</v>
      </c>
      <c r="C282" s="60">
        <v>60000</v>
      </c>
      <c r="D282" s="67"/>
      <c r="E282" s="68"/>
      <c r="F282" s="204"/>
    </row>
    <row r="283" spans="1:255" s="8" customFormat="1" ht="13.5" customHeight="1" x14ac:dyDescent="0.25">
      <c r="A283" s="12" t="s">
        <v>699</v>
      </c>
      <c r="B283" s="43" t="s">
        <v>698</v>
      </c>
      <c r="C283" s="24">
        <v>454000</v>
      </c>
      <c r="F283" s="101"/>
      <c r="G283" s="9"/>
    </row>
    <row r="284" spans="1:255" s="66" customFormat="1" ht="13.5" thickBot="1" x14ac:dyDescent="0.35">
      <c r="A284" s="12"/>
      <c r="B284" s="43"/>
      <c r="C284" s="60"/>
      <c r="D284" s="67"/>
      <c r="E284" s="68"/>
      <c r="F284" s="204"/>
    </row>
    <row r="285" spans="1:255" s="66" customFormat="1" ht="13.5" thickBot="1" x14ac:dyDescent="0.35">
      <c r="A285" s="1098" t="s">
        <v>3</v>
      </c>
      <c r="B285" s="1099"/>
      <c r="C285" s="700">
        <f>C286+C289+C293+C296+C298</f>
        <v>35776460</v>
      </c>
      <c r="D285" s="68"/>
      <c r="E285" s="68"/>
      <c r="F285" s="204"/>
    </row>
    <row r="286" spans="1:255" s="239" customFormat="1" x14ac:dyDescent="0.3">
      <c r="A286" s="63" t="s">
        <v>110</v>
      </c>
      <c r="B286" s="298" t="s">
        <v>111</v>
      </c>
      <c r="C286" s="563">
        <f>SUM(C287:C288)</f>
        <v>3154950</v>
      </c>
      <c r="D286" s="95"/>
      <c r="E286" s="95"/>
      <c r="F286" s="99"/>
    </row>
    <row r="287" spans="1:255" s="56" customFormat="1" x14ac:dyDescent="0.3">
      <c r="A287" s="59" t="s">
        <v>160</v>
      </c>
      <c r="B287" s="101" t="s">
        <v>251</v>
      </c>
      <c r="C287" s="60">
        <v>1504250</v>
      </c>
      <c r="D287" s="67"/>
      <c r="E287" s="68"/>
      <c r="F287" s="204"/>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c r="AP287" s="66"/>
      <c r="AQ287" s="66"/>
      <c r="AR287" s="66"/>
      <c r="AS287" s="66"/>
      <c r="AT287" s="66"/>
      <c r="AU287" s="66"/>
      <c r="AV287" s="66"/>
      <c r="AW287" s="66"/>
      <c r="AX287" s="66"/>
      <c r="AY287" s="66"/>
      <c r="AZ287" s="66"/>
      <c r="BA287" s="66"/>
      <c r="BB287" s="66"/>
      <c r="BC287" s="66"/>
      <c r="BD287" s="66"/>
      <c r="BE287" s="66"/>
      <c r="BF287" s="66"/>
      <c r="BG287" s="66"/>
      <c r="BH287" s="66"/>
      <c r="BI287" s="66"/>
      <c r="BJ287" s="66"/>
      <c r="BK287" s="66"/>
      <c r="BL287" s="66"/>
      <c r="BM287" s="66"/>
      <c r="BN287" s="66"/>
      <c r="BO287" s="66"/>
      <c r="BP287" s="66"/>
      <c r="BQ287" s="66"/>
      <c r="BR287" s="66"/>
      <c r="BS287" s="66"/>
      <c r="BT287" s="66"/>
      <c r="BU287" s="66"/>
      <c r="BV287" s="66"/>
      <c r="BW287" s="66"/>
      <c r="BX287" s="66"/>
      <c r="BY287" s="66"/>
      <c r="BZ287" s="66"/>
      <c r="CA287" s="66"/>
      <c r="CB287" s="66"/>
      <c r="CC287" s="66"/>
      <c r="CD287" s="66"/>
      <c r="CE287" s="66"/>
      <c r="CF287" s="66"/>
      <c r="CG287" s="66"/>
      <c r="CH287" s="66"/>
      <c r="CI287" s="66"/>
      <c r="CJ287" s="66"/>
      <c r="CK287" s="66"/>
      <c r="CL287" s="66"/>
      <c r="CM287" s="66"/>
      <c r="CN287" s="66"/>
      <c r="CO287" s="66"/>
      <c r="CP287" s="66"/>
      <c r="CQ287" s="66"/>
      <c r="CR287" s="66"/>
      <c r="CS287" s="66"/>
      <c r="CT287" s="66"/>
      <c r="CU287" s="66"/>
      <c r="CV287" s="66"/>
      <c r="CW287" s="66"/>
      <c r="CX287" s="66"/>
      <c r="CY287" s="66"/>
      <c r="CZ287" s="66"/>
      <c r="DA287" s="66"/>
      <c r="DB287" s="66"/>
      <c r="DC287" s="66"/>
      <c r="DD287" s="66"/>
      <c r="DE287" s="66"/>
      <c r="DF287" s="66"/>
      <c r="DG287" s="66"/>
      <c r="DH287" s="66"/>
      <c r="DI287" s="66"/>
      <c r="DJ287" s="66"/>
      <c r="DK287" s="66"/>
      <c r="DL287" s="66"/>
      <c r="DM287" s="66"/>
      <c r="DN287" s="66"/>
      <c r="DO287" s="66"/>
      <c r="DP287" s="66"/>
      <c r="DQ287" s="66"/>
      <c r="DR287" s="66"/>
      <c r="DS287" s="66"/>
      <c r="DT287" s="66"/>
      <c r="DU287" s="66"/>
      <c r="DV287" s="66"/>
      <c r="DW287" s="66"/>
      <c r="DX287" s="66"/>
      <c r="DY287" s="66"/>
      <c r="DZ287" s="66"/>
      <c r="EA287" s="66"/>
      <c r="EB287" s="66"/>
      <c r="EC287" s="66"/>
      <c r="ED287" s="66"/>
      <c r="EE287" s="66"/>
      <c r="EF287" s="66"/>
      <c r="EG287" s="66"/>
      <c r="EH287" s="66"/>
      <c r="EI287" s="66"/>
      <c r="EJ287" s="66"/>
      <c r="EK287" s="66"/>
      <c r="EL287" s="66"/>
      <c r="EM287" s="66"/>
      <c r="EN287" s="66"/>
      <c r="EO287" s="66"/>
      <c r="EP287" s="66"/>
      <c r="EQ287" s="66"/>
      <c r="ER287" s="66"/>
      <c r="ES287" s="66"/>
      <c r="ET287" s="66"/>
      <c r="EU287" s="66"/>
      <c r="EV287" s="66"/>
      <c r="EW287" s="66"/>
      <c r="EX287" s="66"/>
      <c r="EY287" s="66"/>
      <c r="EZ287" s="66"/>
      <c r="FA287" s="66"/>
      <c r="FB287" s="66"/>
      <c r="FC287" s="66"/>
      <c r="FD287" s="66"/>
      <c r="FE287" s="66"/>
      <c r="FF287" s="66"/>
      <c r="FG287" s="66"/>
      <c r="FH287" s="66"/>
      <c r="FI287" s="66"/>
      <c r="FJ287" s="66"/>
      <c r="FK287" s="66"/>
      <c r="FL287" s="66"/>
      <c r="FM287" s="66"/>
      <c r="FN287" s="66"/>
      <c r="FO287" s="66"/>
      <c r="FP287" s="66"/>
      <c r="FQ287" s="66"/>
      <c r="FR287" s="66"/>
      <c r="FS287" s="66"/>
      <c r="FT287" s="66"/>
      <c r="FU287" s="66"/>
      <c r="FV287" s="66"/>
      <c r="FW287" s="66"/>
      <c r="FX287" s="66"/>
      <c r="FY287" s="66"/>
      <c r="FZ287" s="66"/>
      <c r="GA287" s="66"/>
      <c r="GB287" s="66"/>
      <c r="GC287" s="66"/>
      <c r="GD287" s="66"/>
      <c r="GE287" s="66"/>
      <c r="GF287" s="66"/>
      <c r="GG287" s="66"/>
      <c r="GH287" s="66"/>
      <c r="GI287" s="66"/>
      <c r="GJ287" s="66"/>
      <c r="GK287" s="66"/>
      <c r="GL287" s="66"/>
      <c r="GM287" s="66"/>
      <c r="GN287" s="66"/>
      <c r="GO287" s="66"/>
      <c r="GP287" s="66"/>
      <c r="GQ287" s="66"/>
      <c r="GR287" s="66"/>
      <c r="GS287" s="66"/>
      <c r="GT287" s="66"/>
      <c r="GU287" s="66"/>
      <c r="GV287" s="66"/>
      <c r="GW287" s="66"/>
      <c r="GX287" s="66"/>
      <c r="GY287" s="66"/>
      <c r="GZ287" s="66"/>
      <c r="HA287" s="66"/>
      <c r="HB287" s="66"/>
      <c r="HC287" s="66"/>
      <c r="HD287" s="66"/>
      <c r="HE287" s="66"/>
      <c r="HF287" s="66"/>
      <c r="HG287" s="66"/>
      <c r="HH287" s="66"/>
      <c r="HI287" s="66"/>
      <c r="HJ287" s="66"/>
      <c r="HK287" s="66"/>
      <c r="HL287" s="66"/>
      <c r="HM287" s="66"/>
      <c r="HN287" s="66"/>
      <c r="HO287" s="66"/>
      <c r="HP287" s="66"/>
      <c r="HQ287" s="66"/>
      <c r="HR287" s="66"/>
      <c r="HS287" s="66"/>
      <c r="HT287" s="66"/>
      <c r="HU287" s="66"/>
      <c r="HV287" s="66"/>
      <c r="HW287" s="66"/>
      <c r="HX287" s="66"/>
      <c r="HY287" s="66"/>
      <c r="HZ287" s="66"/>
      <c r="IA287" s="66"/>
      <c r="IB287" s="66"/>
      <c r="IC287" s="66"/>
      <c r="ID287" s="66"/>
      <c r="IE287" s="66"/>
      <c r="IF287" s="66"/>
      <c r="IG287" s="66"/>
      <c r="IH287" s="66"/>
      <c r="II287" s="66"/>
      <c r="IJ287" s="66"/>
      <c r="IK287" s="66"/>
      <c r="IL287" s="66"/>
      <c r="IM287" s="66"/>
      <c r="IN287" s="66"/>
      <c r="IO287" s="66"/>
      <c r="IP287" s="66"/>
      <c r="IQ287" s="66"/>
      <c r="IR287" s="66"/>
      <c r="IS287" s="66"/>
      <c r="IT287" s="66"/>
      <c r="IU287" s="66"/>
    </row>
    <row r="288" spans="1:255" s="56" customFormat="1" x14ac:dyDescent="0.3">
      <c r="A288" s="59" t="s">
        <v>52</v>
      </c>
      <c r="B288" s="43" t="s">
        <v>184</v>
      </c>
      <c r="C288" s="60">
        <v>1650700</v>
      </c>
      <c r="D288" s="60"/>
      <c r="E288" s="57"/>
      <c r="F288" s="99"/>
    </row>
    <row r="289" spans="1:255" s="8" customFormat="1" ht="13.5" customHeight="1" x14ac:dyDescent="0.25">
      <c r="A289" s="63" t="s">
        <v>120</v>
      </c>
      <c r="B289" s="63" t="s">
        <v>121</v>
      </c>
      <c r="C289" s="31">
        <f>SUM(C290:C292)</f>
        <v>279230</v>
      </c>
      <c r="D289" s="84"/>
      <c r="E289" s="25"/>
      <c r="F289" s="99"/>
      <c r="G289" s="55"/>
      <c r="H289" s="43"/>
    </row>
    <row r="290" spans="1:255" s="8" customFormat="1" ht="13.5" customHeight="1" x14ac:dyDescent="0.25">
      <c r="A290" s="59" t="s">
        <v>236</v>
      </c>
      <c r="B290" s="43" t="s">
        <v>237</v>
      </c>
      <c r="C290" s="24">
        <v>15400</v>
      </c>
      <c r="D290" s="84"/>
      <c r="E290" s="25"/>
      <c r="F290" s="99"/>
      <c r="G290" s="55"/>
      <c r="H290" s="43"/>
    </row>
    <row r="291" spans="1:255" s="8" customFormat="1" ht="13.5" customHeight="1" x14ac:dyDescent="0.3">
      <c r="A291" s="59" t="s">
        <v>140</v>
      </c>
      <c r="B291" s="43" t="s">
        <v>141</v>
      </c>
      <c r="C291" s="24">
        <v>198700</v>
      </c>
      <c r="F291" s="79"/>
      <c r="G291" s="25"/>
      <c r="H291" s="92"/>
    </row>
    <row r="292" spans="1:255" s="8" customFormat="1" ht="13.5" customHeight="1" x14ac:dyDescent="0.25">
      <c r="A292" s="59" t="s">
        <v>136</v>
      </c>
      <c r="B292" s="59" t="s">
        <v>71</v>
      </c>
      <c r="C292" s="24">
        <v>65130</v>
      </c>
      <c r="D292" s="78"/>
      <c r="E292" s="25"/>
      <c r="F292" s="204"/>
      <c r="G292" s="55"/>
      <c r="H292" s="55"/>
    </row>
    <row r="293" spans="1:255" s="56" customFormat="1" x14ac:dyDescent="0.3">
      <c r="A293" s="11" t="s">
        <v>112</v>
      </c>
      <c r="B293" s="63" t="s">
        <v>157</v>
      </c>
      <c r="C293" s="64">
        <f>SUM(C294:C295)</f>
        <v>1113850</v>
      </c>
      <c r="D293" s="60"/>
      <c r="E293" s="57"/>
      <c r="F293" s="99"/>
    </row>
    <row r="294" spans="1:255" s="56" customFormat="1" x14ac:dyDescent="0.3">
      <c r="A294" s="59" t="s">
        <v>138</v>
      </c>
      <c r="B294" s="59" t="s">
        <v>878</v>
      </c>
      <c r="C294" s="60">
        <v>16100</v>
      </c>
      <c r="E294" s="57"/>
      <c r="F294" s="99"/>
    </row>
    <row r="295" spans="1:255" s="56" customFormat="1" x14ac:dyDescent="0.3">
      <c r="A295" s="59" t="s">
        <v>156</v>
      </c>
      <c r="B295" s="43" t="s">
        <v>87</v>
      </c>
      <c r="C295" s="60">
        <v>1097750</v>
      </c>
      <c r="E295" s="57"/>
      <c r="F295" s="57"/>
    </row>
    <row r="296" spans="1:255" s="56" customFormat="1" x14ac:dyDescent="0.3">
      <c r="A296" s="11" t="s">
        <v>132</v>
      </c>
      <c r="B296" s="31" t="s">
        <v>56</v>
      </c>
      <c r="C296" s="64">
        <f>SUM(C297)</f>
        <v>105150</v>
      </c>
      <c r="E296" s="57"/>
      <c r="F296" s="57"/>
    </row>
    <row r="297" spans="1:255" s="66" customFormat="1" x14ac:dyDescent="0.3">
      <c r="A297" s="72" t="s">
        <v>55</v>
      </c>
      <c r="B297" s="43" t="s">
        <v>56</v>
      </c>
      <c r="C297" s="60">
        <v>105150</v>
      </c>
      <c r="E297" s="57"/>
      <c r="F297" s="241"/>
      <c r="G297" s="463"/>
      <c r="H297" s="67"/>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c r="AS297" s="56"/>
      <c r="AT297" s="56"/>
      <c r="AU297" s="56"/>
      <c r="AV297" s="56"/>
      <c r="AW297" s="56"/>
      <c r="AX297" s="56"/>
      <c r="AY297" s="56"/>
      <c r="AZ297" s="56"/>
      <c r="BA297" s="56"/>
      <c r="BB297" s="56"/>
      <c r="BC297" s="56"/>
      <c r="BD297" s="56"/>
      <c r="BE297" s="56"/>
      <c r="BF297" s="56"/>
      <c r="BG297" s="56"/>
      <c r="BH297" s="56"/>
      <c r="BI297" s="56"/>
      <c r="BJ297" s="56"/>
      <c r="BK297" s="56"/>
      <c r="BL297" s="56"/>
      <c r="BM297" s="56"/>
      <c r="BN297" s="56"/>
      <c r="BO297" s="56"/>
      <c r="BP297" s="56"/>
      <c r="BQ297" s="56"/>
      <c r="BR297" s="56"/>
      <c r="BS297" s="56"/>
      <c r="BT297" s="56"/>
      <c r="BU297" s="56"/>
      <c r="BV297" s="56"/>
      <c r="BW297" s="56"/>
      <c r="BX297" s="56"/>
      <c r="BY297" s="56"/>
      <c r="BZ297" s="56"/>
      <c r="CA297" s="56"/>
      <c r="CB297" s="56"/>
      <c r="CC297" s="56"/>
      <c r="CD297" s="56"/>
      <c r="CE297" s="56"/>
      <c r="CF297" s="56"/>
      <c r="CG297" s="56"/>
      <c r="CH297" s="56"/>
      <c r="CI297" s="56"/>
      <c r="CJ297" s="56"/>
      <c r="CK297" s="56"/>
      <c r="CL297" s="56"/>
      <c r="CM297" s="56"/>
      <c r="CN297" s="56"/>
      <c r="CO297" s="56"/>
      <c r="CP297" s="56"/>
      <c r="CQ297" s="56"/>
      <c r="CR297" s="56"/>
      <c r="CS297" s="56"/>
      <c r="CT297" s="56"/>
      <c r="CU297" s="56"/>
      <c r="CV297" s="56"/>
      <c r="CW297" s="56"/>
      <c r="CX297" s="56"/>
      <c r="CY297" s="56"/>
      <c r="CZ297" s="56"/>
      <c r="DA297" s="56"/>
      <c r="DB297" s="56"/>
      <c r="DC297" s="56"/>
      <c r="DD297" s="56"/>
      <c r="DE297" s="56"/>
      <c r="DF297" s="56"/>
      <c r="DG297" s="56"/>
      <c r="DH297" s="56"/>
      <c r="DI297" s="56"/>
      <c r="DJ297" s="56"/>
      <c r="DK297" s="56"/>
      <c r="DL297" s="56"/>
      <c r="DM297" s="56"/>
      <c r="DN297" s="56"/>
      <c r="DO297" s="56"/>
      <c r="DP297" s="56"/>
      <c r="DQ297" s="56"/>
      <c r="DR297" s="56"/>
      <c r="DS297" s="56"/>
      <c r="DT297" s="56"/>
      <c r="DU297" s="56"/>
      <c r="DV297" s="56"/>
      <c r="DW297" s="56"/>
      <c r="DX297" s="56"/>
      <c r="DY297" s="56"/>
      <c r="DZ297" s="56"/>
      <c r="EA297" s="56"/>
      <c r="EB297" s="56"/>
      <c r="EC297" s="56"/>
      <c r="ED297" s="56"/>
      <c r="EE297" s="56"/>
      <c r="EF297" s="56"/>
      <c r="EG297" s="56"/>
      <c r="EH297" s="56"/>
      <c r="EI297" s="56"/>
      <c r="EJ297" s="56"/>
      <c r="EK297" s="56"/>
      <c r="EL297" s="56"/>
      <c r="EM297" s="56"/>
      <c r="EN297" s="56"/>
      <c r="EO297" s="56"/>
      <c r="EP297" s="56"/>
      <c r="EQ297" s="56"/>
      <c r="ER297" s="56"/>
      <c r="ES297" s="56"/>
      <c r="ET297" s="56"/>
      <c r="EU297" s="56"/>
      <c r="EV297" s="56"/>
      <c r="EW297" s="56"/>
      <c r="EX297" s="56"/>
      <c r="EY297" s="56"/>
      <c r="EZ297" s="56"/>
      <c r="FA297" s="56"/>
      <c r="FB297" s="56"/>
      <c r="FC297" s="56"/>
      <c r="FD297" s="56"/>
      <c r="FE297" s="56"/>
      <c r="FF297" s="56"/>
      <c r="FG297" s="56"/>
      <c r="FH297" s="56"/>
      <c r="FI297" s="56"/>
      <c r="FJ297" s="56"/>
      <c r="FK297" s="56"/>
      <c r="FL297" s="56"/>
      <c r="FM297" s="56"/>
      <c r="FN297" s="56"/>
      <c r="FO297" s="56"/>
      <c r="FP297" s="56"/>
      <c r="FQ297" s="56"/>
      <c r="FR297" s="56"/>
      <c r="FS297" s="56"/>
      <c r="FT297" s="56"/>
      <c r="FU297" s="56"/>
      <c r="FV297" s="56"/>
      <c r="FW297" s="56"/>
      <c r="FX297" s="56"/>
      <c r="FY297" s="56"/>
      <c r="FZ297" s="56"/>
      <c r="GA297" s="56"/>
      <c r="GB297" s="56"/>
      <c r="GC297" s="56"/>
      <c r="GD297" s="56"/>
      <c r="GE297" s="56"/>
      <c r="GF297" s="56"/>
      <c r="GG297" s="56"/>
      <c r="GH297" s="56"/>
      <c r="GI297" s="56"/>
      <c r="GJ297" s="56"/>
      <c r="GK297" s="56"/>
      <c r="GL297" s="56"/>
      <c r="GM297" s="56"/>
      <c r="GN297" s="56"/>
      <c r="GO297" s="56"/>
      <c r="GP297" s="56"/>
      <c r="GQ297" s="56"/>
      <c r="GR297" s="56"/>
      <c r="GS297" s="56"/>
      <c r="GT297" s="56"/>
      <c r="GU297" s="56"/>
      <c r="GV297" s="56"/>
      <c r="GW297" s="56"/>
      <c r="GX297" s="56"/>
      <c r="GY297" s="56"/>
      <c r="GZ297" s="56"/>
      <c r="HA297" s="56"/>
      <c r="HB297" s="56"/>
      <c r="HC297" s="56"/>
      <c r="HD297" s="56"/>
      <c r="HE297" s="56"/>
      <c r="HF297" s="56"/>
      <c r="HG297" s="56"/>
      <c r="HH297" s="56"/>
      <c r="HI297" s="56"/>
      <c r="HJ297" s="56"/>
      <c r="HK297" s="56"/>
      <c r="HL297" s="56"/>
      <c r="HM297" s="56"/>
      <c r="HN297" s="56"/>
      <c r="HO297" s="56"/>
      <c r="HP297" s="56"/>
      <c r="HQ297" s="56"/>
      <c r="HR297" s="56"/>
      <c r="HS297" s="56"/>
      <c r="HT297" s="56"/>
      <c r="HU297" s="56"/>
      <c r="HV297" s="56"/>
      <c r="HW297" s="56"/>
      <c r="HX297" s="56"/>
      <c r="HY297" s="56"/>
      <c r="HZ297" s="56"/>
      <c r="IA297" s="56"/>
      <c r="IB297" s="56"/>
      <c r="IC297" s="56"/>
      <c r="ID297" s="56"/>
      <c r="IE297" s="56"/>
      <c r="IF297" s="56"/>
      <c r="IG297" s="56"/>
      <c r="IH297" s="56"/>
      <c r="II297" s="56"/>
      <c r="IJ297" s="56"/>
      <c r="IK297" s="56"/>
      <c r="IL297" s="56"/>
      <c r="IM297" s="56"/>
      <c r="IN297" s="56"/>
      <c r="IO297" s="56"/>
      <c r="IP297" s="56"/>
      <c r="IQ297" s="56"/>
      <c r="IR297" s="56"/>
      <c r="IS297" s="56"/>
      <c r="IT297" s="56"/>
      <c r="IU297" s="56"/>
    </row>
    <row r="298" spans="1:255" s="66" customFormat="1" x14ac:dyDescent="0.3">
      <c r="A298" s="11" t="s">
        <v>115</v>
      </c>
      <c r="B298" s="559" t="s">
        <v>8</v>
      </c>
      <c r="C298" s="64">
        <f>SUM(C299:C303)</f>
        <v>31123280</v>
      </c>
      <c r="E298" s="57"/>
      <c r="F298" s="57"/>
      <c r="G298" s="56"/>
      <c r="H298" s="204"/>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c r="AY298" s="56"/>
      <c r="AZ298" s="56"/>
      <c r="BA298" s="56"/>
      <c r="BB298" s="56"/>
      <c r="BC298" s="56"/>
      <c r="BD298" s="56"/>
      <c r="BE298" s="56"/>
      <c r="BF298" s="56"/>
      <c r="BG298" s="56"/>
      <c r="BH298" s="56"/>
      <c r="BI298" s="56"/>
      <c r="BJ298" s="56"/>
      <c r="BK298" s="56"/>
      <c r="BL298" s="56"/>
      <c r="BM298" s="56"/>
      <c r="BN298" s="56"/>
      <c r="BO298" s="56"/>
      <c r="BP298" s="56"/>
      <c r="BQ298" s="56"/>
      <c r="BR298" s="56"/>
      <c r="BS298" s="56"/>
      <c r="BT298" s="56"/>
      <c r="BU298" s="56"/>
      <c r="BV298" s="56"/>
      <c r="BW298" s="56"/>
      <c r="BX298" s="56"/>
      <c r="BY298" s="56"/>
      <c r="BZ298" s="56"/>
      <c r="CA298" s="56"/>
      <c r="CB298" s="56"/>
      <c r="CC298" s="56"/>
      <c r="CD298" s="56"/>
      <c r="CE298" s="56"/>
      <c r="CF298" s="56"/>
      <c r="CG298" s="56"/>
      <c r="CH298" s="56"/>
      <c r="CI298" s="56"/>
      <c r="CJ298" s="56"/>
      <c r="CK298" s="56"/>
      <c r="CL298" s="56"/>
      <c r="CM298" s="56"/>
      <c r="CN298" s="56"/>
      <c r="CO298" s="56"/>
      <c r="CP298" s="56"/>
      <c r="CQ298" s="56"/>
      <c r="CR298" s="56"/>
      <c r="CS298" s="56"/>
      <c r="CT298" s="56"/>
      <c r="CU298" s="56"/>
      <c r="CV298" s="56"/>
      <c r="CW298" s="56"/>
      <c r="CX298" s="56"/>
      <c r="CY298" s="56"/>
      <c r="CZ298" s="56"/>
      <c r="DA298" s="56"/>
      <c r="DB298" s="56"/>
      <c r="DC298" s="56"/>
      <c r="DD298" s="56"/>
      <c r="DE298" s="56"/>
      <c r="DF298" s="56"/>
      <c r="DG298" s="56"/>
      <c r="DH298" s="56"/>
      <c r="DI298" s="56"/>
      <c r="DJ298" s="56"/>
      <c r="DK298" s="56"/>
      <c r="DL298" s="56"/>
      <c r="DM298" s="56"/>
      <c r="DN298" s="56"/>
      <c r="DO298" s="56"/>
      <c r="DP298" s="56"/>
      <c r="DQ298" s="56"/>
      <c r="DR298" s="56"/>
      <c r="DS298" s="56"/>
      <c r="DT298" s="56"/>
      <c r="DU298" s="56"/>
      <c r="DV298" s="56"/>
      <c r="DW298" s="56"/>
      <c r="DX298" s="56"/>
      <c r="DY298" s="56"/>
      <c r="DZ298" s="56"/>
      <c r="EA298" s="56"/>
      <c r="EB298" s="56"/>
      <c r="EC298" s="56"/>
      <c r="ED298" s="56"/>
      <c r="EE298" s="56"/>
      <c r="EF298" s="56"/>
      <c r="EG298" s="56"/>
      <c r="EH298" s="56"/>
      <c r="EI298" s="56"/>
      <c r="EJ298" s="56"/>
      <c r="EK298" s="56"/>
      <c r="EL298" s="56"/>
      <c r="EM298" s="56"/>
      <c r="EN298" s="56"/>
      <c r="EO298" s="56"/>
      <c r="EP298" s="56"/>
      <c r="EQ298" s="56"/>
      <c r="ER298" s="56"/>
      <c r="ES298" s="56"/>
      <c r="ET298" s="56"/>
      <c r="EU298" s="56"/>
      <c r="EV298" s="56"/>
      <c r="EW298" s="56"/>
      <c r="EX298" s="56"/>
      <c r="EY298" s="56"/>
      <c r="EZ298" s="56"/>
      <c r="FA298" s="56"/>
      <c r="FB298" s="56"/>
      <c r="FC298" s="56"/>
      <c r="FD298" s="56"/>
      <c r="FE298" s="56"/>
      <c r="FF298" s="56"/>
      <c r="FG298" s="56"/>
      <c r="FH298" s="56"/>
      <c r="FI298" s="56"/>
      <c r="FJ298" s="56"/>
      <c r="FK298" s="56"/>
      <c r="FL298" s="56"/>
      <c r="FM298" s="56"/>
      <c r="FN298" s="56"/>
      <c r="FO298" s="56"/>
      <c r="FP298" s="56"/>
      <c r="FQ298" s="56"/>
      <c r="FR298" s="56"/>
      <c r="FS298" s="56"/>
      <c r="FT298" s="56"/>
      <c r="FU298" s="56"/>
      <c r="FV298" s="56"/>
      <c r="FW298" s="56"/>
      <c r="FX298" s="56"/>
      <c r="FY298" s="56"/>
      <c r="FZ298" s="56"/>
      <c r="GA298" s="56"/>
      <c r="GB298" s="56"/>
      <c r="GC298" s="56"/>
      <c r="GD298" s="56"/>
      <c r="GE298" s="56"/>
      <c r="GF298" s="56"/>
      <c r="GG298" s="56"/>
      <c r="GH298" s="56"/>
      <c r="GI298" s="56"/>
      <c r="GJ298" s="56"/>
      <c r="GK298" s="56"/>
      <c r="GL298" s="56"/>
      <c r="GM298" s="56"/>
      <c r="GN298" s="56"/>
      <c r="GO298" s="56"/>
      <c r="GP298" s="56"/>
      <c r="GQ298" s="56"/>
      <c r="GR298" s="56"/>
      <c r="GS298" s="56"/>
      <c r="GT298" s="56"/>
      <c r="GU298" s="56"/>
      <c r="GV298" s="56"/>
      <c r="GW298" s="56"/>
      <c r="GX298" s="56"/>
      <c r="GY298" s="56"/>
      <c r="GZ298" s="56"/>
      <c r="HA298" s="56"/>
      <c r="HB298" s="56"/>
      <c r="HC298" s="56"/>
      <c r="HD298" s="56"/>
      <c r="HE298" s="56"/>
      <c r="HF298" s="56"/>
      <c r="HG298" s="56"/>
      <c r="HH298" s="56"/>
      <c r="HI298" s="56"/>
      <c r="HJ298" s="56"/>
      <c r="HK298" s="56"/>
      <c r="HL298" s="56"/>
      <c r="HM298" s="56"/>
      <c r="HN298" s="56"/>
      <c r="HO298" s="56"/>
      <c r="HP298" s="56"/>
      <c r="HQ298" s="56"/>
      <c r="HR298" s="56"/>
      <c r="HS298" s="56"/>
      <c r="HT298" s="56"/>
      <c r="HU298" s="56"/>
      <c r="HV298" s="56"/>
      <c r="HW298" s="56"/>
      <c r="HX298" s="56"/>
      <c r="HY298" s="56"/>
      <c r="HZ298" s="56"/>
      <c r="IA298" s="56"/>
      <c r="IB298" s="56"/>
      <c r="IC298" s="56"/>
      <c r="ID298" s="56"/>
      <c r="IE298" s="56"/>
      <c r="IF298" s="56"/>
      <c r="IG298" s="56"/>
      <c r="IH298" s="56"/>
      <c r="II298" s="56"/>
      <c r="IJ298" s="56"/>
      <c r="IK298" s="56"/>
      <c r="IL298" s="56"/>
      <c r="IM298" s="56"/>
      <c r="IN298" s="56"/>
      <c r="IO298" s="56"/>
      <c r="IP298" s="56"/>
      <c r="IQ298" s="56"/>
      <c r="IR298" s="56"/>
      <c r="IS298" s="56"/>
      <c r="IT298" s="56"/>
      <c r="IU298" s="56"/>
    </row>
    <row r="299" spans="1:255" s="56" customFormat="1" x14ac:dyDescent="0.3">
      <c r="A299" s="72" t="s">
        <v>89</v>
      </c>
      <c r="B299" s="43" t="s">
        <v>8</v>
      </c>
      <c r="C299" s="60">
        <v>6391320</v>
      </c>
      <c r="E299" s="68"/>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c r="AQ299" s="66"/>
      <c r="AR299" s="66"/>
      <c r="AS299" s="66"/>
      <c r="AT299" s="66"/>
      <c r="AU299" s="66"/>
      <c r="AV299" s="66"/>
      <c r="AW299" s="66"/>
      <c r="AX299" s="66"/>
      <c r="AY299" s="66"/>
      <c r="AZ299" s="66"/>
      <c r="BA299" s="66"/>
      <c r="BB299" s="66"/>
      <c r="BC299" s="66"/>
      <c r="BD299" s="66"/>
      <c r="BE299" s="66"/>
      <c r="BF299" s="66"/>
      <c r="BG299" s="66"/>
      <c r="BH299" s="66"/>
      <c r="BI299" s="66"/>
      <c r="BJ299" s="66"/>
      <c r="BK299" s="66"/>
      <c r="BL299" s="66"/>
      <c r="BM299" s="66"/>
      <c r="BN299" s="66"/>
      <c r="BO299" s="66"/>
      <c r="BP299" s="66"/>
      <c r="BQ299" s="66"/>
      <c r="BR299" s="66"/>
      <c r="BS299" s="66"/>
      <c r="BT299" s="66"/>
      <c r="BU299" s="66"/>
      <c r="BV299" s="66"/>
      <c r="BW299" s="66"/>
      <c r="BX299" s="66"/>
      <c r="BY299" s="66"/>
      <c r="BZ299" s="66"/>
      <c r="CA299" s="66"/>
      <c r="CB299" s="66"/>
      <c r="CC299" s="66"/>
      <c r="CD299" s="66"/>
      <c r="CE299" s="66"/>
      <c r="CF299" s="66"/>
      <c r="CG299" s="66"/>
      <c r="CH299" s="66"/>
      <c r="CI299" s="66"/>
      <c r="CJ299" s="66"/>
      <c r="CK299" s="66"/>
      <c r="CL299" s="66"/>
      <c r="CM299" s="66"/>
      <c r="CN299" s="66"/>
      <c r="CO299" s="66"/>
      <c r="CP299" s="66"/>
      <c r="CQ299" s="66"/>
      <c r="CR299" s="66"/>
      <c r="CS299" s="66"/>
      <c r="CT299" s="66"/>
      <c r="CU299" s="66"/>
      <c r="CV299" s="66"/>
      <c r="CW299" s="66"/>
      <c r="CX299" s="66"/>
      <c r="CY299" s="66"/>
      <c r="CZ299" s="66"/>
      <c r="DA299" s="66"/>
      <c r="DB299" s="66"/>
      <c r="DC299" s="66"/>
      <c r="DD299" s="66"/>
      <c r="DE299" s="66"/>
      <c r="DF299" s="66"/>
      <c r="DG299" s="66"/>
      <c r="DH299" s="66"/>
      <c r="DI299" s="66"/>
      <c r="DJ299" s="66"/>
      <c r="DK299" s="66"/>
      <c r="DL299" s="66"/>
      <c r="DM299" s="66"/>
      <c r="DN299" s="66"/>
      <c r="DO299" s="66"/>
      <c r="DP299" s="66"/>
      <c r="DQ299" s="66"/>
      <c r="DR299" s="66"/>
      <c r="DS299" s="66"/>
      <c r="DT299" s="66"/>
      <c r="DU299" s="66"/>
      <c r="DV299" s="66"/>
      <c r="DW299" s="66"/>
      <c r="DX299" s="66"/>
      <c r="DY299" s="66"/>
      <c r="DZ299" s="66"/>
      <c r="EA299" s="66"/>
      <c r="EB299" s="66"/>
      <c r="EC299" s="66"/>
      <c r="ED299" s="66"/>
      <c r="EE299" s="66"/>
      <c r="EF299" s="66"/>
      <c r="EG299" s="66"/>
      <c r="EH299" s="66"/>
      <c r="EI299" s="66"/>
      <c r="EJ299" s="66"/>
      <c r="EK299" s="66"/>
      <c r="EL299" s="66"/>
      <c r="EM299" s="66"/>
      <c r="EN299" s="66"/>
      <c r="EO299" s="66"/>
      <c r="EP299" s="66"/>
      <c r="EQ299" s="66"/>
      <c r="ER299" s="66"/>
      <c r="ES299" s="66"/>
      <c r="ET299" s="66"/>
      <c r="EU299" s="66"/>
      <c r="EV299" s="66"/>
      <c r="EW299" s="66"/>
      <c r="EX299" s="66"/>
      <c r="EY299" s="66"/>
      <c r="EZ299" s="66"/>
      <c r="FA299" s="66"/>
      <c r="FB299" s="66"/>
      <c r="FC299" s="66"/>
      <c r="FD299" s="66"/>
      <c r="FE299" s="66"/>
      <c r="FF299" s="66"/>
      <c r="FG299" s="66"/>
      <c r="FH299" s="66"/>
      <c r="FI299" s="66"/>
      <c r="FJ299" s="66"/>
      <c r="FK299" s="66"/>
      <c r="FL299" s="66"/>
      <c r="FM299" s="66"/>
      <c r="FN299" s="66"/>
      <c r="FO299" s="66"/>
      <c r="FP299" s="66"/>
      <c r="FQ299" s="66"/>
      <c r="FR299" s="66"/>
      <c r="FS299" s="66"/>
      <c r="FT299" s="66"/>
      <c r="FU299" s="66"/>
      <c r="FV299" s="66"/>
      <c r="FW299" s="66"/>
      <c r="FX299" s="66"/>
      <c r="FY299" s="66"/>
      <c r="FZ299" s="66"/>
      <c r="GA299" s="66"/>
      <c r="GB299" s="66"/>
      <c r="GC299" s="66"/>
      <c r="GD299" s="66"/>
      <c r="GE299" s="66"/>
      <c r="GF299" s="66"/>
      <c r="GG299" s="66"/>
      <c r="GH299" s="66"/>
      <c r="GI299" s="66"/>
      <c r="GJ299" s="66"/>
      <c r="GK299" s="66"/>
      <c r="GL299" s="66"/>
      <c r="GM299" s="66"/>
      <c r="GN299" s="66"/>
      <c r="GO299" s="66"/>
      <c r="GP299" s="66"/>
      <c r="GQ299" s="66"/>
      <c r="GR299" s="66"/>
      <c r="GS299" s="66"/>
      <c r="GT299" s="66"/>
      <c r="GU299" s="66"/>
      <c r="GV299" s="66"/>
      <c r="GW299" s="66"/>
      <c r="GX299" s="66"/>
      <c r="GY299" s="66"/>
      <c r="GZ299" s="66"/>
      <c r="HA299" s="66"/>
      <c r="HB299" s="66"/>
      <c r="HC299" s="66"/>
      <c r="HD299" s="66"/>
      <c r="HE299" s="66"/>
      <c r="HF299" s="66"/>
      <c r="HG299" s="66"/>
      <c r="HH299" s="66"/>
      <c r="HI299" s="66"/>
      <c r="HJ299" s="66"/>
      <c r="HK299" s="66"/>
      <c r="HL299" s="66"/>
      <c r="HM299" s="66"/>
      <c r="HN299" s="66"/>
      <c r="HO299" s="66"/>
      <c r="HP299" s="66"/>
      <c r="HQ299" s="66"/>
      <c r="HR299" s="66"/>
      <c r="HS299" s="66"/>
      <c r="HT299" s="66"/>
      <c r="HU299" s="66"/>
      <c r="HV299" s="66"/>
      <c r="HW299" s="66"/>
      <c r="HX299" s="66"/>
      <c r="HY299" s="66"/>
      <c r="HZ299" s="66"/>
      <c r="IA299" s="66"/>
      <c r="IB299" s="66"/>
      <c r="IC299" s="66"/>
      <c r="ID299" s="66"/>
      <c r="IE299" s="66"/>
      <c r="IF299" s="66"/>
      <c r="IG299" s="66"/>
      <c r="IH299" s="66"/>
      <c r="II299" s="66"/>
      <c r="IJ299" s="66"/>
      <c r="IK299" s="66"/>
      <c r="IL299" s="66"/>
      <c r="IM299" s="66"/>
      <c r="IN299" s="66"/>
      <c r="IO299" s="66"/>
      <c r="IP299" s="66"/>
      <c r="IQ299" s="66"/>
      <c r="IR299" s="66"/>
      <c r="IS299" s="66"/>
      <c r="IT299" s="66"/>
      <c r="IU299" s="66"/>
    </row>
    <row r="300" spans="1:255" s="66" customFormat="1" x14ac:dyDescent="0.3">
      <c r="A300" s="72" t="s">
        <v>252</v>
      </c>
      <c r="B300" s="43" t="s">
        <v>253</v>
      </c>
      <c r="C300" s="60">
        <v>22606600</v>
      </c>
    </row>
    <row r="301" spans="1:255" s="66" customFormat="1" x14ac:dyDescent="0.3">
      <c r="A301" s="72" t="s">
        <v>181</v>
      </c>
      <c r="B301" s="43" t="s">
        <v>180</v>
      </c>
      <c r="C301" s="60">
        <v>145080</v>
      </c>
      <c r="D301" s="67"/>
      <c r="F301" s="204"/>
      <c r="G301" s="68"/>
    </row>
    <row r="302" spans="1:255" s="66" customFormat="1" x14ac:dyDescent="0.3">
      <c r="A302" s="59" t="s">
        <v>222</v>
      </c>
      <c r="B302" s="43" t="s">
        <v>221</v>
      </c>
      <c r="C302" s="60">
        <v>717280</v>
      </c>
      <c r="E302" s="68"/>
      <c r="F302" s="204"/>
      <c r="H302" s="67"/>
    </row>
    <row r="303" spans="1:255" s="8" customFormat="1" ht="13.5" customHeight="1" x14ac:dyDescent="0.3">
      <c r="A303" s="72" t="s">
        <v>90</v>
      </c>
      <c r="B303" s="24" t="s">
        <v>7</v>
      </c>
      <c r="C303" s="24">
        <v>1263000</v>
      </c>
      <c r="D303" s="357"/>
      <c r="F303" s="484"/>
      <c r="G303" s="504"/>
      <c r="H303" s="43"/>
      <c r="J303" s="83"/>
    </row>
    <row r="304" spans="1:255" s="66" customFormat="1" ht="13.5" thickBot="1" x14ac:dyDescent="0.35">
      <c r="A304" s="59"/>
      <c r="B304" s="101"/>
      <c r="C304" s="60"/>
      <c r="D304" s="67"/>
      <c r="E304" s="68"/>
      <c r="F304" s="204"/>
    </row>
    <row r="305" spans="1:255" s="66" customFormat="1" ht="13.5" thickBot="1" x14ac:dyDescent="0.35">
      <c r="A305" s="1142" t="s">
        <v>5</v>
      </c>
      <c r="B305" s="1143"/>
      <c r="C305" s="726">
        <f>C306</f>
        <v>971940</v>
      </c>
      <c r="D305" s="67"/>
      <c r="E305" s="68"/>
      <c r="F305" s="204"/>
    </row>
    <row r="306" spans="1:255" s="239" customFormat="1" x14ac:dyDescent="0.3">
      <c r="A306" s="63" t="s">
        <v>128</v>
      </c>
      <c r="B306" s="211" t="s">
        <v>129</v>
      </c>
      <c r="C306" s="563">
        <f>SUM(C307:C311)</f>
        <v>971940</v>
      </c>
      <c r="D306" s="180"/>
      <c r="E306" s="95"/>
      <c r="F306" s="99"/>
    </row>
    <row r="307" spans="1:255" s="239" customFormat="1" x14ac:dyDescent="0.3">
      <c r="A307" s="59" t="s">
        <v>254</v>
      </c>
      <c r="B307" s="99" t="s">
        <v>255</v>
      </c>
      <c r="C307" s="60">
        <v>165500</v>
      </c>
      <c r="D307" s="180"/>
      <c r="E307" s="95"/>
      <c r="F307" s="99"/>
    </row>
    <row r="308" spans="1:255" s="56" customFormat="1" x14ac:dyDescent="0.3">
      <c r="A308" s="59" t="s">
        <v>256</v>
      </c>
      <c r="B308" s="43" t="s">
        <v>257</v>
      </c>
      <c r="C308" s="60">
        <v>442440</v>
      </c>
      <c r="D308" s="180"/>
      <c r="E308" s="57"/>
      <c r="F308" s="99"/>
    </row>
    <row r="309" spans="1:255" s="8" customFormat="1" ht="11.5" x14ac:dyDescent="0.25">
      <c r="A309" s="72" t="s">
        <v>495</v>
      </c>
      <c r="B309" s="43" t="s">
        <v>496</v>
      </c>
      <c r="C309" s="60">
        <v>56000</v>
      </c>
      <c r="D309" s="96"/>
      <c r="E309" s="85"/>
      <c r="F309" s="180"/>
      <c r="G309" s="55"/>
      <c r="H309" s="43"/>
    </row>
    <row r="310" spans="1:255" s="56" customFormat="1" x14ac:dyDescent="0.3">
      <c r="A310" s="59" t="s">
        <v>146</v>
      </c>
      <c r="B310" s="43" t="s">
        <v>145</v>
      </c>
      <c r="C310" s="60">
        <v>78000</v>
      </c>
      <c r="D310" s="60"/>
      <c r="E310" s="57"/>
      <c r="F310" s="99"/>
    </row>
    <row r="311" spans="1:255" s="56" customFormat="1" x14ac:dyDescent="0.3">
      <c r="A311" s="59" t="s">
        <v>144</v>
      </c>
      <c r="B311" s="43" t="s">
        <v>258</v>
      </c>
      <c r="C311" s="60">
        <v>230000</v>
      </c>
      <c r="D311" s="60"/>
      <c r="E311" s="57"/>
      <c r="F311" s="99"/>
    </row>
    <row r="312" spans="1:255" s="66" customFormat="1" ht="13.5" thickBot="1" x14ac:dyDescent="0.35">
      <c r="A312" s="70"/>
      <c r="B312" s="70"/>
      <c r="C312" s="60"/>
      <c r="D312" s="67"/>
      <c r="E312" s="68"/>
      <c r="F312" s="204"/>
    </row>
    <row r="313" spans="1:255" s="66" customFormat="1" ht="13.5" thickBot="1" x14ac:dyDescent="0.35">
      <c r="A313" s="1094" t="s">
        <v>4</v>
      </c>
      <c r="B313" s="1095"/>
      <c r="C313" s="702">
        <f>C314+C316+C320</f>
        <v>187520</v>
      </c>
      <c r="D313" s="67"/>
      <c r="E313" s="68"/>
      <c r="F313" s="204"/>
    </row>
    <row r="314" spans="1:255" s="239" customFormat="1" x14ac:dyDescent="0.3">
      <c r="A314" s="265" t="s">
        <v>179</v>
      </c>
      <c r="B314" s="298" t="s">
        <v>178</v>
      </c>
      <c r="C314" s="563">
        <f>SUM(C315)</f>
        <v>36400</v>
      </c>
      <c r="D314" s="180"/>
      <c r="E314" s="95"/>
      <c r="F314" s="99"/>
    </row>
    <row r="315" spans="1:255" s="66" customFormat="1" x14ac:dyDescent="0.3">
      <c r="A315" s="72" t="s">
        <v>173</v>
      </c>
      <c r="B315" s="43" t="s">
        <v>172</v>
      </c>
      <c r="C315" s="60">
        <v>36400</v>
      </c>
      <c r="D315" s="242"/>
      <c r="E315" s="62"/>
      <c r="F315" s="223"/>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52"/>
      <c r="CD315" s="52"/>
      <c r="CE315" s="52"/>
      <c r="CF315" s="52"/>
      <c r="CG315" s="52"/>
      <c r="CH315" s="52"/>
      <c r="CI315" s="52"/>
      <c r="CJ315" s="52"/>
      <c r="CK315" s="52"/>
      <c r="CL315" s="52"/>
      <c r="CM315" s="52"/>
      <c r="CN315" s="52"/>
      <c r="CO315" s="52"/>
      <c r="CP315" s="52"/>
      <c r="CQ315" s="52"/>
      <c r="CR315" s="52"/>
      <c r="CS315" s="52"/>
      <c r="CT315" s="52"/>
      <c r="CU315" s="52"/>
      <c r="CV315" s="52"/>
      <c r="CW315" s="52"/>
      <c r="CX315" s="52"/>
      <c r="CY315" s="52"/>
      <c r="CZ315" s="52"/>
      <c r="DA315" s="52"/>
      <c r="DB315" s="52"/>
      <c r="DC315" s="52"/>
      <c r="DD315" s="52"/>
      <c r="DE315" s="52"/>
      <c r="DF315" s="52"/>
      <c r="DG315" s="52"/>
      <c r="DH315" s="52"/>
      <c r="DI315" s="52"/>
      <c r="DJ315" s="52"/>
      <c r="DK315" s="52"/>
      <c r="DL315" s="52"/>
      <c r="DM315" s="52"/>
      <c r="DN315" s="52"/>
      <c r="DO315" s="52"/>
      <c r="DP315" s="52"/>
      <c r="DQ315" s="52"/>
      <c r="DR315" s="52"/>
      <c r="DS315" s="52"/>
      <c r="DT315" s="52"/>
      <c r="DU315" s="52"/>
      <c r="DV315" s="52"/>
      <c r="DW315" s="52"/>
      <c r="DX315" s="52"/>
      <c r="DY315" s="52"/>
      <c r="DZ315" s="52"/>
      <c r="EA315" s="52"/>
      <c r="EB315" s="52"/>
      <c r="EC315" s="52"/>
      <c r="ED315" s="52"/>
      <c r="EE315" s="52"/>
      <c r="EF315" s="52"/>
      <c r="EG315" s="52"/>
      <c r="EH315" s="52"/>
      <c r="EI315" s="52"/>
      <c r="EJ315" s="52"/>
      <c r="EK315" s="52"/>
      <c r="EL315" s="52"/>
      <c r="EM315" s="52"/>
      <c r="EN315" s="52"/>
      <c r="EO315" s="52"/>
      <c r="EP315" s="52"/>
      <c r="EQ315" s="52"/>
      <c r="ER315" s="52"/>
      <c r="ES315" s="52"/>
      <c r="ET315" s="52"/>
      <c r="EU315" s="52"/>
      <c r="EV315" s="52"/>
      <c r="EW315" s="52"/>
      <c r="EX315" s="52"/>
      <c r="EY315" s="52"/>
      <c r="EZ315" s="52"/>
      <c r="FA315" s="52"/>
      <c r="FB315" s="52"/>
      <c r="FC315" s="52"/>
      <c r="FD315" s="52"/>
      <c r="FE315" s="52"/>
      <c r="FF315" s="52"/>
      <c r="FG315" s="52"/>
      <c r="FH315" s="52"/>
      <c r="FI315" s="52"/>
      <c r="FJ315" s="52"/>
      <c r="FK315" s="52"/>
      <c r="FL315" s="52"/>
      <c r="FM315" s="52"/>
      <c r="FN315" s="52"/>
      <c r="FO315" s="52"/>
      <c r="FP315" s="52"/>
      <c r="FQ315" s="52"/>
      <c r="FR315" s="52"/>
      <c r="FS315" s="52"/>
      <c r="FT315" s="52"/>
      <c r="FU315" s="52"/>
      <c r="FV315" s="52"/>
      <c r="FW315" s="52"/>
      <c r="FX315" s="52"/>
      <c r="FY315" s="52"/>
      <c r="FZ315" s="52"/>
      <c r="GA315" s="52"/>
      <c r="GB315" s="52"/>
      <c r="GC315" s="52"/>
      <c r="GD315" s="52"/>
      <c r="GE315" s="52"/>
      <c r="GF315" s="52"/>
      <c r="GG315" s="52"/>
      <c r="GH315" s="52"/>
      <c r="GI315" s="52"/>
      <c r="GJ315" s="52"/>
      <c r="GK315" s="52"/>
      <c r="GL315" s="52"/>
      <c r="GM315" s="52"/>
      <c r="GN315" s="52"/>
      <c r="GO315" s="52"/>
      <c r="GP315" s="52"/>
      <c r="GQ315" s="52"/>
      <c r="GR315" s="52"/>
      <c r="GS315" s="52"/>
      <c r="GT315" s="52"/>
      <c r="GU315" s="52"/>
      <c r="GV315" s="52"/>
      <c r="GW315" s="52"/>
      <c r="GX315" s="52"/>
      <c r="GY315" s="52"/>
      <c r="GZ315" s="52"/>
      <c r="HA315" s="52"/>
      <c r="HB315" s="52"/>
      <c r="HC315" s="52"/>
      <c r="HD315" s="52"/>
      <c r="HE315" s="52"/>
      <c r="HF315" s="52"/>
      <c r="HG315" s="52"/>
      <c r="HH315" s="52"/>
      <c r="HI315" s="52"/>
      <c r="HJ315" s="52"/>
      <c r="HK315" s="52"/>
      <c r="HL315" s="52"/>
      <c r="HM315" s="52"/>
      <c r="HN315" s="52"/>
      <c r="HO315" s="52"/>
      <c r="HP315" s="52"/>
      <c r="HQ315" s="52"/>
      <c r="HR315" s="52"/>
      <c r="HS315" s="52"/>
      <c r="HT315" s="52"/>
      <c r="HU315" s="52"/>
      <c r="HV315" s="52"/>
      <c r="HW315" s="52"/>
      <c r="HX315" s="52"/>
      <c r="HY315" s="52"/>
      <c r="HZ315" s="52"/>
      <c r="IA315" s="52"/>
      <c r="IB315" s="52"/>
      <c r="IC315" s="52"/>
      <c r="ID315" s="52"/>
      <c r="IE315" s="52"/>
      <c r="IF315" s="52"/>
      <c r="IG315" s="52"/>
      <c r="IH315" s="52"/>
      <c r="II315" s="52"/>
      <c r="IJ315" s="52"/>
      <c r="IK315" s="52"/>
      <c r="IL315" s="52"/>
      <c r="IM315" s="52"/>
      <c r="IN315" s="52"/>
      <c r="IO315" s="52"/>
      <c r="IP315" s="52"/>
      <c r="IQ315" s="52"/>
      <c r="IR315" s="52"/>
      <c r="IS315" s="52"/>
      <c r="IT315" s="52"/>
      <c r="IU315" s="52"/>
    </row>
    <row r="316" spans="1:255" s="66" customFormat="1" x14ac:dyDescent="0.3">
      <c r="A316" s="265" t="s">
        <v>116</v>
      </c>
      <c r="B316" s="298" t="s">
        <v>117</v>
      </c>
      <c r="C316" s="64">
        <f>SUM(C317:C319)</f>
        <v>131000</v>
      </c>
      <c r="D316" s="242"/>
      <c r="E316" s="62"/>
      <c r="F316" s="223"/>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52"/>
      <c r="CD316" s="52"/>
      <c r="CE316" s="52"/>
      <c r="CF316" s="52"/>
      <c r="CG316" s="52"/>
      <c r="CH316" s="52"/>
      <c r="CI316" s="52"/>
      <c r="CJ316" s="52"/>
      <c r="CK316" s="52"/>
      <c r="CL316" s="52"/>
      <c r="CM316" s="52"/>
      <c r="CN316" s="52"/>
      <c r="CO316" s="52"/>
      <c r="CP316" s="52"/>
      <c r="CQ316" s="52"/>
      <c r="CR316" s="52"/>
      <c r="CS316" s="52"/>
      <c r="CT316" s="52"/>
      <c r="CU316" s="52"/>
      <c r="CV316" s="52"/>
      <c r="CW316" s="52"/>
      <c r="CX316" s="52"/>
      <c r="CY316" s="52"/>
      <c r="CZ316" s="52"/>
      <c r="DA316" s="52"/>
      <c r="DB316" s="52"/>
      <c r="DC316" s="52"/>
      <c r="DD316" s="52"/>
      <c r="DE316" s="52"/>
      <c r="DF316" s="52"/>
      <c r="DG316" s="52"/>
      <c r="DH316" s="52"/>
      <c r="DI316" s="52"/>
      <c r="DJ316" s="52"/>
      <c r="DK316" s="52"/>
      <c r="DL316" s="52"/>
      <c r="DM316" s="52"/>
      <c r="DN316" s="52"/>
      <c r="DO316" s="52"/>
      <c r="DP316" s="52"/>
      <c r="DQ316" s="52"/>
      <c r="DR316" s="52"/>
      <c r="DS316" s="52"/>
      <c r="DT316" s="52"/>
      <c r="DU316" s="52"/>
      <c r="DV316" s="52"/>
      <c r="DW316" s="52"/>
      <c r="DX316" s="52"/>
      <c r="DY316" s="52"/>
      <c r="DZ316" s="52"/>
      <c r="EA316" s="52"/>
      <c r="EB316" s="52"/>
      <c r="EC316" s="52"/>
      <c r="ED316" s="52"/>
      <c r="EE316" s="52"/>
      <c r="EF316" s="52"/>
      <c r="EG316" s="52"/>
      <c r="EH316" s="52"/>
      <c r="EI316" s="52"/>
      <c r="EJ316" s="52"/>
      <c r="EK316" s="52"/>
      <c r="EL316" s="52"/>
      <c r="EM316" s="52"/>
      <c r="EN316" s="52"/>
      <c r="EO316" s="52"/>
      <c r="EP316" s="52"/>
      <c r="EQ316" s="52"/>
      <c r="ER316" s="52"/>
      <c r="ES316" s="52"/>
      <c r="ET316" s="52"/>
      <c r="EU316" s="52"/>
      <c r="EV316" s="52"/>
      <c r="EW316" s="52"/>
      <c r="EX316" s="52"/>
      <c r="EY316" s="52"/>
      <c r="EZ316" s="52"/>
      <c r="FA316" s="52"/>
      <c r="FB316" s="52"/>
      <c r="FC316" s="52"/>
      <c r="FD316" s="52"/>
      <c r="FE316" s="52"/>
      <c r="FF316" s="52"/>
      <c r="FG316" s="52"/>
      <c r="FH316" s="52"/>
      <c r="FI316" s="52"/>
      <c r="FJ316" s="52"/>
      <c r="FK316" s="52"/>
      <c r="FL316" s="52"/>
      <c r="FM316" s="52"/>
      <c r="FN316" s="52"/>
      <c r="FO316" s="52"/>
      <c r="FP316" s="52"/>
      <c r="FQ316" s="52"/>
      <c r="FR316" s="52"/>
      <c r="FS316" s="52"/>
      <c r="FT316" s="52"/>
      <c r="FU316" s="52"/>
      <c r="FV316" s="52"/>
      <c r="FW316" s="52"/>
      <c r="FX316" s="52"/>
      <c r="FY316" s="52"/>
      <c r="FZ316" s="52"/>
      <c r="GA316" s="52"/>
      <c r="GB316" s="52"/>
      <c r="GC316" s="52"/>
      <c r="GD316" s="52"/>
      <c r="GE316" s="52"/>
      <c r="GF316" s="52"/>
      <c r="GG316" s="52"/>
      <c r="GH316" s="52"/>
      <c r="GI316" s="52"/>
      <c r="GJ316" s="52"/>
      <c r="GK316" s="52"/>
      <c r="GL316" s="52"/>
      <c r="GM316" s="52"/>
      <c r="GN316" s="52"/>
      <c r="GO316" s="52"/>
      <c r="GP316" s="52"/>
      <c r="GQ316" s="52"/>
      <c r="GR316" s="52"/>
      <c r="GS316" s="52"/>
      <c r="GT316" s="52"/>
      <c r="GU316" s="52"/>
      <c r="GV316" s="52"/>
      <c r="GW316" s="52"/>
      <c r="GX316" s="52"/>
      <c r="GY316" s="52"/>
      <c r="GZ316" s="52"/>
      <c r="HA316" s="52"/>
      <c r="HB316" s="52"/>
      <c r="HC316" s="52"/>
      <c r="HD316" s="52"/>
      <c r="HE316" s="52"/>
      <c r="HF316" s="52"/>
      <c r="HG316" s="52"/>
      <c r="HH316" s="52"/>
      <c r="HI316" s="52"/>
      <c r="HJ316" s="52"/>
      <c r="HK316" s="52"/>
      <c r="HL316" s="52"/>
      <c r="HM316" s="52"/>
      <c r="HN316" s="52"/>
      <c r="HO316" s="52"/>
      <c r="HP316" s="52"/>
      <c r="HQ316" s="52"/>
      <c r="HR316" s="52"/>
      <c r="HS316" s="52"/>
      <c r="HT316" s="52"/>
      <c r="HU316" s="52"/>
      <c r="HV316" s="52"/>
      <c r="HW316" s="52"/>
      <c r="HX316" s="52"/>
      <c r="HY316" s="52"/>
      <c r="HZ316" s="52"/>
      <c r="IA316" s="52"/>
      <c r="IB316" s="52"/>
      <c r="IC316" s="52"/>
      <c r="ID316" s="52"/>
      <c r="IE316" s="52"/>
      <c r="IF316" s="52"/>
      <c r="IG316" s="52"/>
      <c r="IH316" s="52"/>
      <c r="II316" s="52"/>
      <c r="IJ316" s="52"/>
      <c r="IK316" s="52"/>
      <c r="IL316" s="52"/>
      <c r="IM316" s="52"/>
      <c r="IN316" s="52"/>
      <c r="IO316" s="52"/>
      <c r="IP316" s="52"/>
      <c r="IQ316" s="52"/>
      <c r="IR316" s="52"/>
      <c r="IS316" s="52"/>
      <c r="IT316" s="52"/>
      <c r="IU316" s="52"/>
    </row>
    <row r="317" spans="1:255" s="66" customFormat="1" x14ac:dyDescent="0.3">
      <c r="A317" s="72" t="s">
        <v>91</v>
      </c>
      <c r="B317" s="43" t="s">
        <v>139</v>
      </c>
      <c r="C317" s="60">
        <v>70500</v>
      </c>
      <c r="D317" s="67"/>
      <c r="E317" s="68"/>
      <c r="F317" s="204"/>
    </row>
    <row r="318" spans="1:255" s="52" customFormat="1" x14ac:dyDescent="0.3">
      <c r="A318" s="72" t="s">
        <v>57</v>
      </c>
      <c r="B318" s="43" t="s">
        <v>58</v>
      </c>
      <c r="C318" s="60">
        <v>30500</v>
      </c>
      <c r="D318" s="67"/>
      <c r="E318" s="68"/>
      <c r="F318" s="204"/>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c r="AQ318" s="66"/>
      <c r="AR318" s="66"/>
      <c r="AS318" s="66"/>
      <c r="AT318" s="66"/>
      <c r="AU318" s="66"/>
      <c r="AV318" s="66"/>
      <c r="AW318" s="66"/>
      <c r="AX318" s="66"/>
      <c r="AY318" s="66"/>
      <c r="AZ318" s="66"/>
      <c r="BA318" s="66"/>
      <c r="BB318" s="66"/>
      <c r="BC318" s="66"/>
      <c r="BD318" s="66"/>
      <c r="BE318" s="66"/>
      <c r="BF318" s="66"/>
      <c r="BG318" s="66"/>
      <c r="BH318" s="66"/>
      <c r="BI318" s="66"/>
      <c r="BJ318" s="66"/>
      <c r="BK318" s="66"/>
      <c r="BL318" s="66"/>
      <c r="BM318" s="66"/>
      <c r="BN318" s="66"/>
      <c r="BO318" s="66"/>
      <c r="BP318" s="66"/>
      <c r="BQ318" s="66"/>
      <c r="BR318" s="66"/>
      <c r="BS318" s="66"/>
      <c r="BT318" s="66"/>
      <c r="BU318" s="66"/>
      <c r="BV318" s="66"/>
      <c r="BW318" s="66"/>
      <c r="BX318" s="66"/>
      <c r="BY318" s="66"/>
      <c r="BZ318" s="66"/>
      <c r="CA318" s="66"/>
      <c r="CB318" s="66"/>
      <c r="CC318" s="66"/>
      <c r="CD318" s="66"/>
      <c r="CE318" s="66"/>
      <c r="CF318" s="66"/>
      <c r="CG318" s="66"/>
      <c r="CH318" s="66"/>
      <c r="CI318" s="66"/>
      <c r="CJ318" s="66"/>
      <c r="CK318" s="66"/>
      <c r="CL318" s="66"/>
      <c r="CM318" s="66"/>
      <c r="CN318" s="66"/>
      <c r="CO318" s="66"/>
      <c r="CP318" s="66"/>
      <c r="CQ318" s="66"/>
      <c r="CR318" s="66"/>
      <c r="CS318" s="66"/>
      <c r="CT318" s="66"/>
      <c r="CU318" s="66"/>
      <c r="CV318" s="66"/>
      <c r="CW318" s="66"/>
      <c r="CX318" s="66"/>
      <c r="CY318" s="66"/>
      <c r="CZ318" s="66"/>
      <c r="DA318" s="66"/>
      <c r="DB318" s="66"/>
      <c r="DC318" s="66"/>
      <c r="DD318" s="66"/>
      <c r="DE318" s="66"/>
      <c r="DF318" s="66"/>
      <c r="DG318" s="66"/>
      <c r="DH318" s="66"/>
      <c r="DI318" s="66"/>
      <c r="DJ318" s="66"/>
      <c r="DK318" s="66"/>
      <c r="DL318" s="66"/>
      <c r="DM318" s="66"/>
      <c r="DN318" s="66"/>
      <c r="DO318" s="66"/>
      <c r="DP318" s="66"/>
      <c r="DQ318" s="66"/>
      <c r="DR318" s="66"/>
      <c r="DS318" s="66"/>
      <c r="DT318" s="66"/>
      <c r="DU318" s="66"/>
      <c r="DV318" s="66"/>
      <c r="DW318" s="66"/>
      <c r="DX318" s="66"/>
      <c r="DY318" s="66"/>
      <c r="DZ318" s="66"/>
      <c r="EA318" s="66"/>
      <c r="EB318" s="66"/>
      <c r="EC318" s="66"/>
      <c r="ED318" s="66"/>
      <c r="EE318" s="66"/>
      <c r="EF318" s="66"/>
      <c r="EG318" s="66"/>
      <c r="EH318" s="66"/>
      <c r="EI318" s="66"/>
      <c r="EJ318" s="66"/>
      <c r="EK318" s="66"/>
      <c r="EL318" s="66"/>
      <c r="EM318" s="66"/>
      <c r="EN318" s="66"/>
      <c r="EO318" s="66"/>
      <c r="EP318" s="66"/>
      <c r="EQ318" s="66"/>
      <c r="ER318" s="66"/>
      <c r="ES318" s="66"/>
      <c r="ET318" s="66"/>
      <c r="EU318" s="66"/>
      <c r="EV318" s="66"/>
      <c r="EW318" s="66"/>
      <c r="EX318" s="66"/>
      <c r="EY318" s="66"/>
      <c r="EZ318" s="66"/>
      <c r="FA318" s="66"/>
      <c r="FB318" s="66"/>
      <c r="FC318" s="66"/>
      <c r="FD318" s="66"/>
      <c r="FE318" s="66"/>
      <c r="FF318" s="66"/>
      <c r="FG318" s="66"/>
      <c r="FH318" s="66"/>
      <c r="FI318" s="66"/>
      <c r="FJ318" s="66"/>
      <c r="FK318" s="66"/>
      <c r="FL318" s="66"/>
      <c r="FM318" s="66"/>
      <c r="FN318" s="66"/>
      <c r="FO318" s="66"/>
      <c r="FP318" s="66"/>
      <c r="FQ318" s="66"/>
      <c r="FR318" s="66"/>
      <c r="FS318" s="66"/>
      <c r="FT318" s="66"/>
      <c r="FU318" s="66"/>
      <c r="FV318" s="66"/>
      <c r="FW318" s="66"/>
      <c r="FX318" s="66"/>
      <c r="FY318" s="66"/>
      <c r="FZ318" s="66"/>
      <c r="GA318" s="66"/>
      <c r="GB318" s="66"/>
      <c r="GC318" s="66"/>
      <c r="GD318" s="66"/>
      <c r="GE318" s="66"/>
      <c r="GF318" s="66"/>
      <c r="GG318" s="66"/>
      <c r="GH318" s="66"/>
      <c r="GI318" s="66"/>
      <c r="GJ318" s="66"/>
      <c r="GK318" s="66"/>
      <c r="GL318" s="66"/>
      <c r="GM318" s="66"/>
      <c r="GN318" s="66"/>
      <c r="GO318" s="66"/>
      <c r="GP318" s="66"/>
      <c r="GQ318" s="66"/>
      <c r="GR318" s="66"/>
      <c r="GS318" s="66"/>
      <c r="GT318" s="66"/>
      <c r="GU318" s="66"/>
      <c r="GV318" s="66"/>
      <c r="GW318" s="66"/>
      <c r="GX318" s="66"/>
      <c r="GY318" s="66"/>
      <c r="GZ318" s="66"/>
      <c r="HA318" s="66"/>
      <c r="HB318" s="66"/>
      <c r="HC318" s="66"/>
      <c r="HD318" s="66"/>
      <c r="HE318" s="66"/>
      <c r="HF318" s="66"/>
      <c r="HG318" s="66"/>
      <c r="HH318" s="66"/>
      <c r="HI318" s="66"/>
      <c r="HJ318" s="66"/>
      <c r="HK318" s="66"/>
      <c r="HL318" s="66"/>
      <c r="HM318" s="66"/>
      <c r="HN318" s="66"/>
      <c r="HO318" s="66"/>
      <c r="HP318" s="66"/>
      <c r="HQ318" s="66"/>
      <c r="HR318" s="66"/>
      <c r="HS318" s="66"/>
      <c r="HT318" s="66"/>
      <c r="HU318" s="66"/>
      <c r="HV318" s="66"/>
      <c r="HW318" s="66"/>
      <c r="HX318" s="66"/>
      <c r="HY318" s="66"/>
      <c r="HZ318" s="66"/>
      <c r="IA318" s="66"/>
      <c r="IB318" s="66"/>
      <c r="IC318" s="66"/>
      <c r="ID318" s="66"/>
      <c r="IE318" s="66"/>
      <c r="IF318" s="66"/>
      <c r="IG318" s="66"/>
      <c r="IH318" s="66"/>
      <c r="II318" s="66"/>
      <c r="IJ318" s="66"/>
      <c r="IK318" s="66"/>
      <c r="IL318" s="66"/>
      <c r="IM318" s="66"/>
      <c r="IN318" s="66"/>
      <c r="IO318" s="66"/>
      <c r="IP318" s="66"/>
      <c r="IQ318" s="66"/>
      <c r="IR318" s="66"/>
      <c r="IS318" s="66"/>
      <c r="IT318" s="66"/>
      <c r="IU318" s="66"/>
    </row>
    <row r="319" spans="1:255" s="8" customFormat="1" ht="13.5" customHeight="1" x14ac:dyDescent="0.25">
      <c r="A319" s="72" t="s">
        <v>814</v>
      </c>
      <c r="B319" s="23" t="s">
        <v>815</v>
      </c>
      <c r="C319" s="24">
        <v>30000</v>
      </c>
      <c r="D319" s="78"/>
      <c r="E319" s="25"/>
      <c r="F319" s="99"/>
      <c r="G319" s="55"/>
      <c r="H319" s="43"/>
    </row>
    <row r="320" spans="1:255" s="52" customFormat="1" x14ac:dyDescent="0.3">
      <c r="A320" s="265" t="s">
        <v>166</v>
      </c>
      <c r="B320" s="25" t="s">
        <v>135</v>
      </c>
      <c r="C320" s="64">
        <f>SUM(C321)</f>
        <v>20120</v>
      </c>
      <c r="D320" s="67"/>
      <c r="E320" s="68"/>
      <c r="F320" s="204"/>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c r="AQ320" s="66"/>
      <c r="AR320" s="66"/>
      <c r="AS320" s="66"/>
      <c r="AT320" s="66"/>
      <c r="AU320" s="66"/>
      <c r="AV320" s="66"/>
      <c r="AW320" s="66"/>
      <c r="AX320" s="66"/>
      <c r="AY320" s="66"/>
      <c r="AZ320" s="66"/>
      <c r="BA320" s="66"/>
      <c r="BB320" s="66"/>
      <c r="BC320" s="66"/>
      <c r="BD320" s="66"/>
      <c r="BE320" s="66"/>
      <c r="BF320" s="66"/>
      <c r="BG320" s="66"/>
      <c r="BH320" s="66"/>
      <c r="BI320" s="66"/>
      <c r="BJ320" s="66"/>
      <c r="BK320" s="66"/>
      <c r="BL320" s="66"/>
      <c r="BM320" s="66"/>
      <c r="BN320" s="66"/>
      <c r="BO320" s="66"/>
      <c r="BP320" s="66"/>
      <c r="BQ320" s="66"/>
      <c r="BR320" s="66"/>
      <c r="BS320" s="66"/>
      <c r="BT320" s="66"/>
      <c r="BU320" s="66"/>
      <c r="BV320" s="66"/>
      <c r="BW320" s="66"/>
      <c r="BX320" s="66"/>
      <c r="BY320" s="66"/>
      <c r="BZ320" s="66"/>
      <c r="CA320" s="66"/>
      <c r="CB320" s="66"/>
      <c r="CC320" s="66"/>
      <c r="CD320" s="66"/>
      <c r="CE320" s="66"/>
      <c r="CF320" s="66"/>
      <c r="CG320" s="66"/>
      <c r="CH320" s="66"/>
      <c r="CI320" s="66"/>
      <c r="CJ320" s="66"/>
      <c r="CK320" s="66"/>
      <c r="CL320" s="66"/>
      <c r="CM320" s="66"/>
      <c r="CN320" s="66"/>
      <c r="CO320" s="66"/>
      <c r="CP320" s="66"/>
      <c r="CQ320" s="66"/>
      <c r="CR320" s="66"/>
      <c r="CS320" s="66"/>
      <c r="CT320" s="66"/>
      <c r="CU320" s="66"/>
      <c r="CV320" s="66"/>
      <c r="CW320" s="66"/>
      <c r="CX320" s="66"/>
      <c r="CY320" s="66"/>
      <c r="CZ320" s="66"/>
      <c r="DA320" s="66"/>
      <c r="DB320" s="66"/>
      <c r="DC320" s="66"/>
      <c r="DD320" s="66"/>
      <c r="DE320" s="66"/>
      <c r="DF320" s="66"/>
      <c r="DG320" s="66"/>
      <c r="DH320" s="66"/>
      <c r="DI320" s="66"/>
      <c r="DJ320" s="66"/>
      <c r="DK320" s="66"/>
      <c r="DL320" s="66"/>
      <c r="DM320" s="66"/>
      <c r="DN320" s="66"/>
      <c r="DO320" s="66"/>
      <c r="DP320" s="66"/>
      <c r="DQ320" s="66"/>
      <c r="DR320" s="66"/>
      <c r="DS320" s="66"/>
      <c r="DT320" s="66"/>
      <c r="DU320" s="66"/>
      <c r="DV320" s="66"/>
      <c r="DW320" s="66"/>
      <c r="DX320" s="66"/>
      <c r="DY320" s="66"/>
      <c r="DZ320" s="66"/>
      <c r="EA320" s="66"/>
      <c r="EB320" s="66"/>
      <c r="EC320" s="66"/>
      <c r="ED320" s="66"/>
      <c r="EE320" s="66"/>
      <c r="EF320" s="66"/>
      <c r="EG320" s="66"/>
      <c r="EH320" s="66"/>
      <c r="EI320" s="66"/>
      <c r="EJ320" s="66"/>
      <c r="EK320" s="66"/>
      <c r="EL320" s="66"/>
      <c r="EM320" s="66"/>
      <c r="EN320" s="66"/>
      <c r="EO320" s="66"/>
      <c r="EP320" s="66"/>
      <c r="EQ320" s="66"/>
      <c r="ER320" s="66"/>
      <c r="ES320" s="66"/>
      <c r="ET320" s="66"/>
      <c r="EU320" s="66"/>
      <c r="EV320" s="66"/>
      <c r="EW320" s="66"/>
      <c r="EX320" s="66"/>
      <c r="EY320" s="66"/>
      <c r="EZ320" s="66"/>
      <c r="FA320" s="66"/>
      <c r="FB320" s="66"/>
      <c r="FC320" s="66"/>
      <c r="FD320" s="66"/>
      <c r="FE320" s="66"/>
      <c r="FF320" s="66"/>
      <c r="FG320" s="66"/>
      <c r="FH320" s="66"/>
      <c r="FI320" s="66"/>
      <c r="FJ320" s="66"/>
      <c r="FK320" s="66"/>
      <c r="FL320" s="66"/>
      <c r="FM320" s="66"/>
      <c r="FN320" s="66"/>
      <c r="FO320" s="66"/>
      <c r="FP320" s="66"/>
      <c r="FQ320" s="66"/>
      <c r="FR320" s="66"/>
      <c r="FS320" s="66"/>
      <c r="FT320" s="66"/>
      <c r="FU320" s="66"/>
      <c r="FV320" s="66"/>
      <c r="FW320" s="66"/>
      <c r="FX320" s="66"/>
      <c r="FY320" s="66"/>
      <c r="FZ320" s="66"/>
      <c r="GA320" s="66"/>
      <c r="GB320" s="66"/>
      <c r="GC320" s="66"/>
      <c r="GD320" s="66"/>
      <c r="GE320" s="66"/>
      <c r="GF320" s="66"/>
      <c r="GG320" s="66"/>
      <c r="GH320" s="66"/>
      <c r="GI320" s="66"/>
      <c r="GJ320" s="66"/>
      <c r="GK320" s="66"/>
      <c r="GL320" s="66"/>
      <c r="GM320" s="66"/>
      <c r="GN320" s="66"/>
      <c r="GO320" s="66"/>
      <c r="GP320" s="66"/>
      <c r="GQ320" s="66"/>
      <c r="GR320" s="66"/>
      <c r="GS320" s="66"/>
      <c r="GT320" s="66"/>
      <c r="GU320" s="66"/>
      <c r="GV320" s="66"/>
      <c r="GW320" s="66"/>
      <c r="GX320" s="66"/>
      <c r="GY320" s="66"/>
      <c r="GZ320" s="66"/>
      <c r="HA320" s="66"/>
      <c r="HB320" s="66"/>
      <c r="HC320" s="66"/>
      <c r="HD320" s="66"/>
      <c r="HE320" s="66"/>
      <c r="HF320" s="66"/>
      <c r="HG320" s="66"/>
      <c r="HH320" s="66"/>
      <c r="HI320" s="66"/>
      <c r="HJ320" s="66"/>
      <c r="HK320" s="66"/>
      <c r="HL320" s="66"/>
      <c r="HM320" s="66"/>
      <c r="HN320" s="66"/>
      <c r="HO320" s="66"/>
      <c r="HP320" s="66"/>
      <c r="HQ320" s="66"/>
      <c r="HR320" s="66"/>
      <c r="HS320" s="66"/>
      <c r="HT320" s="66"/>
      <c r="HU320" s="66"/>
      <c r="HV320" s="66"/>
      <c r="HW320" s="66"/>
      <c r="HX320" s="66"/>
      <c r="HY320" s="66"/>
      <c r="HZ320" s="66"/>
      <c r="IA320" s="66"/>
      <c r="IB320" s="66"/>
      <c r="IC320" s="66"/>
      <c r="ID320" s="66"/>
      <c r="IE320" s="66"/>
      <c r="IF320" s="66"/>
      <c r="IG320" s="66"/>
      <c r="IH320" s="66"/>
      <c r="II320" s="66"/>
      <c r="IJ320" s="66"/>
      <c r="IK320" s="66"/>
      <c r="IL320" s="66"/>
      <c r="IM320" s="66"/>
      <c r="IN320" s="66"/>
      <c r="IO320" s="66"/>
      <c r="IP320" s="66"/>
      <c r="IQ320" s="66"/>
      <c r="IR320" s="66"/>
      <c r="IS320" s="66"/>
      <c r="IT320" s="66"/>
      <c r="IU320" s="66"/>
    </row>
    <row r="321" spans="1:255" s="52" customFormat="1" x14ac:dyDescent="0.3">
      <c r="A321" s="72" t="s">
        <v>167</v>
      </c>
      <c r="B321" s="43" t="s">
        <v>51</v>
      </c>
      <c r="C321" s="60">
        <v>20120</v>
      </c>
      <c r="D321" s="67"/>
      <c r="E321" s="68"/>
      <c r="F321" s="204"/>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c r="AQ321" s="66"/>
      <c r="AR321" s="66"/>
      <c r="AS321" s="66"/>
      <c r="AT321" s="66"/>
      <c r="AU321" s="66"/>
      <c r="AV321" s="66"/>
      <c r="AW321" s="66"/>
      <c r="AX321" s="66"/>
      <c r="AY321" s="66"/>
      <c r="AZ321" s="66"/>
      <c r="BA321" s="66"/>
      <c r="BB321" s="66"/>
      <c r="BC321" s="66"/>
      <c r="BD321" s="66"/>
      <c r="BE321" s="66"/>
      <c r="BF321" s="66"/>
      <c r="BG321" s="66"/>
      <c r="BH321" s="66"/>
      <c r="BI321" s="66"/>
      <c r="BJ321" s="66"/>
      <c r="BK321" s="66"/>
      <c r="BL321" s="66"/>
      <c r="BM321" s="66"/>
      <c r="BN321" s="66"/>
      <c r="BO321" s="66"/>
      <c r="BP321" s="66"/>
      <c r="BQ321" s="66"/>
      <c r="BR321" s="66"/>
      <c r="BS321" s="66"/>
      <c r="BT321" s="66"/>
      <c r="BU321" s="66"/>
      <c r="BV321" s="66"/>
      <c r="BW321" s="66"/>
      <c r="BX321" s="66"/>
      <c r="BY321" s="66"/>
      <c r="BZ321" s="66"/>
      <c r="CA321" s="66"/>
      <c r="CB321" s="66"/>
      <c r="CC321" s="66"/>
      <c r="CD321" s="66"/>
      <c r="CE321" s="66"/>
      <c r="CF321" s="66"/>
      <c r="CG321" s="66"/>
      <c r="CH321" s="66"/>
      <c r="CI321" s="66"/>
      <c r="CJ321" s="66"/>
      <c r="CK321" s="66"/>
      <c r="CL321" s="66"/>
      <c r="CM321" s="66"/>
      <c r="CN321" s="66"/>
      <c r="CO321" s="66"/>
      <c r="CP321" s="66"/>
      <c r="CQ321" s="66"/>
      <c r="CR321" s="66"/>
      <c r="CS321" s="66"/>
      <c r="CT321" s="66"/>
      <c r="CU321" s="66"/>
      <c r="CV321" s="66"/>
      <c r="CW321" s="66"/>
      <c r="CX321" s="66"/>
      <c r="CY321" s="66"/>
      <c r="CZ321" s="66"/>
      <c r="DA321" s="66"/>
      <c r="DB321" s="66"/>
      <c r="DC321" s="66"/>
      <c r="DD321" s="66"/>
      <c r="DE321" s="66"/>
      <c r="DF321" s="66"/>
      <c r="DG321" s="66"/>
      <c r="DH321" s="66"/>
      <c r="DI321" s="66"/>
      <c r="DJ321" s="66"/>
      <c r="DK321" s="66"/>
      <c r="DL321" s="66"/>
      <c r="DM321" s="66"/>
      <c r="DN321" s="66"/>
      <c r="DO321" s="66"/>
      <c r="DP321" s="66"/>
      <c r="DQ321" s="66"/>
      <c r="DR321" s="66"/>
      <c r="DS321" s="66"/>
      <c r="DT321" s="66"/>
      <c r="DU321" s="66"/>
      <c r="DV321" s="66"/>
      <c r="DW321" s="66"/>
      <c r="DX321" s="66"/>
      <c r="DY321" s="66"/>
      <c r="DZ321" s="66"/>
      <c r="EA321" s="66"/>
      <c r="EB321" s="66"/>
      <c r="EC321" s="66"/>
      <c r="ED321" s="66"/>
      <c r="EE321" s="66"/>
      <c r="EF321" s="66"/>
      <c r="EG321" s="66"/>
      <c r="EH321" s="66"/>
      <c r="EI321" s="66"/>
      <c r="EJ321" s="66"/>
      <c r="EK321" s="66"/>
      <c r="EL321" s="66"/>
      <c r="EM321" s="66"/>
      <c r="EN321" s="66"/>
      <c r="EO321" s="66"/>
      <c r="EP321" s="66"/>
      <c r="EQ321" s="66"/>
      <c r="ER321" s="66"/>
      <c r="ES321" s="66"/>
      <c r="ET321" s="66"/>
      <c r="EU321" s="66"/>
      <c r="EV321" s="66"/>
      <c r="EW321" s="66"/>
      <c r="EX321" s="66"/>
      <c r="EY321" s="66"/>
      <c r="EZ321" s="66"/>
      <c r="FA321" s="66"/>
      <c r="FB321" s="66"/>
      <c r="FC321" s="66"/>
      <c r="FD321" s="66"/>
      <c r="FE321" s="66"/>
      <c r="FF321" s="66"/>
      <c r="FG321" s="66"/>
      <c r="FH321" s="66"/>
      <c r="FI321" s="66"/>
      <c r="FJ321" s="66"/>
      <c r="FK321" s="66"/>
      <c r="FL321" s="66"/>
      <c r="FM321" s="66"/>
      <c r="FN321" s="66"/>
      <c r="FO321" s="66"/>
      <c r="FP321" s="66"/>
      <c r="FQ321" s="66"/>
      <c r="FR321" s="66"/>
      <c r="FS321" s="66"/>
      <c r="FT321" s="66"/>
      <c r="FU321" s="66"/>
      <c r="FV321" s="66"/>
      <c r="FW321" s="66"/>
      <c r="FX321" s="66"/>
      <c r="FY321" s="66"/>
      <c r="FZ321" s="66"/>
      <c r="GA321" s="66"/>
      <c r="GB321" s="66"/>
      <c r="GC321" s="66"/>
      <c r="GD321" s="66"/>
      <c r="GE321" s="66"/>
      <c r="GF321" s="66"/>
      <c r="GG321" s="66"/>
      <c r="GH321" s="66"/>
      <c r="GI321" s="66"/>
      <c r="GJ321" s="66"/>
      <c r="GK321" s="66"/>
      <c r="GL321" s="66"/>
      <c r="GM321" s="66"/>
      <c r="GN321" s="66"/>
      <c r="GO321" s="66"/>
      <c r="GP321" s="66"/>
      <c r="GQ321" s="66"/>
      <c r="GR321" s="66"/>
      <c r="GS321" s="66"/>
      <c r="GT321" s="66"/>
      <c r="GU321" s="66"/>
      <c r="GV321" s="66"/>
      <c r="GW321" s="66"/>
      <c r="GX321" s="66"/>
      <c r="GY321" s="66"/>
      <c r="GZ321" s="66"/>
      <c r="HA321" s="66"/>
      <c r="HB321" s="66"/>
      <c r="HC321" s="66"/>
      <c r="HD321" s="66"/>
      <c r="HE321" s="66"/>
      <c r="HF321" s="66"/>
      <c r="HG321" s="66"/>
      <c r="HH321" s="66"/>
      <c r="HI321" s="66"/>
      <c r="HJ321" s="66"/>
      <c r="HK321" s="66"/>
      <c r="HL321" s="66"/>
      <c r="HM321" s="66"/>
      <c r="HN321" s="66"/>
      <c r="HO321" s="66"/>
      <c r="HP321" s="66"/>
      <c r="HQ321" s="66"/>
      <c r="HR321" s="66"/>
      <c r="HS321" s="66"/>
      <c r="HT321" s="66"/>
      <c r="HU321" s="66"/>
      <c r="HV321" s="66"/>
      <c r="HW321" s="66"/>
      <c r="HX321" s="66"/>
      <c r="HY321" s="66"/>
      <c r="HZ321" s="66"/>
      <c r="IA321" s="66"/>
      <c r="IB321" s="66"/>
      <c r="IC321" s="66"/>
      <c r="ID321" s="66"/>
      <c r="IE321" s="66"/>
      <c r="IF321" s="66"/>
      <c r="IG321" s="66"/>
      <c r="IH321" s="66"/>
      <c r="II321" s="66"/>
      <c r="IJ321" s="66"/>
      <c r="IK321" s="66"/>
      <c r="IL321" s="66"/>
      <c r="IM321" s="66"/>
      <c r="IN321" s="66"/>
      <c r="IO321" s="66"/>
      <c r="IP321" s="66"/>
      <c r="IQ321" s="66"/>
      <c r="IR321" s="66"/>
      <c r="IS321" s="66"/>
      <c r="IT321" s="66"/>
      <c r="IU321" s="66"/>
    </row>
    <row r="322" spans="1:255" s="52" customFormat="1" ht="13.5" thickBot="1" x14ac:dyDescent="0.35">
      <c r="A322" s="72"/>
      <c r="B322" s="43"/>
      <c r="C322" s="60"/>
      <c r="D322" s="67"/>
      <c r="E322" s="68"/>
      <c r="F322" s="204"/>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c r="AS322" s="66"/>
      <c r="AT322" s="66"/>
      <c r="AU322" s="66"/>
      <c r="AV322" s="66"/>
      <c r="AW322" s="66"/>
      <c r="AX322" s="66"/>
      <c r="AY322" s="66"/>
      <c r="AZ322" s="66"/>
      <c r="BA322" s="66"/>
      <c r="BB322" s="66"/>
      <c r="BC322" s="66"/>
      <c r="BD322" s="66"/>
      <c r="BE322" s="66"/>
      <c r="BF322" s="66"/>
      <c r="BG322" s="66"/>
      <c r="BH322" s="66"/>
      <c r="BI322" s="66"/>
      <c r="BJ322" s="66"/>
      <c r="BK322" s="66"/>
      <c r="BL322" s="66"/>
      <c r="BM322" s="66"/>
      <c r="BN322" s="66"/>
      <c r="BO322" s="66"/>
      <c r="BP322" s="66"/>
      <c r="BQ322" s="66"/>
      <c r="BR322" s="66"/>
      <c r="BS322" s="66"/>
      <c r="BT322" s="66"/>
      <c r="BU322" s="66"/>
      <c r="BV322" s="66"/>
      <c r="BW322" s="66"/>
      <c r="BX322" s="66"/>
      <c r="BY322" s="66"/>
      <c r="BZ322" s="66"/>
      <c r="CA322" s="66"/>
      <c r="CB322" s="66"/>
      <c r="CC322" s="66"/>
      <c r="CD322" s="66"/>
      <c r="CE322" s="66"/>
      <c r="CF322" s="66"/>
      <c r="CG322" s="66"/>
      <c r="CH322" s="66"/>
      <c r="CI322" s="66"/>
      <c r="CJ322" s="66"/>
      <c r="CK322" s="66"/>
      <c r="CL322" s="66"/>
      <c r="CM322" s="66"/>
      <c r="CN322" s="66"/>
      <c r="CO322" s="66"/>
      <c r="CP322" s="66"/>
      <c r="CQ322" s="66"/>
      <c r="CR322" s="66"/>
      <c r="CS322" s="66"/>
      <c r="CT322" s="66"/>
      <c r="CU322" s="66"/>
      <c r="CV322" s="66"/>
      <c r="CW322" s="66"/>
      <c r="CX322" s="66"/>
      <c r="CY322" s="66"/>
      <c r="CZ322" s="66"/>
      <c r="DA322" s="66"/>
      <c r="DB322" s="66"/>
      <c r="DC322" s="66"/>
      <c r="DD322" s="66"/>
      <c r="DE322" s="66"/>
      <c r="DF322" s="66"/>
      <c r="DG322" s="66"/>
      <c r="DH322" s="66"/>
      <c r="DI322" s="66"/>
      <c r="DJ322" s="66"/>
      <c r="DK322" s="66"/>
      <c r="DL322" s="66"/>
      <c r="DM322" s="66"/>
      <c r="DN322" s="66"/>
      <c r="DO322" s="66"/>
      <c r="DP322" s="66"/>
      <c r="DQ322" s="66"/>
      <c r="DR322" s="66"/>
      <c r="DS322" s="66"/>
      <c r="DT322" s="66"/>
      <c r="DU322" s="66"/>
      <c r="DV322" s="66"/>
      <c r="DW322" s="66"/>
      <c r="DX322" s="66"/>
      <c r="DY322" s="66"/>
      <c r="DZ322" s="66"/>
      <c r="EA322" s="66"/>
      <c r="EB322" s="66"/>
      <c r="EC322" s="66"/>
      <c r="ED322" s="66"/>
      <c r="EE322" s="66"/>
      <c r="EF322" s="66"/>
      <c r="EG322" s="66"/>
      <c r="EH322" s="66"/>
      <c r="EI322" s="66"/>
      <c r="EJ322" s="66"/>
      <c r="EK322" s="66"/>
      <c r="EL322" s="66"/>
      <c r="EM322" s="66"/>
      <c r="EN322" s="66"/>
      <c r="EO322" s="66"/>
      <c r="EP322" s="66"/>
      <c r="EQ322" s="66"/>
      <c r="ER322" s="66"/>
      <c r="ES322" s="66"/>
      <c r="ET322" s="66"/>
      <c r="EU322" s="66"/>
      <c r="EV322" s="66"/>
      <c r="EW322" s="66"/>
      <c r="EX322" s="66"/>
      <c r="EY322" s="66"/>
      <c r="EZ322" s="66"/>
      <c r="FA322" s="66"/>
      <c r="FB322" s="66"/>
      <c r="FC322" s="66"/>
      <c r="FD322" s="66"/>
      <c r="FE322" s="66"/>
      <c r="FF322" s="66"/>
      <c r="FG322" s="66"/>
      <c r="FH322" s="66"/>
      <c r="FI322" s="66"/>
      <c r="FJ322" s="66"/>
      <c r="FK322" s="66"/>
      <c r="FL322" s="66"/>
      <c r="FM322" s="66"/>
      <c r="FN322" s="66"/>
      <c r="FO322" s="66"/>
      <c r="FP322" s="66"/>
      <c r="FQ322" s="66"/>
      <c r="FR322" s="66"/>
      <c r="FS322" s="66"/>
      <c r="FT322" s="66"/>
      <c r="FU322" s="66"/>
      <c r="FV322" s="66"/>
      <c r="FW322" s="66"/>
      <c r="FX322" s="66"/>
      <c r="FY322" s="66"/>
      <c r="FZ322" s="66"/>
      <c r="GA322" s="66"/>
      <c r="GB322" s="66"/>
      <c r="GC322" s="66"/>
      <c r="GD322" s="66"/>
      <c r="GE322" s="66"/>
      <c r="GF322" s="66"/>
      <c r="GG322" s="66"/>
      <c r="GH322" s="66"/>
      <c r="GI322" s="66"/>
      <c r="GJ322" s="66"/>
      <c r="GK322" s="66"/>
      <c r="GL322" s="66"/>
      <c r="GM322" s="66"/>
      <c r="GN322" s="66"/>
      <c r="GO322" s="66"/>
      <c r="GP322" s="66"/>
      <c r="GQ322" s="66"/>
      <c r="GR322" s="66"/>
      <c r="GS322" s="66"/>
      <c r="GT322" s="66"/>
      <c r="GU322" s="66"/>
      <c r="GV322" s="66"/>
      <c r="GW322" s="66"/>
      <c r="GX322" s="66"/>
      <c r="GY322" s="66"/>
      <c r="GZ322" s="66"/>
      <c r="HA322" s="66"/>
      <c r="HB322" s="66"/>
      <c r="HC322" s="66"/>
      <c r="HD322" s="66"/>
      <c r="HE322" s="66"/>
      <c r="HF322" s="66"/>
      <c r="HG322" s="66"/>
      <c r="HH322" s="66"/>
      <c r="HI322" s="66"/>
      <c r="HJ322" s="66"/>
      <c r="HK322" s="66"/>
      <c r="HL322" s="66"/>
      <c r="HM322" s="66"/>
      <c r="HN322" s="66"/>
      <c r="HO322" s="66"/>
      <c r="HP322" s="66"/>
      <c r="HQ322" s="66"/>
      <c r="HR322" s="66"/>
      <c r="HS322" s="66"/>
      <c r="HT322" s="66"/>
      <c r="HU322" s="66"/>
      <c r="HV322" s="66"/>
      <c r="HW322" s="66"/>
      <c r="HX322" s="66"/>
      <c r="HY322" s="66"/>
      <c r="HZ322" s="66"/>
      <c r="IA322" s="66"/>
      <c r="IB322" s="66"/>
      <c r="IC322" s="66"/>
      <c r="ID322" s="66"/>
      <c r="IE322" s="66"/>
      <c r="IF322" s="66"/>
      <c r="IG322" s="66"/>
      <c r="IH322" s="66"/>
      <c r="II322" s="66"/>
      <c r="IJ322" s="66"/>
      <c r="IK322" s="66"/>
      <c r="IL322" s="66"/>
      <c r="IM322" s="66"/>
      <c r="IN322" s="66"/>
      <c r="IO322" s="66"/>
      <c r="IP322" s="66"/>
      <c r="IQ322" s="66"/>
      <c r="IR322" s="66"/>
      <c r="IS322" s="66"/>
      <c r="IT322" s="66"/>
      <c r="IU322" s="66"/>
    </row>
    <row r="323" spans="1:255" s="69" customFormat="1" x14ac:dyDescent="0.3">
      <c r="A323" s="1117" t="s">
        <v>766</v>
      </c>
      <c r="B323" s="1119"/>
      <c r="C323" s="704" t="s">
        <v>6</v>
      </c>
      <c r="D323" s="910" t="s">
        <v>715</v>
      </c>
      <c r="F323" s="580"/>
    </row>
    <row r="324" spans="1:255" s="69" customFormat="1" ht="13.5" thickBot="1" x14ac:dyDescent="0.35">
      <c r="A324" s="1120"/>
      <c r="B324" s="1122"/>
      <c r="C324" s="705"/>
      <c r="D324" s="706"/>
      <c r="F324" s="224"/>
    </row>
    <row r="325" spans="1:255" s="69" customFormat="1" x14ac:dyDescent="0.3">
      <c r="A325" s="1123" t="s">
        <v>1065</v>
      </c>
      <c r="B325" s="1124"/>
      <c r="C325" s="1124"/>
      <c r="D325" s="1125"/>
      <c r="F325" s="224"/>
    </row>
    <row r="326" spans="1:255" s="69" customFormat="1" x14ac:dyDescent="0.3">
      <c r="A326" s="1126"/>
      <c r="B326" s="1127"/>
      <c r="C326" s="1127"/>
      <c r="D326" s="1128"/>
      <c r="F326" s="224"/>
    </row>
    <row r="327" spans="1:255" s="69" customFormat="1" x14ac:dyDescent="0.3">
      <c r="A327" s="1126"/>
      <c r="B327" s="1127"/>
      <c r="C327" s="1127"/>
      <c r="D327" s="1128"/>
      <c r="F327" s="224"/>
    </row>
    <row r="328" spans="1:255" s="69" customFormat="1" x14ac:dyDescent="0.3">
      <c r="A328" s="1126"/>
      <c r="B328" s="1127"/>
      <c r="C328" s="1127"/>
      <c r="D328" s="1128"/>
      <c r="F328" s="224"/>
    </row>
    <row r="329" spans="1:255" s="69" customFormat="1" x14ac:dyDescent="0.3">
      <c r="A329" s="1126"/>
      <c r="B329" s="1127"/>
      <c r="C329" s="1127"/>
      <c r="D329" s="1128"/>
      <c r="F329" s="224"/>
    </row>
    <row r="330" spans="1:255" s="69" customFormat="1" ht="13.5" thickBot="1" x14ac:dyDescent="0.35">
      <c r="A330" s="1129"/>
      <c r="B330" s="1130"/>
      <c r="C330" s="1130"/>
      <c r="D330" s="1131"/>
      <c r="F330" s="224"/>
    </row>
    <row r="331" spans="1:255" s="234" customFormat="1" ht="11.5" x14ac:dyDescent="0.25">
      <c r="A331" s="58" t="s">
        <v>1029</v>
      </c>
      <c r="B331" s="59"/>
      <c r="C331" s="60"/>
      <c r="D331" s="61"/>
      <c r="F331" s="224"/>
    </row>
    <row r="332" spans="1:255" s="234" customFormat="1" ht="11.5" x14ac:dyDescent="0.25">
      <c r="A332" s="41" t="s">
        <v>643</v>
      </c>
      <c r="B332" s="59"/>
      <c r="C332" s="60"/>
      <c r="D332" s="61"/>
      <c r="F332" s="224"/>
    </row>
    <row r="333" spans="1:255" s="234" customFormat="1" ht="11.5" x14ac:dyDescent="0.25">
      <c r="A333" s="41" t="s">
        <v>1040</v>
      </c>
      <c r="B333" s="59"/>
      <c r="C333" s="60"/>
      <c r="D333" s="61"/>
      <c r="F333" s="224"/>
    </row>
    <row r="334" spans="1:255" s="234" customFormat="1" ht="12" thickBot="1" x14ac:dyDescent="0.3">
      <c r="A334" s="58" t="s">
        <v>13</v>
      </c>
      <c r="B334" s="59"/>
      <c r="C334" s="60"/>
      <c r="D334" s="61"/>
      <c r="F334" s="224"/>
    </row>
    <row r="335" spans="1:255" s="234" customFormat="1" ht="12" thickBot="1" x14ac:dyDescent="0.3">
      <c r="A335" s="743" t="s">
        <v>587</v>
      </c>
      <c r="B335" s="744"/>
      <c r="C335" s="751"/>
      <c r="D335" s="747">
        <f>+C337+C364+C379+C384</f>
        <v>2611960</v>
      </c>
      <c r="F335" s="235"/>
      <c r="G335" s="235"/>
    </row>
    <row r="336" spans="1:255" s="234" customFormat="1" ht="12" thickBot="1" x14ac:dyDescent="0.3">
      <c r="A336" s="63"/>
      <c r="B336" s="63"/>
      <c r="C336" s="64"/>
      <c r="D336" s="64"/>
      <c r="E336" s="236"/>
      <c r="F336" s="224"/>
    </row>
    <row r="337" spans="1:255" s="66" customFormat="1" ht="13.5" thickBot="1" x14ac:dyDescent="0.35">
      <c r="A337" s="1102" t="s">
        <v>2</v>
      </c>
      <c r="B337" s="1103"/>
      <c r="C337" s="699">
        <f>C338+C340+C342+C344+C347+C349+C356+C358</f>
        <v>1071710</v>
      </c>
      <c r="D337" s="92"/>
      <c r="E337" s="109"/>
      <c r="F337" s="204"/>
    </row>
    <row r="338" spans="1:255" s="239" customFormat="1" x14ac:dyDescent="0.3">
      <c r="A338" s="11" t="s">
        <v>103</v>
      </c>
      <c r="B338" s="298" t="s">
        <v>104</v>
      </c>
      <c r="C338" s="563">
        <f>SUM(C339)</f>
        <v>85110</v>
      </c>
      <c r="D338" s="95"/>
      <c r="E338" s="238"/>
      <c r="F338" s="99"/>
    </row>
    <row r="339" spans="1:255" s="66" customFormat="1" x14ac:dyDescent="0.3">
      <c r="A339" s="12" t="s">
        <v>46</v>
      </c>
      <c r="B339" s="43" t="s">
        <v>161</v>
      </c>
      <c r="C339" s="60">
        <v>85110</v>
      </c>
      <c r="D339" s="70"/>
      <c r="E339" s="68"/>
      <c r="F339" s="204"/>
    </row>
    <row r="340" spans="1:255" s="214" customFormat="1" ht="13.5" customHeight="1" x14ac:dyDescent="0.2">
      <c r="A340" s="265" t="s">
        <v>199</v>
      </c>
      <c r="B340" s="298" t="s">
        <v>228</v>
      </c>
      <c r="C340" s="31">
        <f>SUM(C341:C341)</f>
        <v>5500</v>
      </c>
      <c r="D340" s="24"/>
      <c r="E340" s="24"/>
      <c r="F340" s="215"/>
      <c r="G340" s="177"/>
      <c r="H340" s="177"/>
      <c r="I340" s="177"/>
      <c r="J340" s="177"/>
      <c r="K340" s="177"/>
    </row>
    <row r="341" spans="1:255" s="203" customFormat="1" ht="11.5" x14ac:dyDescent="0.25">
      <c r="A341" s="72" t="s">
        <v>197</v>
      </c>
      <c r="B341" s="43" t="s">
        <v>196</v>
      </c>
      <c r="C341" s="24">
        <v>5500</v>
      </c>
      <c r="D341" s="23"/>
      <c r="E341" s="72"/>
      <c r="F341" s="219"/>
      <c r="G341" s="152"/>
      <c r="H341" s="152"/>
      <c r="I341" s="152"/>
      <c r="J341" s="152"/>
      <c r="K341" s="152"/>
    </row>
    <row r="342" spans="1:255" s="66" customFormat="1" x14ac:dyDescent="0.3">
      <c r="A342" s="11" t="s">
        <v>105</v>
      </c>
      <c r="B342" s="556" t="s">
        <v>106</v>
      </c>
      <c r="C342" s="64">
        <f>SUM(C343:C343)</f>
        <v>35100</v>
      </c>
      <c r="D342" s="240"/>
      <c r="F342" s="204"/>
    </row>
    <row r="343" spans="1:255" s="66" customFormat="1" x14ac:dyDescent="0.3">
      <c r="A343" s="12" t="s">
        <v>86</v>
      </c>
      <c r="B343" s="43" t="s">
        <v>66</v>
      </c>
      <c r="C343" s="24">
        <v>35100</v>
      </c>
      <c r="F343" s="96"/>
      <c r="G343" s="31"/>
      <c r="H343" s="43"/>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43"/>
      <c r="AO343" s="43"/>
      <c r="AP343" s="43"/>
      <c r="AQ343" s="43"/>
      <c r="AR343" s="43"/>
      <c r="AS343" s="43"/>
      <c r="AT343" s="43"/>
      <c r="AU343" s="43"/>
      <c r="AV343" s="43"/>
      <c r="AW343" s="43"/>
      <c r="AX343" s="43"/>
      <c r="AY343" s="43"/>
      <c r="AZ343" s="43"/>
      <c r="BA343" s="43"/>
      <c r="BB343" s="43"/>
      <c r="BC343" s="43"/>
      <c r="BD343" s="43"/>
      <c r="BE343" s="43"/>
      <c r="BF343" s="43"/>
      <c r="BG343" s="43"/>
      <c r="BH343" s="43"/>
      <c r="BI343" s="43"/>
      <c r="BJ343" s="43"/>
      <c r="BK343" s="43"/>
      <c r="BL343" s="43"/>
      <c r="BM343" s="43"/>
      <c r="BN343" s="43"/>
      <c r="BO343" s="43"/>
      <c r="BP343" s="43"/>
      <c r="BQ343" s="43"/>
      <c r="BR343" s="43"/>
      <c r="BS343" s="43"/>
      <c r="BT343" s="43"/>
      <c r="BU343" s="43"/>
      <c r="BV343" s="43"/>
      <c r="BW343" s="43"/>
      <c r="BX343" s="43"/>
      <c r="BY343" s="43"/>
      <c r="BZ343" s="43"/>
      <c r="CA343" s="43"/>
      <c r="CB343" s="43"/>
      <c r="CC343" s="43"/>
      <c r="CD343" s="43"/>
      <c r="CE343" s="43"/>
      <c r="CF343" s="43"/>
      <c r="CG343" s="43"/>
      <c r="CH343" s="43"/>
      <c r="CI343" s="43"/>
      <c r="CJ343" s="43"/>
      <c r="CK343" s="43"/>
      <c r="CL343" s="43"/>
      <c r="CM343" s="43"/>
      <c r="CN343" s="43"/>
      <c r="CO343" s="43"/>
      <c r="CP343" s="43"/>
      <c r="CQ343" s="43"/>
      <c r="CR343" s="43"/>
      <c r="CS343" s="43"/>
      <c r="CT343" s="43"/>
      <c r="CU343" s="43"/>
      <c r="CV343" s="43"/>
      <c r="CW343" s="43"/>
      <c r="CX343" s="43"/>
      <c r="CY343" s="43"/>
      <c r="CZ343" s="43"/>
      <c r="DA343" s="43"/>
      <c r="DB343" s="43"/>
      <c r="DC343" s="43"/>
      <c r="DD343" s="43"/>
      <c r="DE343" s="43"/>
      <c r="DF343" s="43"/>
      <c r="DG343" s="43"/>
      <c r="DH343" s="43"/>
      <c r="DI343" s="43"/>
      <c r="DJ343" s="43"/>
      <c r="DK343" s="43"/>
      <c r="DL343" s="43"/>
      <c r="DM343" s="43"/>
      <c r="DN343" s="43"/>
      <c r="DO343" s="43"/>
      <c r="DP343" s="43"/>
      <c r="DQ343" s="43"/>
      <c r="DR343" s="43"/>
      <c r="DS343" s="43"/>
      <c r="DT343" s="43"/>
      <c r="DU343" s="43"/>
      <c r="DV343" s="43"/>
      <c r="DW343" s="43"/>
      <c r="DX343" s="43"/>
      <c r="DY343" s="43"/>
      <c r="DZ343" s="43"/>
      <c r="EA343" s="43"/>
      <c r="EB343" s="43"/>
      <c r="EC343" s="43"/>
      <c r="ED343" s="43"/>
      <c r="EE343" s="43"/>
      <c r="EF343" s="43"/>
      <c r="EG343" s="43"/>
      <c r="EH343" s="43"/>
      <c r="EI343" s="43"/>
      <c r="EJ343" s="43"/>
      <c r="EK343" s="43"/>
      <c r="EL343" s="43"/>
      <c r="EM343" s="43"/>
      <c r="EN343" s="43"/>
      <c r="EO343" s="43"/>
      <c r="EP343" s="43"/>
      <c r="EQ343" s="43"/>
      <c r="ER343" s="43"/>
      <c r="ES343" s="43"/>
      <c r="ET343" s="43"/>
      <c r="EU343" s="43"/>
      <c r="EV343" s="43"/>
      <c r="EW343" s="43"/>
      <c r="EX343" s="43"/>
      <c r="EY343" s="43"/>
      <c r="EZ343" s="43"/>
      <c r="FA343" s="43"/>
      <c r="FB343" s="43"/>
      <c r="FC343" s="43"/>
      <c r="FD343" s="43"/>
      <c r="FE343" s="43"/>
      <c r="FF343" s="43"/>
      <c r="FG343" s="43"/>
      <c r="FH343" s="43"/>
      <c r="FI343" s="43"/>
      <c r="FJ343" s="43"/>
      <c r="FK343" s="43"/>
      <c r="FL343" s="43"/>
      <c r="FM343" s="43"/>
      <c r="FN343" s="43"/>
      <c r="FO343" s="43"/>
      <c r="FP343" s="43"/>
      <c r="FQ343" s="43"/>
      <c r="FR343" s="43"/>
      <c r="FS343" s="43"/>
      <c r="FT343" s="43"/>
      <c r="FU343" s="43"/>
      <c r="FV343" s="43"/>
      <c r="FW343" s="43"/>
      <c r="FX343" s="43"/>
      <c r="FY343" s="43"/>
      <c r="FZ343" s="43"/>
      <c r="GA343" s="43"/>
      <c r="GB343" s="43"/>
      <c r="GC343" s="43"/>
      <c r="GD343" s="43"/>
      <c r="GE343" s="43"/>
      <c r="GF343" s="43"/>
      <c r="GG343" s="43"/>
      <c r="GH343" s="43"/>
      <c r="GI343" s="43"/>
      <c r="GJ343" s="43"/>
      <c r="GK343" s="43"/>
      <c r="GL343" s="43"/>
      <c r="GM343" s="43"/>
      <c r="GN343" s="43"/>
      <c r="GO343" s="43"/>
      <c r="GP343" s="43"/>
      <c r="GQ343" s="43"/>
      <c r="GR343" s="43"/>
      <c r="GS343" s="43"/>
      <c r="GT343" s="43"/>
      <c r="GU343" s="43"/>
      <c r="GV343" s="43"/>
      <c r="GW343" s="43"/>
      <c r="GX343" s="43"/>
      <c r="GY343" s="43"/>
      <c r="GZ343" s="43"/>
      <c r="HA343" s="43"/>
      <c r="HB343" s="43"/>
      <c r="HC343" s="43"/>
      <c r="HD343" s="43"/>
      <c r="HE343" s="43"/>
      <c r="HF343" s="43"/>
      <c r="HG343" s="43"/>
      <c r="HH343" s="43"/>
      <c r="HI343" s="43"/>
      <c r="HJ343" s="43"/>
      <c r="HK343" s="43"/>
      <c r="HL343" s="43"/>
      <c r="HM343" s="43"/>
      <c r="HN343" s="43"/>
      <c r="HO343" s="43"/>
      <c r="HP343" s="43"/>
      <c r="HQ343" s="43"/>
      <c r="HR343" s="43"/>
      <c r="HS343" s="43"/>
      <c r="HT343" s="43"/>
      <c r="HU343" s="43"/>
      <c r="HV343" s="43"/>
      <c r="HW343" s="43"/>
      <c r="HX343" s="43"/>
      <c r="HY343" s="43"/>
      <c r="HZ343" s="43"/>
      <c r="IA343" s="43"/>
      <c r="IB343" s="43"/>
      <c r="IC343" s="43"/>
      <c r="ID343" s="43"/>
      <c r="IE343" s="43"/>
      <c r="IF343" s="43"/>
      <c r="IG343" s="43"/>
      <c r="IH343" s="43"/>
      <c r="II343" s="43"/>
      <c r="IJ343" s="43"/>
      <c r="IK343" s="43"/>
      <c r="IL343" s="43"/>
      <c r="IM343" s="43"/>
      <c r="IN343" s="43"/>
      <c r="IO343" s="43"/>
      <c r="IP343" s="43"/>
      <c r="IQ343" s="43"/>
      <c r="IR343" s="43"/>
      <c r="IS343" s="43"/>
      <c r="IT343" s="43"/>
      <c r="IU343" s="43"/>
    </row>
    <row r="344" spans="1:255" s="66" customFormat="1" x14ac:dyDescent="0.3">
      <c r="A344" s="11" t="s">
        <v>107</v>
      </c>
      <c r="B344" s="556" t="s">
        <v>108</v>
      </c>
      <c r="C344" s="31">
        <f>SUM(C345:C346)</f>
        <v>267000</v>
      </c>
      <c r="F344" s="96"/>
      <c r="G344" s="31"/>
      <c r="H344" s="43"/>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c r="AL344" s="43"/>
      <c r="AM344" s="43"/>
      <c r="AN344" s="43"/>
      <c r="AO344" s="43"/>
      <c r="AP344" s="43"/>
      <c r="AQ344" s="43"/>
      <c r="AR344" s="43"/>
      <c r="AS344" s="43"/>
      <c r="AT344" s="43"/>
      <c r="AU344" s="43"/>
      <c r="AV344" s="43"/>
      <c r="AW344" s="43"/>
      <c r="AX344" s="43"/>
      <c r="AY344" s="43"/>
      <c r="AZ344" s="43"/>
      <c r="BA344" s="43"/>
      <c r="BB344" s="43"/>
      <c r="BC344" s="43"/>
      <c r="BD344" s="43"/>
      <c r="BE344" s="43"/>
      <c r="BF344" s="43"/>
      <c r="BG344" s="43"/>
      <c r="BH344" s="43"/>
      <c r="BI344" s="43"/>
      <c r="BJ344" s="43"/>
      <c r="BK344" s="43"/>
      <c r="BL344" s="43"/>
      <c r="BM344" s="43"/>
      <c r="BN344" s="43"/>
      <c r="BO344" s="43"/>
      <c r="BP344" s="43"/>
      <c r="BQ344" s="43"/>
      <c r="BR344" s="43"/>
      <c r="BS344" s="43"/>
      <c r="BT344" s="43"/>
      <c r="BU344" s="43"/>
      <c r="BV344" s="43"/>
      <c r="BW344" s="43"/>
      <c r="BX344" s="43"/>
      <c r="BY344" s="43"/>
      <c r="BZ344" s="43"/>
      <c r="CA344" s="43"/>
      <c r="CB344" s="43"/>
      <c r="CC344" s="43"/>
      <c r="CD344" s="43"/>
      <c r="CE344" s="43"/>
      <c r="CF344" s="43"/>
      <c r="CG344" s="43"/>
      <c r="CH344" s="43"/>
      <c r="CI344" s="43"/>
      <c r="CJ344" s="43"/>
      <c r="CK344" s="43"/>
      <c r="CL344" s="43"/>
      <c r="CM344" s="43"/>
      <c r="CN344" s="43"/>
      <c r="CO344" s="43"/>
      <c r="CP344" s="43"/>
      <c r="CQ344" s="43"/>
      <c r="CR344" s="43"/>
      <c r="CS344" s="43"/>
      <c r="CT344" s="43"/>
      <c r="CU344" s="43"/>
      <c r="CV344" s="43"/>
      <c r="CW344" s="43"/>
      <c r="CX344" s="43"/>
      <c r="CY344" s="43"/>
      <c r="CZ344" s="43"/>
      <c r="DA344" s="43"/>
      <c r="DB344" s="43"/>
      <c r="DC344" s="43"/>
      <c r="DD344" s="43"/>
      <c r="DE344" s="43"/>
      <c r="DF344" s="43"/>
      <c r="DG344" s="43"/>
      <c r="DH344" s="43"/>
      <c r="DI344" s="43"/>
      <c r="DJ344" s="43"/>
      <c r="DK344" s="43"/>
      <c r="DL344" s="43"/>
      <c r="DM344" s="43"/>
      <c r="DN344" s="43"/>
      <c r="DO344" s="43"/>
      <c r="DP344" s="43"/>
      <c r="DQ344" s="43"/>
      <c r="DR344" s="43"/>
      <c r="DS344" s="43"/>
      <c r="DT344" s="43"/>
      <c r="DU344" s="43"/>
      <c r="DV344" s="43"/>
      <c r="DW344" s="43"/>
      <c r="DX344" s="43"/>
      <c r="DY344" s="43"/>
      <c r="DZ344" s="43"/>
      <c r="EA344" s="43"/>
      <c r="EB344" s="43"/>
      <c r="EC344" s="43"/>
      <c r="ED344" s="43"/>
      <c r="EE344" s="43"/>
      <c r="EF344" s="43"/>
      <c r="EG344" s="43"/>
      <c r="EH344" s="43"/>
      <c r="EI344" s="43"/>
      <c r="EJ344" s="43"/>
      <c r="EK344" s="43"/>
      <c r="EL344" s="43"/>
      <c r="EM344" s="43"/>
      <c r="EN344" s="43"/>
      <c r="EO344" s="43"/>
      <c r="EP344" s="43"/>
      <c r="EQ344" s="43"/>
      <c r="ER344" s="43"/>
      <c r="ES344" s="43"/>
      <c r="ET344" s="43"/>
      <c r="EU344" s="43"/>
      <c r="EV344" s="43"/>
      <c r="EW344" s="43"/>
      <c r="EX344" s="43"/>
      <c r="EY344" s="43"/>
      <c r="EZ344" s="43"/>
      <c r="FA344" s="43"/>
      <c r="FB344" s="43"/>
      <c r="FC344" s="43"/>
      <c r="FD344" s="43"/>
      <c r="FE344" s="43"/>
      <c r="FF344" s="43"/>
      <c r="FG344" s="43"/>
      <c r="FH344" s="43"/>
      <c r="FI344" s="43"/>
      <c r="FJ344" s="43"/>
      <c r="FK344" s="43"/>
      <c r="FL344" s="43"/>
      <c r="FM344" s="43"/>
      <c r="FN344" s="43"/>
      <c r="FO344" s="43"/>
      <c r="FP344" s="43"/>
      <c r="FQ344" s="43"/>
      <c r="FR344" s="43"/>
      <c r="FS344" s="43"/>
      <c r="FT344" s="43"/>
      <c r="FU344" s="43"/>
      <c r="FV344" s="43"/>
      <c r="FW344" s="43"/>
      <c r="FX344" s="43"/>
      <c r="FY344" s="43"/>
      <c r="FZ344" s="43"/>
      <c r="GA344" s="43"/>
      <c r="GB344" s="43"/>
      <c r="GC344" s="43"/>
      <c r="GD344" s="43"/>
      <c r="GE344" s="43"/>
      <c r="GF344" s="43"/>
      <c r="GG344" s="43"/>
      <c r="GH344" s="43"/>
      <c r="GI344" s="43"/>
      <c r="GJ344" s="43"/>
      <c r="GK344" s="43"/>
      <c r="GL344" s="43"/>
      <c r="GM344" s="43"/>
      <c r="GN344" s="43"/>
      <c r="GO344" s="43"/>
      <c r="GP344" s="43"/>
      <c r="GQ344" s="43"/>
      <c r="GR344" s="43"/>
      <c r="GS344" s="43"/>
      <c r="GT344" s="43"/>
      <c r="GU344" s="43"/>
      <c r="GV344" s="43"/>
      <c r="GW344" s="43"/>
      <c r="GX344" s="43"/>
      <c r="GY344" s="43"/>
      <c r="GZ344" s="43"/>
      <c r="HA344" s="43"/>
      <c r="HB344" s="43"/>
      <c r="HC344" s="43"/>
      <c r="HD344" s="43"/>
      <c r="HE344" s="43"/>
      <c r="HF344" s="43"/>
      <c r="HG344" s="43"/>
      <c r="HH344" s="43"/>
      <c r="HI344" s="43"/>
      <c r="HJ344" s="43"/>
      <c r="HK344" s="43"/>
      <c r="HL344" s="43"/>
      <c r="HM344" s="43"/>
      <c r="HN344" s="43"/>
      <c r="HO344" s="43"/>
      <c r="HP344" s="43"/>
      <c r="HQ344" s="43"/>
      <c r="HR344" s="43"/>
      <c r="HS344" s="43"/>
      <c r="HT344" s="43"/>
      <c r="HU344" s="43"/>
      <c r="HV344" s="43"/>
      <c r="HW344" s="43"/>
      <c r="HX344" s="43"/>
      <c r="HY344" s="43"/>
      <c r="HZ344" s="43"/>
      <c r="IA344" s="43"/>
      <c r="IB344" s="43"/>
      <c r="IC344" s="43"/>
      <c r="ID344" s="43"/>
      <c r="IE344" s="43"/>
      <c r="IF344" s="43"/>
      <c r="IG344" s="43"/>
      <c r="IH344" s="43"/>
      <c r="II344" s="43"/>
      <c r="IJ344" s="43"/>
      <c r="IK344" s="43"/>
      <c r="IL344" s="43"/>
      <c r="IM344" s="43"/>
      <c r="IN344" s="43"/>
      <c r="IO344" s="43"/>
      <c r="IP344" s="43"/>
      <c r="IQ344" s="43"/>
      <c r="IR344" s="43"/>
      <c r="IS344" s="43"/>
      <c r="IT344" s="43"/>
      <c r="IU344" s="43"/>
    </row>
    <row r="345" spans="1:255" s="43" customFormat="1" ht="13.5" customHeight="1" x14ac:dyDescent="0.3">
      <c r="A345" s="12" t="s">
        <v>47</v>
      </c>
      <c r="B345" s="43" t="s">
        <v>48</v>
      </c>
      <c r="C345" s="60">
        <v>80000</v>
      </c>
      <c r="F345" s="67"/>
      <c r="G345" s="68"/>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c r="BF345" s="66"/>
      <c r="BG345" s="66"/>
      <c r="BH345" s="66"/>
      <c r="BI345" s="66"/>
      <c r="BJ345" s="66"/>
      <c r="BK345" s="66"/>
      <c r="BL345" s="66"/>
      <c r="BM345" s="66"/>
      <c r="BN345" s="66"/>
      <c r="BO345" s="66"/>
      <c r="BP345" s="66"/>
      <c r="BQ345" s="66"/>
      <c r="BR345" s="66"/>
      <c r="BS345" s="66"/>
      <c r="BT345" s="66"/>
      <c r="BU345" s="66"/>
      <c r="BV345" s="66"/>
      <c r="BW345" s="66"/>
      <c r="BX345" s="66"/>
      <c r="BY345" s="66"/>
      <c r="BZ345" s="66"/>
      <c r="CA345" s="66"/>
      <c r="CB345" s="66"/>
      <c r="CC345" s="66"/>
      <c r="CD345" s="66"/>
      <c r="CE345" s="66"/>
      <c r="CF345" s="66"/>
      <c r="CG345" s="66"/>
      <c r="CH345" s="66"/>
      <c r="CI345" s="66"/>
      <c r="CJ345" s="66"/>
      <c r="CK345" s="66"/>
      <c r="CL345" s="66"/>
      <c r="CM345" s="66"/>
      <c r="CN345" s="66"/>
      <c r="CO345" s="66"/>
      <c r="CP345" s="66"/>
      <c r="CQ345" s="66"/>
      <c r="CR345" s="66"/>
      <c r="CS345" s="66"/>
      <c r="CT345" s="66"/>
      <c r="CU345" s="66"/>
      <c r="CV345" s="66"/>
      <c r="CW345" s="66"/>
      <c r="CX345" s="66"/>
      <c r="CY345" s="66"/>
      <c r="CZ345" s="66"/>
      <c r="DA345" s="66"/>
      <c r="DB345" s="66"/>
      <c r="DC345" s="66"/>
      <c r="DD345" s="66"/>
      <c r="DE345" s="66"/>
      <c r="DF345" s="66"/>
      <c r="DG345" s="66"/>
      <c r="DH345" s="66"/>
      <c r="DI345" s="66"/>
      <c r="DJ345" s="66"/>
      <c r="DK345" s="66"/>
      <c r="DL345" s="66"/>
      <c r="DM345" s="66"/>
      <c r="DN345" s="66"/>
      <c r="DO345" s="66"/>
      <c r="DP345" s="66"/>
      <c r="DQ345" s="66"/>
      <c r="DR345" s="66"/>
      <c r="DS345" s="66"/>
      <c r="DT345" s="66"/>
      <c r="DU345" s="66"/>
      <c r="DV345" s="66"/>
      <c r="DW345" s="66"/>
      <c r="DX345" s="66"/>
      <c r="DY345" s="66"/>
      <c r="DZ345" s="66"/>
      <c r="EA345" s="66"/>
      <c r="EB345" s="66"/>
      <c r="EC345" s="66"/>
      <c r="ED345" s="66"/>
      <c r="EE345" s="66"/>
      <c r="EF345" s="66"/>
      <c r="EG345" s="66"/>
      <c r="EH345" s="66"/>
      <c r="EI345" s="66"/>
      <c r="EJ345" s="66"/>
      <c r="EK345" s="66"/>
      <c r="EL345" s="66"/>
      <c r="EM345" s="66"/>
      <c r="EN345" s="66"/>
      <c r="EO345" s="66"/>
      <c r="EP345" s="66"/>
      <c r="EQ345" s="66"/>
      <c r="ER345" s="66"/>
      <c r="ES345" s="66"/>
      <c r="ET345" s="66"/>
      <c r="EU345" s="66"/>
      <c r="EV345" s="66"/>
      <c r="EW345" s="66"/>
      <c r="EX345" s="66"/>
      <c r="EY345" s="66"/>
      <c r="EZ345" s="66"/>
      <c r="FA345" s="66"/>
      <c r="FB345" s="66"/>
      <c r="FC345" s="66"/>
      <c r="FD345" s="66"/>
      <c r="FE345" s="66"/>
      <c r="FF345" s="66"/>
      <c r="FG345" s="66"/>
      <c r="FH345" s="66"/>
      <c r="FI345" s="66"/>
      <c r="FJ345" s="66"/>
      <c r="FK345" s="66"/>
      <c r="FL345" s="66"/>
      <c r="FM345" s="66"/>
      <c r="FN345" s="66"/>
      <c r="FO345" s="66"/>
      <c r="FP345" s="66"/>
      <c r="FQ345" s="66"/>
      <c r="FR345" s="66"/>
      <c r="FS345" s="66"/>
      <c r="FT345" s="66"/>
      <c r="FU345" s="66"/>
      <c r="FV345" s="66"/>
      <c r="FW345" s="66"/>
      <c r="FX345" s="66"/>
      <c r="FY345" s="66"/>
      <c r="FZ345" s="66"/>
      <c r="GA345" s="66"/>
      <c r="GB345" s="66"/>
      <c r="GC345" s="66"/>
      <c r="GD345" s="66"/>
      <c r="GE345" s="66"/>
      <c r="GF345" s="66"/>
      <c r="GG345" s="66"/>
      <c r="GH345" s="66"/>
      <c r="GI345" s="66"/>
      <c r="GJ345" s="66"/>
      <c r="GK345" s="66"/>
      <c r="GL345" s="66"/>
      <c r="GM345" s="66"/>
      <c r="GN345" s="66"/>
      <c r="GO345" s="66"/>
      <c r="GP345" s="66"/>
      <c r="GQ345" s="66"/>
      <c r="GR345" s="66"/>
      <c r="GS345" s="66"/>
      <c r="GT345" s="66"/>
      <c r="GU345" s="66"/>
      <c r="GV345" s="66"/>
      <c r="GW345" s="66"/>
      <c r="GX345" s="66"/>
      <c r="GY345" s="66"/>
      <c r="GZ345" s="66"/>
      <c r="HA345" s="66"/>
      <c r="HB345" s="66"/>
      <c r="HC345" s="66"/>
      <c r="HD345" s="66"/>
      <c r="HE345" s="66"/>
      <c r="HF345" s="66"/>
      <c r="HG345" s="66"/>
      <c r="HH345" s="66"/>
      <c r="HI345" s="66"/>
      <c r="HJ345" s="66"/>
      <c r="HK345" s="66"/>
      <c r="HL345" s="66"/>
      <c r="HM345" s="66"/>
      <c r="HN345" s="66"/>
      <c r="HO345" s="66"/>
      <c r="HP345" s="66"/>
      <c r="HQ345" s="66"/>
      <c r="HR345" s="66"/>
      <c r="HS345" s="66"/>
      <c r="HT345" s="66"/>
      <c r="HU345" s="66"/>
      <c r="HV345" s="66"/>
      <c r="HW345" s="66"/>
      <c r="HX345" s="66"/>
      <c r="HY345" s="66"/>
      <c r="HZ345" s="66"/>
      <c r="IA345" s="66"/>
      <c r="IB345" s="66"/>
      <c r="IC345" s="66"/>
      <c r="ID345" s="66"/>
      <c r="IE345" s="66"/>
      <c r="IF345" s="66"/>
      <c r="IG345" s="66"/>
      <c r="IH345" s="66"/>
      <c r="II345" s="66"/>
      <c r="IJ345" s="66"/>
      <c r="IK345" s="66"/>
      <c r="IL345" s="66"/>
      <c r="IM345" s="66"/>
      <c r="IN345" s="66"/>
      <c r="IO345" s="66"/>
      <c r="IP345" s="66"/>
      <c r="IQ345" s="66"/>
      <c r="IR345" s="66"/>
      <c r="IS345" s="66"/>
      <c r="IT345" s="66"/>
      <c r="IU345" s="66"/>
    </row>
    <row r="346" spans="1:255" s="43" customFormat="1" ht="13.5" customHeight="1" x14ac:dyDescent="0.3">
      <c r="A346" s="12" t="s">
        <v>460</v>
      </c>
      <c r="B346" s="43" t="s">
        <v>461</v>
      </c>
      <c r="C346" s="60">
        <v>187000</v>
      </c>
      <c r="F346" s="67"/>
      <c r="G346" s="68"/>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c r="AT346" s="66"/>
      <c r="AU346" s="66"/>
      <c r="AV346" s="66"/>
      <c r="AW346" s="66"/>
      <c r="AX346" s="66"/>
      <c r="AY346" s="66"/>
      <c r="AZ346" s="66"/>
      <c r="BA346" s="66"/>
      <c r="BB346" s="66"/>
      <c r="BC346" s="66"/>
      <c r="BD346" s="66"/>
      <c r="BE346" s="66"/>
      <c r="BF346" s="66"/>
      <c r="BG346" s="66"/>
      <c r="BH346" s="66"/>
      <c r="BI346" s="66"/>
      <c r="BJ346" s="66"/>
      <c r="BK346" s="66"/>
      <c r="BL346" s="66"/>
      <c r="BM346" s="66"/>
      <c r="BN346" s="66"/>
      <c r="BO346" s="66"/>
      <c r="BP346" s="66"/>
      <c r="BQ346" s="66"/>
      <c r="BR346" s="66"/>
      <c r="BS346" s="66"/>
      <c r="BT346" s="66"/>
      <c r="BU346" s="66"/>
      <c r="BV346" s="66"/>
      <c r="BW346" s="66"/>
      <c r="BX346" s="66"/>
      <c r="BY346" s="66"/>
      <c r="BZ346" s="66"/>
      <c r="CA346" s="66"/>
      <c r="CB346" s="66"/>
      <c r="CC346" s="66"/>
      <c r="CD346" s="66"/>
      <c r="CE346" s="66"/>
      <c r="CF346" s="66"/>
      <c r="CG346" s="66"/>
      <c r="CH346" s="66"/>
      <c r="CI346" s="66"/>
      <c r="CJ346" s="66"/>
      <c r="CK346" s="66"/>
      <c r="CL346" s="66"/>
      <c r="CM346" s="66"/>
      <c r="CN346" s="66"/>
      <c r="CO346" s="66"/>
      <c r="CP346" s="66"/>
      <c r="CQ346" s="66"/>
      <c r="CR346" s="66"/>
      <c r="CS346" s="66"/>
      <c r="CT346" s="66"/>
      <c r="CU346" s="66"/>
      <c r="CV346" s="66"/>
      <c r="CW346" s="66"/>
      <c r="CX346" s="66"/>
      <c r="CY346" s="66"/>
      <c r="CZ346" s="66"/>
      <c r="DA346" s="66"/>
      <c r="DB346" s="66"/>
      <c r="DC346" s="66"/>
      <c r="DD346" s="66"/>
      <c r="DE346" s="66"/>
      <c r="DF346" s="66"/>
      <c r="DG346" s="66"/>
      <c r="DH346" s="66"/>
      <c r="DI346" s="66"/>
      <c r="DJ346" s="66"/>
      <c r="DK346" s="66"/>
      <c r="DL346" s="66"/>
      <c r="DM346" s="66"/>
      <c r="DN346" s="66"/>
      <c r="DO346" s="66"/>
      <c r="DP346" s="66"/>
      <c r="DQ346" s="66"/>
      <c r="DR346" s="66"/>
      <c r="DS346" s="66"/>
      <c r="DT346" s="66"/>
      <c r="DU346" s="66"/>
      <c r="DV346" s="66"/>
      <c r="DW346" s="66"/>
      <c r="DX346" s="66"/>
      <c r="DY346" s="66"/>
      <c r="DZ346" s="66"/>
      <c r="EA346" s="66"/>
      <c r="EB346" s="66"/>
      <c r="EC346" s="66"/>
      <c r="ED346" s="66"/>
      <c r="EE346" s="66"/>
      <c r="EF346" s="66"/>
      <c r="EG346" s="66"/>
      <c r="EH346" s="66"/>
      <c r="EI346" s="66"/>
      <c r="EJ346" s="66"/>
      <c r="EK346" s="66"/>
      <c r="EL346" s="66"/>
      <c r="EM346" s="66"/>
      <c r="EN346" s="66"/>
      <c r="EO346" s="66"/>
      <c r="EP346" s="66"/>
      <c r="EQ346" s="66"/>
      <c r="ER346" s="66"/>
      <c r="ES346" s="66"/>
      <c r="ET346" s="66"/>
      <c r="EU346" s="66"/>
      <c r="EV346" s="66"/>
      <c r="EW346" s="66"/>
      <c r="EX346" s="66"/>
      <c r="EY346" s="66"/>
      <c r="EZ346" s="66"/>
      <c r="FA346" s="66"/>
      <c r="FB346" s="66"/>
      <c r="FC346" s="66"/>
      <c r="FD346" s="66"/>
      <c r="FE346" s="66"/>
      <c r="FF346" s="66"/>
      <c r="FG346" s="66"/>
      <c r="FH346" s="66"/>
      <c r="FI346" s="66"/>
      <c r="FJ346" s="66"/>
      <c r="FK346" s="66"/>
      <c r="FL346" s="66"/>
      <c r="FM346" s="66"/>
      <c r="FN346" s="66"/>
      <c r="FO346" s="66"/>
      <c r="FP346" s="66"/>
      <c r="FQ346" s="66"/>
      <c r="FR346" s="66"/>
      <c r="FS346" s="66"/>
      <c r="FT346" s="66"/>
      <c r="FU346" s="66"/>
      <c r="FV346" s="66"/>
      <c r="FW346" s="66"/>
      <c r="FX346" s="66"/>
      <c r="FY346" s="66"/>
      <c r="FZ346" s="66"/>
      <c r="GA346" s="66"/>
      <c r="GB346" s="66"/>
      <c r="GC346" s="66"/>
      <c r="GD346" s="66"/>
      <c r="GE346" s="66"/>
      <c r="GF346" s="66"/>
      <c r="GG346" s="66"/>
      <c r="GH346" s="66"/>
      <c r="GI346" s="66"/>
      <c r="GJ346" s="66"/>
      <c r="GK346" s="66"/>
      <c r="GL346" s="66"/>
      <c r="GM346" s="66"/>
      <c r="GN346" s="66"/>
      <c r="GO346" s="66"/>
      <c r="GP346" s="66"/>
      <c r="GQ346" s="66"/>
      <c r="GR346" s="66"/>
      <c r="GS346" s="66"/>
      <c r="GT346" s="66"/>
      <c r="GU346" s="66"/>
      <c r="GV346" s="66"/>
      <c r="GW346" s="66"/>
      <c r="GX346" s="66"/>
      <c r="GY346" s="66"/>
      <c r="GZ346" s="66"/>
      <c r="HA346" s="66"/>
      <c r="HB346" s="66"/>
      <c r="HC346" s="66"/>
      <c r="HD346" s="66"/>
      <c r="HE346" s="66"/>
      <c r="HF346" s="66"/>
      <c r="HG346" s="66"/>
      <c r="HH346" s="66"/>
      <c r="HI346" s="66"/>
      <c r="HJ346" s="66"/>
      <c r="HK346" s="66"/>
      <c r="HL346" s="66"/>
      <c r="HM346" s="66"/>
      <c r="HN346" s="66"/>
      <c r="HO346" s="66"/>
      <c r="HP346" s="66"/>
      <c r="HQ346" s="66"/>
      <c r="HR346" s="66"/>
      <c r="HS346" s="66"/>
      <c r="HT346" s="66"/>
      <c r="HU346" s="66"/>
      <c r="HV346" s="66"/>
      <c r="HW346" s="66"/>
      <c r="HX346" s="66"/>
      <c r="HY346" s="66"/>
      <c r="HZ346" s="66"/>
      <c r="IA346" s="66"/>
      <c r="IB346" s="66"/>
      <c r="IC346" s="66"/>
      <c r="ID346" s="66"/>
      <c r="IE346" s="66"/>
      <c r="IF346" s="66"/>
      <c r="IG346" s="66"/>
      <c r="IH346" s="66"/>
      <c r="II346" s="66"/>
      <c r="IJ346" s="66"/>
      <c r="IK346" s="66"/>
      <c r="IL346" s="66"/>
      <c r="IM346" s="66"/>
      <c r="IN346" s="66"/>
      <c r="IO346" s="66"/>
      <c r="IP346" s="66"/>
      <c r="IQ346" s="66"/>
      <c r="IR346" s="66"/>
      <c r="IS346" s="66"/>
      <c r="IT346" s="66"/>
      <c r="IU346" s="66"/>
    </row>
    <row r="347" spans="1:255" s="43" customFormat="1" ht="13.5" customHeight="1" x14ac:dyDescent="0.3">
      <c r="A347" s="11" t="s">
        <v>195</v>
      </c>
      <c r="B347" s="25" t="s">
        <v>194</v>
      </c>
      <c r="C347" s="64">
        <f>SUM(C348:C348)</f>
        <v>63000</v>
      </c>
      <c r="F347" s="67"/>
      <c r="G347" s="68"/>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c r="AP347" s="66"/>
      <c r="AQ347" s="66"/>
      <c r="AR347" s="66"/>
      <c r="AS347" s="66"/>
      <c r="AT347" s="66"/>
      <c r="AU347" s="66"/>
      <c r="AV347" s="66"/>
      <c r="AW347" s="66"/>
      <c r="AX347" s="66"/>
      <c r="AY347" s="66"/>
      <c r="AZ347" s="66"/>
      <c r="BA347" s="66"/>
      <c r="BB347" s="66"/>
      <c r="BC347" s="66"/>
      <c r="BD347" s="66"/>
      <c r="BE347" s="66"/>
      <c r="BF347" s="66"/>
      <c r="BG347" s="66"/>
      <c r="BH347" s="66"/>
      <c r="BI347" s="66"/>
      <c r="BJ347" s="66"/>
      <c r="BK347" s="66"/>
      <c r="BL347" s="66"/>
      <c r="BM347" s="66"/>
      <c r="BN347" s="66"/>
      <c r="BO347" s="66"/>
      <c r="BP347" s="66"/>
      <c r="BQ347" s="66"/>
      <c r="BR347" s="66"/>
      <c r="BS347" s="66"/>
      <c r="BT347" s="66"/>
      <c r="BU347" s="66"/>
      <c r="BV347" s="66"/>
      <c r="BW347" s="66"/>
      <c r="BX347" s="66"/>
      <c r="BY347" s="66"/>
      <c r="BZ347" s="66"/>
      <c r="CA347" s="66"/>
      <c r="CB347" s="66"/>
      <c r="CC347" s="66"/>
      <c r="CD347" s="66"/>
      <c r="CE347" s="66"/>
      <c r="CF347" s="66"/>
      <c r="CG347" s="66"/>
      <c r="CH347" s="66"/>
      <c r="CI347" s="66"/>
      <c r="CJ347" s="66"/>
      <c r="CK347" s="66"/>
      <c r="CL347" s="66"/>
      <c r="CM347" s="66"/>
      <c r="CN347" s="66"/>
      <c r="CO347" s="66"/>
      <c r="CP347" s="66"/>
      <c r="CQ347" s="66"/>
      <c r="CR347" s="66"/>
      <c r="CS347" s="66"/>
      <c r="CT347" s="66"/>
      <c r="CU347" s="66"/>
      <c r="CV347" s="66"/>
      <c r="CW347" s="66"/>
      <c r="CX347" s="66"/>
      <c r="CY347" s="66"/>
      <c r="CZ347" s="66"/>
      <c r="DA347" s="66"/>
      <c r="DB347" s="66"/>
      <c r="DC347" s="66"/>
      <c r="DD347" s="66"/>
      <c r="DE347" s="66"/>
      <c r="DF347" s="66"/>
      <c r="DG347" s="66"/>
      <c r="DH347" s="66"/>
      <c r="DI347" s="66"/>
      <c r="DJ347" s="66"/>
      <c r="DK347" s="66"/>
      <c r="DL347" s="66"/>
      <c r="DM347" s="66"/>
      <c r="DN347" s="66"/>
      <c r="DO347" s="66"/>
      <c r="DP347" s="66"/>
      <c r="DQ347" s="66"/>
      <c r="DR347" s="66"/>
      <c r="DS347" s="66"/>
      <c r="DT347" s="66"/>
      <c r="DU347" s="66"/>
      <c r="DV347" s="66"/>
      <c r="DW347" s="66"/>
      <c r="DX347" s="66"/>
      <c r="DY347" s="66"/>
      <c r="DZ347" s="66"/>
      <c r="EA347" s="66"/>
      <c r="EB347" s="66"/>
      <c r="EC347" s="66"/>
      <c r="ED347" s="66"/>
      <c r="EE347" s="66"/>
      <c r="EF347" s="66"/>
      <c r="EG347" s="66"/>
      <c r="EH347" s="66"/>
      <c r="EI347" s="66"/>
      <c r="EJ347" s="66"/>
      <c r="EK347" s="66"/>
      <c r="EL347" s="66"/>
      <c r="EM347" s="66"/>
      <c r="EN347" s="66"/>
      <c r="EO347" s="66"/>
      <c r="EP347" s="66"/>
      <c r="EQ347" s="66"/>
      <c r="ER347" s="66"/>
      <c r="ES347" s="66"/>
      <c r="ET347" s="66"/>
      <c r="EU347" s="66"/>
      <c r="EV347" s="66"/>
      <c r="EW347" s="66"/>
      <c r="EX347" s="66"/>
      <c r="EY347" s="66"/>
      <c r="EZ347" s="66"/>
      <c r="FA347" s="66"/>
      <c r="FB347" s="66"/>
      <c r="FC347" s="66"/>
      <c r="FD347" s="66"/>
      <c r="FE347" s="66"/>
      <c r="FF347" s="66"/>
      <c r="FG347" s="66"/>
      <c r="FH347" s="66"/>
      <c r="FI347" s="66"/>
      <c r="FJ347" s="66"/>
      <c r="FK347" s="66"/>
      <c r="FL347" s="66"/>
      <c r="FM347" s="66"/>
      <c r="FN347" s="66"/>
      <c r="FO347" s="66"/>
      <c r="FP347" s="66"/>
      <c r="FQ347" s="66"/>
      <c r="FR347" s="66"/>
      <c r="FS347" s="66"/>
      <c r="FT347" s="66"/>
      <c r="FU347" s="66"/>
      <c r="FV347" s="66"/>
      <c r="FW347" s="66"/>
      <c r="FX347" s="66"/>
      <c r="FY347" s="66"/>
      <c r="FZ347" s="66"/>
      <c r="GA347" s="66"/>
      <c r="GB347" s="66"/>
      <c r="GC347" s="66"/>
      <c r="GD347" s="66"/>
      <c r="GE347" s="66"/>
      <c r="GF347" s="66"/>
      <c r="GG347" s="66"/>
      <c r="GH347" s="66"/>
      <c r="GI347" s="66"/>
      <c r="GJ347" s="66"/>
      <c r="GK347" s="66"/>
      <c r="GL347" s="66"/>
      <c r="GM347" s="66"/>
      <c r="GN347" s="66"/>
      <c r="GO347" s="66"/>
      <c r="GP347" s="66"/>
      <c r="GQ347" s="66"/>
      <c r="GR347" s="66"/>
      <c r="GS347" s="66"/>
      <c r="GT347" s="66"/>
      <c r="GU347" s="66"/>
      <c r="GV347" s="66"/>
      <c r="GW347" s="66"/>
      <c r="GX347" s="66"/>
      <c r="GY347" s="66"/>
      <c r="GZ347" s="66"/>
      <c r="HA347" s="66"/>
      <c r="HB347" s="66"/>
      <c r="HC347" s="66"/>
      <c r="HD347" s="66"/>
      <c r="HE347" s="66"/>
      <c r="HF347" s="66"/>
      <c r="HG347" s="66"/>
      <c r="HH347" s="66"/>
      <c r="HI347" s="66"/>
      <c r="HJ347" s="66"/>
      <c r="HK347" s="66"/>
      <c r="HL347" s="66"/>
      <c r="HM347" s="66"/>
      <c r="HN347" s="66"/>
      <c r="HO347" s="66"/>
      <c r="HP347" s="66"/>
      <c r="HQ347" s="66"/>
      <c r="HR347" s="66"/>
      <c r="HS347" s="66"/>
      <c r="HT347" s="66"/>
      <c r="HU347" s="66"/>
      <c r="HV347" s="66"/>
      <c r="HW347" s="66"/>
      <c r="HX347" s="66"/>
      <c r="HY347" s="66"/>
      <c r="HZ347" s="66"/>
      <c r="IA347" s="66"/>
      <c r="IB347" s="66"/>
      <c r="IC347" s="66"/>
      <c r="ID347" s="66"/>
      <c r="IE347" s="66"/>
      <c r="IF347" s="66"/>
      <c r="IG347" s="66"/>
      <c r="IH347" s="66"/>
      <c r="II347" s="66"/>
      <c r="IJ347" s="66"/>
      <c r="IK347" s="66"/>
      <c r="IL347" s="66"/>
      <c r="IM347" s="66"/>
      <c r="IN347" s="66"/>
      <c r="IO347" s="66"/>
      <c r="IP347" s="66"/>
      <c r="IQ347" s="66"/>
      <c r="IR347" s="66"/>
      <c r="IS347" s="66"/>
      <c r="IT347" s="66"/>
      <c r="IU347" s="66"/>
    </row>
    <row r="348" spans="1:255" s="43" customFormat="1" ht="13.5" customHeight="1" x14ac:dyDescent="0.3">
      <c r="A348" s="12" t="s">
        <v>214</v>
      </c>
      <c r="B348" s="8" t="s">
        <v>213</v>
      </c>
      <c r="C348" s="60">
        <v>63000</v>
      </c>
      <c r="F348" s="67"/>
      <c r="G348" s="68"/>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c r="AP348" s="66"/>
      <c r="AQ348" s="66"/>
      <c r="AR348" s="66"/>
      <c r="AS348" s="66"/>
      <c r="AT348" s="66"/>
      <c r="AU348" s="66"/>
      <c r="AV348" s="66"/>
      <c r="AW348" s="66"/>
      <c r="AX348" s="66"/>
      <c r="AY348" s="66"/>
      <c r="AZ348" s="66"/>
      <c r="BA348" s="66"/>
      <c r="BB348" s="66"/>
      <c r="BC348" s="66"/>
      <c r="BD348" s="66"/>
      <c r="BE348" s="66"/>
      <c r="BF348" s="66"/>
      <c r="BG348" s="66"/>
      <c r="BH348" s="66"/>
      <c r="BI348" s="66"/>
      <c r="BJ348" s="66"/>
      <c r="BK348" s="66"/>
      <c r="BL348" s="66"/>
      <c r="BM348" s="66"/>
      <c r="BN348" s="66"/>
      <c r="BO348" s="66"/>
      <c r="BP348" s="66"/>
      <c r="BQ348" s="66"/>
      <c r="BR348" s="66"/>
      <c r="BS348" s="66"/>
      <c r="BT348" s="66"/>
      <c r="BU348" s="66"/>
      <c r="BV348" s="66"/>
      <c r="BW348" s="66"/>
      <c r="BX348" s="66"/>
      <c r="BY348" s="66"/>
      <c r="BZ348" s="66"/>
      <c r="CA348" s="66"/>
      <c r="CB348" s="66"/>
      <c r="CC348" s="66"/>
      <c r="CD348" s="66"/>
      <c r="CE348" s="66"/>
      <c r="CF348" s="66"/>
      <c r="CG348" s="66"/>
      <c r="CH348" s="66"/>
      <c r="CI348" s="66"/>
      <c r="CJ348" s="66"/>
      <c r="CK348" s="66"/>
      <c r="CL348" s="66"/>
      <c r="CM348" s="66"/>
      <c r="CN348" s="66"/>
      <c r="CO348" s="66"/>
      <c r="CP348" s="66"/>
      <c r="CQ348" s="66"/>
      <c r="CR348" s="66"/>
      <c r="CS348" s="66"/>
      <c r="CT348" s="66"/>
      <c r="CU348" s="66"/>
      <c r="CV348" s="66"/>
      <c r="CW348" s="66"/>
      <c r="CX348" s="66"/>
      <c r="CY348" s="66"/>
      <c r="CZ348" s="66"/>
      <c r="DA348" s="66"/>
      <c r="DB348" s="66"/>
      <c r="DC348" s="66"/>
      <c r="DD348" s="66"/>
      <c r="DE348" s="66"/>
      <c r="DF348" s="66"/>
      <c r="DG348" s="66"/>
      <c r="DH348" s="66"/>
      <c r="DI348" s="66"/>
      <c r="DJ348" s="66"/>
      <c r="DK348" s="66"/>
      <c r="DL348" s="66"/>
      <c r="DM348" s="66"/>
      <c r="DN348" s="66"/>
      <c r="DO348" s="66"/>
      <c r="DP348" s="66"/>
      <c r="DQ348" s="66"/>
      <c r="DR348" s="66"/>
      <c r="DS348" s="66"/>
      <c r="DT348" s="66"/>
      <c r="DU348" s="66"/>
      <c r="DV348" s="66"/>
      <c r="DW348" s="66"/>
      <c r="DX348" s="66"/>
      <c r="DY348" s="66"/>
      <c r="DZ348" s="66"/>
      <c r="EA348" s="66"/>
      <c r="EB348" s="66"/>
      <c r="EC348" s="66"/>
      <c r="ED348" s="66"/>
      <c r="EE348" s="66"/>
      <c r="EF348" s="66"/>
      <c r="EG348" s="66"/>
      <c r="EH348" s="66"/>
      <c r="EI348" s="66"/>
      <c r="EJ348" s="66"/>
      <c r="EK348" s="66"/>
      <c r="EL348" s="66"/>
      <c r="EM348" s="66"/>
      <c r="EN348" s="66"/>
      <c r="EO348" s="66"/>
      <c r="EP348" s="66"/>
      <c r="EQ348" s="66"/>
      <c r="ER348" s="66"/>
      <c r="ES348" s="66"/>
      <c r="ET348" s="66"/>
      <c r="EU348" s="66"/>
      <c r="EV348" s="66"/>
      <c r="EW348" s="66"/>
      <c r="EX348" s="66"/>
      <c r="EY348" s="66"/>
      <c r="EZ348" s="66"/>
      <c r="FA348" s="66"/>
      <c r="FB348" s="66"/>
      <c r="FC348" s="66"/>
      <c r="FD348" s="66"/>
      <c r="FE348" s="66"/>
      <c r="FF348" s="66"/>
      <c r="FG348" s="66"/>
      <c r="FH348" s="66"/>
      <c r="FI348" s="66"/>
      <c r="FJ348" s="66"/>
      <c r="FK348" s="66"/>
      <c r="FL348" s="66"/>
      <c r="FM348" s="66"/>
      <c r="FN348" s="66"/>
      <c r="FO348" s="66"/>
      <c r="FP348" s="66"/>
      <c r="FQ348" s="66"/>
      <c r="FR348" s="66"/>
      <c r="FS348" s="66"/>
      <c r="FT348" s="66"/>
      <c r="FU348" s="66"/>
      <c r="FV348" s="66"/>
      <c r="FW348" s="66"/>
      <c r="FX348" s="66"/>
      <c r="FY348" s="66"/>
      <c r="FZ348" s="66"/>
      <c r="GA348" s="66"/>
      <c r="GB348" s="66"/>
      <c r="GC348" s="66"/>
      <c r="GD348" s="66"/>
      <c r="GE348" s="66"/>
      <c r="GF348" s="66"/>
      <c r="GG348" s="66"/>
      <c r="GH348" s="66"/>
      <c r="GI348" s="66"/>
      <c r="GJ348" s="66"/>
      <c r="GK348" s="66"/>
      <c r="GL348" s="66"/>
      <c r="GM348" s="66"/>
      <c r="GN348" s="66"/>
      <c r="GO348" s="66"/>
      <c r="GP348" s="66"/>
      <c r="GQ348" s="66"/>
      <c r="GR348" s="66"/>
      <c r="GS348" s="66"/>
      <c r="GT348" s="66"/>
      <c r="GU348" s="66"/>
      <c r="GV348" s="66"/>
      <c r="GW348" s="66"/>
      <c r="GX348" s="66"/>
      <c r="GY348" s="66"/>
      <c r="GZ348" s="66"/>
      <c r="HA348" s="66"/>
      <c r="HB348" s="66"/>
      <c r="HC348" s="66"/>
      <c r="HD348" s="66"/>
      <c r="HE348" s="66"/>
      <c r="HF348" s="66"/>
      <c r="HG348" s="66"/>
      <c r="HH348" s="66"/>
      <c r="HI348" s="66"/>
      <c r="HJ348" s="66"/>
      <c r="HK348" s="66"/>
      <c r="HL348" s="66"/>
      <c r="HM348" s="66"/>
      <c r="HN348" s="66"/>
      <c r="HO348" s="66"/>
      <c r="HP348" s="66"/>
      <c r="HQ348" s="66"/>
      <c r="HR348" s="66"/>
      <c r="HS348" s="66"/>
      <c r="HT348" s="66"/>
      <c r="HU348" s="66"/>
      <c r="HV348" s="66"/>
      <c r="HW348" s="66"/>
      <c r="HX348" s="66"/>
      <c r="HY348" s="66"/>
      <c r="HZ348" s="66"/>
      <c r="IA348" s="66"/>
      <c r="IB348" s="66"/>
      <c r="IC348" s="66"/>
      <c r="ID348" s="66"/>
      <c r="IE348" s="66"/>
      <c r="IF348" s="66"/>
      <c r="IG348" s="66"/>
      <c r="IH348" s="66"/>
      <c r="II348" s="66"/>
      <c r="IJ348" s="66"/>
      <c r="IK348" s="66"/>
      <c r="IL348" s="66"/>
      <c r="IM348" s="66"/>
      <c r="IN348" s="66"/>
      <c r="IO348" s="66"/>
      <c r="IP348" s="66"/>
      <c r="IQ348" s="66"/>
      <c r="IR348" s="66"/>
      <c r="IS348" s="66"/>
      <c r="IT348" s="66"/>
      <c r="IU348" s="66"/>
    </row>
    <row r="349" spans="1:255" s="43" customFormat="1" ht="13.5" customHeight="1" x14ac:dyDescent="0.3">
      <c r="A349" s="11" t="s">
        <v>119</v>
      </c>
      <c r="B349" s="556" t="s">
        <v>109</v>
      </c>
      <c r="C349" s="64">
        <f>SUM(C350:C355)</f>
        <v>207000</v>
      </c>
      <c r="F349" s="67"/>
      <c r="G349" s="68"/>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c r="AP349" s="66"/>
      <c r="AQ349" s="66"/>
      <c r="AR349" s="66"/>
      <c r="AS349" s="66"/>
      <c r="AT349" s="66"/>
      <c r="AU349" s="66"/>
      <c r="AV349" s="66"/>
      <c r="AW349" s="66"/>
      <c r="AX349" s="66"/>
      <c r="AY349" s="66"/>
      <c r="AZ349" s="66"/>
      <c r="BA349" s="66"/>
      <c r="BB349" s="66"/>
      <c r="BC349" s="66"/>
      <c r="BD349" s="66"/>
      <c r="BE349" s="66"/>
      <c r="BF349" s="66"/>
      <c r="BG349" s="66"/>
      <c r="BH349" s="66"/>
      <c r="BI349" s="66"/>
      <c r="BJ349" s="66"/>
      <c r="BK349" s="66"/>
      <c r="BL349" s="66"/>
      <c r="BM349" s="66"/>
      <c r="BN349" s="66"/>
      <c r="BO349" s="66"/>
      <c r="BP349" s="66"/>
      <c r="BQ349" s="66"/>
      <c r="BR349" s="66"/>
      <c r="BS349" s="66"/>
      <c r="BT349" s="66"/>
      <c r="BU349" s="66"/>
      <c r="BV349" s="66"/>
      <c r="BW349" s="66"/>
      <c r="BX349" s="66"/>
      <c r="BY349" s="66"/>
      <c r="BZ349" s="66"/>
      <c r="CA349" s="66"/>
      <c r="CB349" s="66"/>
      <c r="CC349" s="66"/>
      <c r="CD349" s="66"/>
      <c r="CE349" s="66"/>
      <c r="CF349" s="66"/>
      <c r="CG349" s="66"/>
      <c r="CH349" s="66"/>
      <c r="CI349" s="66"/>
      <c r="CJ349" s="66"/>
      <c r="CK349" s="66"/>
      <c r="CL349" s="66"/>
      <c r="CM349" s="66"/>
      <c r="CN349" s="66"/>
      <c r="CO349" s="66"/>
      <c r="CP349" s="66"/>
      <c r="CQ349" s="66"/>
      <c r="CR349" s="66"/>
      <c r="CS349" s="66"/>
      <c r="CT349" s="66"/>
      <c r="CU349" s="66"/>
      <c r="CV349" s="66"/>
      <c r="CW349" s="66"/>
      <c r="CX349" s="66"/>
      <c r="CY349" s="66"/>
      <c r="CZ349" s="66"/>
      <c r="DA349" s="66"/>
      <c r="DB349" s="66"/>
      <c r="DC349" s="66"/>
      <c r="DD349" s="66"/>
      <c r="DE349" s="66"/>
      <c r="DF349" s="66"/>
      <c r="DG349" s="66"/>
      <c r="DH349" s="66"/>
      <c r="DI349" s="66"/>
      <c r="DJ349" s="66"/>
      <c r="DK349" s="66"/>
      <c r="DL349" s="66"/>
      <c r="DM349" s="66"/>
      <c r="DN349" s="66"/>
      <c r="DO349" s="66"/>
      <c r="DP349" s="66"/>
      <c r="DQ349" s="66"/>
      <c r="DR349" s="66"/>
      <c r="DS349" s="66"/>
      <c r="DT349" s="66"/>
      <c r="DU349" s="66"/>
      <c r="DV349" s="66"/>
      <c r="DW349" s="66"/>
      <c r="DX349" s="66"/>
      <c r="DY349" s="66"/>
      <c r="DZ349" s="66"/>
      <c r="EA349" s="66"/>
      <c r="EB349" s="66"/>
      <c r="EC349" s="66"/>
      <c r="ED349" s="66"/>
      <c r="EE349" s="66"/>
      <c r="EF349" s="66"/>
      <c r="EG349" s="66"/>
      <c r="EH349" s="66"/>
      <c r="EI349" s="66"/>
      <c r="EJ349" s="66"/>
      <c r="EK349" s="66"/>
      <c r="EL349" s="66"/>
      <c r="EM349" s="66"/>
      <c r="EN349" s="66"/>
      <c r="EO349" s="66"/>
      <c r="EP349" s="66"/>
      <c r="EQ349" s="66"/>
      <c r="ER349" s="66"/>
      <c r="ES349" s="66"/>
      <c r="ET349" s="66"/>
      <c r="EU349" s="66"/>
      <c r="EV349" s="66"/>
      <c r="EW349" s="66"/>
      <c r="EX349" s="66"/>
      <c r="EY349" s="66"/>
      <c r="EZ349" s="66"/>
      <c r="FA349" s="66"/>
      <c r="FB349" s="66"/>
      <c r="FC349" s="66"/>
      <c r="FD349" s="66"/>
      <c r="FE349" s="66"/>
      <c r="FF349" s="66"/>
      <c r="FG349" s="66"/>
      <c r="FH349" s="66"/>
      <c r="FI349" s="66"/>
      <c r="FJ349" s="66"/>
      <c r="FK349" s="66"/>
      <c r="FL349" s="66"/>
      <c r="FM349" s="66"/>
      <c r="FN349" s="66"/>
      <c r="FO349" s="66"/>
      <c r="FP349" s="66"/>
      <c r="FQ349" s="66"/>
      <c r="FR349" s="66"/>
      <c r="FS349" s="66"/>
      <c r="FT349" s="66"/>
      <c r="FU349" s="66"/>
      <c r="FV349" s="66"/>
      <c r="FW349" s="66"/>
      <c r="FX349" s="66"/>
      <c r="FY349" s="66"/>
      <c r="FZ349" s="66"/>
      <c r="GA349" s="66"/>
      <c r="GB349" s="66"/>
      <c r="GC349" s="66"/>
      <c r="GD349" s="66"/>
      <c r="GE349" s="66"/>
      <c r="GF349" s="66"/>
      <c r="GG349" s="66"/>
      <c r="GH349" s="66"/>
      <c r="GI349" s="66"/>
      <c r="GJ349" s="66"/>
      <c r="GK349" s="66"/>
      <c r="GL349" s="66"/>
      <c r="GM349" s="66"/>
      <c r="GN349" s="66"/>
      <c r="GO349" s="66"/>
      <c r="GP349" s="66"/>
      <c r="GQ349" s="66"/>
      <c r="GR349" s="66"/>
      <c r="GS349" s="66"/>
      <c r="GT349" s="66"/>
      <c r="GU349" s="66"/>
      <c r="GV349" s="66"/>
      <c r="GW349" s="66"/>
      <c r="GX349" s="66"/>
      <c r="GY349" s="66"/>
      <c r="GZ349" s="66"/>
      <c r="HA349" s="66"/>
      <c r="HB349" s="66"/>
      <c r="HC349" s="66"/>
      <c r="HD349" s="66"/>
      <c r="HE349" s="66"/>
      <c r="HF349" s="66"/>
      <c r="HG349" s="66"/>
      <c r="HH349" s="66"/>
      <c r="HI349" s="66"/>
      <c r="HJ349" s="66"/>
      <c r="HK349" s="66"/>
      <c r="HL349" s="66"/>
      <c r="HM349" s="66"/>
      <c r="HN349" s="66"/>
      <c r="HO349" s="66"/>
      <c r="HP349" s="66"/>
      <c r="HQ349" s="66"/>
      <c r="HR349" s="66"/>
      <c r="HS349" s="66"/>
      <c r="HT349" s="66"/>
      <c r="HU349" s="66"/>
      <c r="HV349" s="66"/>
      <c r="HW349" s="66"/>
      <c r="HX349" s="66"/>
      <c r="HY349" s="66"/>
      <c r="HZ349" s="66"/>
      <c r="IA349" s="66"/>
      <c r="IB349" s="66"/>
      <c r="IC349" s="66"/>
      <c r="ID349" s="66"/>
      <c r="IE349" s="66"/>
      <c r="IF349" s="66"/>
      <c r="IG349" s="66"/>
      <c r="IH349" s="66"/>
      <c r="II349" s="66"/>
      <c r="IJ349" s="66"/>
      <c r="IK349" s="66"/>
      <c r="IL349" s="66"/>
      <c r="IM349" s="66"/>
      <c r="IN349" s="66"/>
      <c r="IO349" s="66"/>
      <c r="IP349" s="66"/>
      <c r="IQ349" s="66"/>
      <c r="IR349" s="66"/>
      <c r="IS349" s="66"/>
      <c r="IT349" s="66"/>
      <c r="IU349" s="66"/>
    </row>
    <row r="350" spans="1:255" s="43" customFormat="1" ht="13.5" customHeight="1" x14ac:dyDescent="0.3">
      <c r="A350" s="12" t="s">
        <v>186</v>
      </c>
      <c r="B350" s="43" t="s">
        <v>185</v>
      </c>
      <c r="C350" s="60">
        <v>15000</v>
      </c>
      <c r="F350" s="67"/>
      <c r="G350" s="68"/>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c r="AP350" s="66"/>
      <c r="AQ350" s="66"/>
      <c r="AR350" s="66"/>
      <c r="AS350" s="66"/>
      <c r="AT350" s="66"/>
      <c r="AU350" s="66"/>
      <c r="AV350" s="66"/>
      <c r="AW350" s="66"/>
      <c r="AX350" s="66"/>
      <c r="AY350" s="66"/>
      <c r="AZ350" s="66"/>
      <c r="BA350" s="66"/>
      <c r="BB350" s="66"/>
      <c r="BC350" s="66"/>
      <c r="BD350" s="66"/>
      <c r="BE350" s="66"/>
      <c r="BF350" s="66"/>
      <c r="BG350" s="66"/>
      <c r="BH350" s="66"/>
      <c r="BI350" s="66"/>
      <c r="BJ350" s="66"/>
      <c r="BK350" s="66"/>
      <c r="BL350" s="66"/>
      <c r="BM350" s="66"/>
      <c r="BN350" s="66"/>
      <c r="BO350" s="66"/>
      <c r="BP350" s="66"/>
      <c r="BQ350" s="66"/>
      <c r="BR350" s="66"/>
      <c r="BS350" s="66"/>
      <c r="BT350" s="66"/>
      <c r="BU350" s="66"/>
      <c r="BV350" s="66"/>
      <c r="BW350" s="66"/>
      <c r="BX350" s="66"/>
      <c r="BY350" s="66"/>
      <c r="BZ350" s="66"/>
      <c r="CA350" s="66"/>
      <c r="CB350" s="66"/>
      <c r="CC350" s="66"/>
      <c r="CD350" s="66"/>
      <c r="CE350" s="66"/>
      <c r="CF350" s="66"/>
      <c r="CG350" s="66"/>
      <c r="CH350" s="66"/>
      <c r="CI350" s="66"/>
      <c r="CJ350" s="66"/>
      <c r="CK350" s="66"/>
      <c r="CL350" s="66"/>
      <c r="CM350" s="66"/>
      <c r="CN350" s="66"/>
      <c r="CO350" s="66"/>
      <c r="CP350" s="66"/>
      <c r="CQ350" s="66"/>
      <c r="CR350" s="66"/>
      <c r="CS350" s="66"/>
      <c r="CT350" s="66"/>
      <c r="CU350" s="66"/>
      <c r="CV350" s="66"/>
      <c r="CW350" s="66"/>
      <c r="CX350" s="66"/>
      <c r="CY350" s="66"/>
      <c r="CZ350" s="66"/>
      <c r="DA350" s="66"/>
      <c r="DB350" s="66"/>
      <c r="DC350" s="66"/>
      <c r="DD350" s="66"/>
      <c r="DE350" s="66"/>
      <c r="DF350" s="66"/>
      <c r="DG350" s="66"/>
      <c r="DH350" s="66"/>
      <c r="DI350" s="66"/>
      <c r="DJ350" s="66"/>
      <c r="DK350" s="66"/>
      <c r="DL350" s="66"/>
      <c r="DM350" s="66"/>
      <c r="DN350" s="66"/>
      <c r="DO350" s="66"/>
      <c r="DP350" s="66"/>
      <c r="DQ350" s="66"/>
      <c r="DR350" s="66"/>
      <c r="DS350" s="66"/>
      <c r="DT350" s="66"/>
      <c r="DU350" s="66"/>
      <c r="DV350" s="66"/>
      <c r="DW350" s="66"/>
      <c r="DX350" s="66"/>
      <c r="DY350" s="66"/>
      <c r="DZ350" s="66"/>
      <c r="EA350" s="66"/>
      <c r="EB350" s="66"/>
      <c r="EC350" s="66"/>
      <c r="ED350" s="66"/>
      <c r="EE350" s="66"/>
      <c r="EF350" s="66"/>
      <c r="EG350" s="66"/>
      <c r="EH350" s="66"/>
      <c r="EI350" s="66"/>
      <c r="EJ350" s="66"/>
      <c r="EK350" s="66"/>
      <c r="EL350" s="66"/>
      <c r="EM350" s="66"/>
      <c r="EN350" s="66"/>
      <c r="EO350" s="66"/>
      <c r="EP350" s="66"/>
      <c r="EQ350" s="66"/>
      <c r="ER350" s="66"/>
      <c r="ES350" s="66"/>
      <c r="ET350" s="66"/>
      <c r="EU350" s="66"/>
      <c r="EV350" s="66"/>
      <c r="EW350" s="66"/>
      <c r="EX350" s="66"/>
      <c r="EY350" s="66"/>
      <c r="EZ350" s="66"/>
      <c r="FA350" s="66"/>
      <c r="FB350" s="66"/>
      <c r="FC350" s="66"/>
      <c r="FD350" s="66"/>
      <c r="FE350" s="66"/>
      <c r="FF350" s="66"/>
      <c r="FG350" s="66"/>
      <c r="FH350" s="66"/>
      <c r="FI350" s="66"/>
      <c r="FJ350" s="66"/>
      <c r="FK350" s="66"/>
      <c r="FL350" s="66"/>
      <c r="FM350" s="66"/>
      <c r="FN350" s="66"/>
      <c r="FO350" s="66"/>
      <c r="FP350" s="66"/>
      <c r="FQ350" s="66"/>
      <c r="FR350" s="66"/>
      <c r="FS350" s="66"/>
      <c r="FT350" s="66"/>
      <c r="FU350" s="66"/>
      <c r="FV350" s="66"/>
      <c r="FW350" s="66"/>
      <c r="FX350" s="66"/>
      <c r="FY350" s="66"/>
      <c r="FZ350" s="66"/>
      <c r="GA350" s="66"/>
      <c r="GB350" s="66"/>
      <c r="GC350" s="66"/>
      <c r="GD350" s="66"/>
      <c r="GE350" s="66"/>
      <c r="GF350" s="66"/>
      <c r="GG350" s="66"/>
      <c r="GH350" s="66"/>
      <c r="GI350" s="66"/>
      <c r="GJ350" s="66"/>
      <c r="GK350" s="66"/>
      <c r="GL350" s="66"/>
      <c r="GM350" s="66"/>
      <c r="GN350" s="66"/>
      <c r="GO350" s="66"/>
      <c r="GP350" s="66"/>
      <c r="GQ350" s="66"/>
      <c r="GR350" s="66"/>
      <c r="GS350" s="66"/>
      <c r="GT350" s="66"/>
      <c r="GU350" s="66"/>
      <c r="GV350" s="66"/>
      <c r="GW350" s="66"/>
      <c r="GX350" s="66"/>
      <c r="GY350" s="66"/>
      <c r="GZ350" s="66"/>
      <c r="HA350" s="66"/>
      <c r="HB350" s="66"/>
      <c r="HC350" s="66"/>
      <c r="HD350" s="66"/>
      <c r="HE350" s="66"/>
      <c r="HF350" s="66"/>
      <c r="HG350" s="66"/>
      <c r="HH350" s="66"/>
      <c r="HI350" s="66"/>
      <c r="HJ350" s="66"/>
      <c r="HK350" s="66"/>
      <c r="HL350" s="66"/>
      <c r="HM350" s="66"/>
      <c r="HN350" s="66"/>
      <c r="HO350" s="66"/>
      <c r="HP350" s="66"/>
      <c r="HQ350" s="66"/>
      <c r="HR350" s="66"/>
      <c r="HS350" s="66"/>
      <c r="HT350" s="66"/>
      <c r="HU350" s="66"/>
      <c r="HV350" s="66"/>
      <c r="HW350" s="66"/>
      <c r="HX350" s="66"/>
      <c r="HY350" s="66"/>
      <c r="HZ350" s="66"/>
      <c r="IA350" s="66"/>
      <c r="IB350" s="66"/>
      <c r="IC350" s="66"/>
      <c r="ID350" s="66"/>
      <c r="IE350" s="66"/>
      <c r="IF350" s="66"/>
      <c r="IG350" s="66"/>
      <c r="IH350" s="66"/>
      <c r="II350" s="66"/>
      <c r="IJ350" s="66"/>
      <c r="IK350" s="66"/>
      <c r="IL350" s="66"/>
      <c r="IM350" s="66"/>
      <c r="IN350" s="66"/>
      <c r="IO350" s="66"/>
      <c r="IP350" s="66"/>
      <c r="IQ350" s="66"/>
      <c r="IR350" s="66"/>
      <c r="IS350" s="66"/>
      <c r="IT350" s="66"/>
      <c r="IU350" s="66"/>
    </row>
    <row r="351" spans="1:255" s="43" customFormat="1" ht="13.5" customHeight="1" x14ac:dyDescent="0.3">
      <c r="A351" s="12" t="s">
        <v>600</v>
      </c>
      <c r="B351" s="43" t="s">
        <v>613</v>
      </c>
      <c r="C351" s="60">
        <v>95000</v>
      </c>
      <c r="F351" s="67"/>
      <c r="G351" s="68"/>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c r="AP351" s="66"/>
      <c r="AQ351" s="66"/>
      <c r="AR351" s="66"/>
      <c r="AS351" s="66"/>
      <c r="AT351" s="66"/>
      <c r="AU351" s="66"/>
      <c r="AV351" s="66"/>
      <c r="AW351" s="66"/>
      <c r="AX351" s="66"/>
      <c r="AY351" s="66"/>
      <c r="AZ351" s="66"/>
      <c r="BA351" s="66"/>
      <c r="BB351" s="66"/>
      <c r="BC351" s="66"/>
      <c r="BD351" s="66"/>
      <c r="BE351" s="66"/>
      <c r="BF351" s="66"/>
      <c r="BG351" s="66"/>
      <c r="BH351" s="66"/>
      <c r="BI351" s="66"/>
      <c r="BJ351" s="66"/>
      <c r="BK351" s="66"/>
      <c r="BL351" s="66"/>
      <c r="BM351" s="66"/>
      <c r="BN351" s="66"/>
      <c r="BO351" s="66"/>
      <c r="BP351" s="66"/>
      <c r="BQ351" s="66"/>
      <c r="BR351" s="66"/>
      <c r="BS351" s="66"/>
      <c r="BT351" s="66"/>
      <c r="BU351" s="66"/>
      <c r="BV351" s="66"/>
      <c r="BW351" s="66"/>
      <c r="BX351" s="66"/>
      <c r="BY351" s="66"/>
      <c r="BZ351" s="66"/>
      <c r="CA351" s="66"/>
      <c r="CB351" s="66"/>
      <c r="CC351" s="66"/>
      <c r="CD351" s="66"/>
      <c r="CE351" s="66"/>
      <c r="CF351" s="66"/>
      <c r="CG351" s="66"/>
      <c r="CH351" s="66"/>
      <c r="CI351" s="66"/>
      <c r="CJ351" s="66"/>
      <c r="CK351" s="66"/>
      <c r="CL351" s="66"/>
      <c r="CM351" s="66"/>
      <c r="CN351" s="66"/>
      <c r="CO351" s="66"/>
      <c r="CP351" s="66"/>
      <c r="CQ351" s="66"/>
      <c r="CR351" s="66"/>
      <c r="CS351" s="66"/>
      <c r="CT351" s="66"/>
      <c r="CU351" s="66"/>
      <c r="CV351" s="66"/>
      <c r="CW351" s="66"/>
      <c r="CX351" s="66"/>
      <c r="CY351" s="66"/>
      <c r="CZ351" s="66"/>
      <c r="DA351" s="66"/>
      <c r="DB351" s="66"/>
      <c r="DC351" s="66"/>
      <c r="DD351" s="66"/>
      <c r="DE351" s="66"/>
      <c r="DF351" s="66"/>
      <c r="DG351" s="66"/>
      <c r="DH351" s="66"/>
      <c r="DI351" s="66"/>
      <c r="DJ351" s="66"/>
      <c r="DK351" s="66"/>
      <c r="DL351" s="66"/>
      <c r="DM351" s="66"/>
      <c r="DN351" s="66"/>
      <c r="DO351" s="66"/>
      <c r="DP351" s="66"/>
      <c r="DQ351" s="66"/>
      <c r="DR351" s="66"/>
      <c r="DS351" s="66"/>
      <c r="DT351" s="66"/>
      <c r="DU351" s="66"/>
      <c r="DV351" s="66"/>
      <c r="DW351" s="66"/>
      <c r="DX351" s="66"/>
      <c r="DY351" s="66"/>
      <c r="DZ351" s="66"/>
      <c r="EA351" s="66"/>
      <c r="EB351" s="66"/>
      <c r="EC351" s="66"/>
      <c r="ED351" s="66"/>
      <c r="EE351" s="66"/>
      <c r="EF351" s="66"/>
      <c r="EG351" s="66"/>
      <c r="EH351" s="66"/>
      <c r="EI351" s="66"/>
      <c r="EJ351" s="66"/>
      <c r="EK351" s="66"/>
      <c r="EL351" s="66"/>
      <c r="EM351" s="66"/>
      <c r="EN351" s="66"/>
      <c r="EO351" s="66"/>
      <c r="EP351" s="66"/>
      <c r="EQ351" s="66"/>
      <c r="ER351" s="66"/>
      <c r="ES351" s="66"/>
      <c r="ET351" s="66"/>
      <c r="EU351" s="66"/>
      <c r="EV351" s="66"/>
      <c r="EW351" s="66"/>
      <c r="EX351" s="66"/>
      <c r="EY351" s="66"/>
      <c r="EZ351" s="66"/>
      <c r="FA351" s="66"/>
      <c r="FB351" s="66"/>
      <c r="FC351" s="66"/>
      <c r="FD351" s="66"/>
      <c r="FE351" s="66"/>
      <c r="FF351" s="66"/>
      <c r="FG351" s="66"/>
      <c r="FH351" s="66"/>
      <c r="FI351" s="66"/>
      <c r="FJ351" s="66"/>
      <c r="FK351" s="66"/>
      <c r="FL351" s="66"/>
      <c r="FM351" s="66"/>
      <c r="FN351" s="66"/>
      <c r="FO351" s="66"/>
      <c r="FP351" s="66"/>
      <c r="FQ351" s="66"/>
      <c r="FR351" s="66"/>
      <c r="FS351" s="66"/>
      <c r="FT351" s="66"/>
      <c r="FU351" s="66"/>
      <c r="FV351" s="66"/>
      <c r="FW351" s="66"/>
      <c r="FX351" s="66"/>
      <c r="FY351" s="66"/>
      <c r="FZ351" s="66"/>
      <c r="GA351" s="66"/>
      <c r="GB351" s="66"/>
      <c r="GC351" s="66"/>
      <c r="GD351" s="66"/>
      <c r="GE351" s="66"/>
      <c r="GF351" s="66"/>
      <c r="GG351" s="66"/>
      <c r="GH351" s="66"/>
      <c r="GI351" s="66"/>
      <c r="GJ351" s="66"/>
      <c r="GK351" s="66"/>
      <c r="GL351" s="66"/>
      <c r="GM351" s="66"/>
      <c r="GN351" s="66"/>
      <c r="GO351" s="66"/>
      <c r="GP351" s="66"/>
      <c r="GQ351" s="66"/>
      <c r="GR351" s="66"/>
      <c r="GS351" s="66"/>
      <c r="GT351" s="66"/>
      <c r="GU351" s="66"/>
      <c r="GV351" s="66"/>
      <c r="GW351" s="66"/>
      <c r="GX351" s="66"/>
      <c r="GY351" s="66"/>
      <c r="GZ351" s="66"/>
      <c r="HA351" s="66"/>
      <c r="HB351" s="66"/>
      <c r="HC351" s="66"/>
      <c r="HD351" s="66"/>
      <c r="HE351" s="66"/>
      <c r="HF351" s="66"/>
      <c r="HG351" s="66"/>
      <c r="HH351" s="66"/>
      <c r="HI351" s="66"/>
      <c r="HJ351" s="66"/>
      <c r="HK351" s="66"/>
      <c r="HL351" s="66"/>
      <c r="HM351" s="66"/>
      <c r="HN351" s="66"/>
      <c r="HO351" s="66"/>
      <c r="HP351" s="66"/>
      <c r="HQ351" s="66"/>
      <c r="HR351" s="66"/>
      <c r="HS351" s="66"/>
      <c r="HT351" s="66"/>
      <c r="HU351" s="66"/>
      <c r="HV351" s="66"/>
      <c r="HW351" s="66"/>
      <c r="HX351" s="66"/>
      <c r="HY351" s="66"/>
      <c r="HZ351" s="66"/>
      <c r="IA351" s="66"/>
      <c r="IB351" s="66"/>
      <c r="IC351" s="66"/>
      <c r="ID351" s="66"/>
      <c r="IE351" s="66"/>
      <c r="IF351" s="66"/>
      <c r="IG351" s="66"/>
      <c r="IH351" s="66"/>
      <c r="II351" s="66"/>
      <c r="IJ351" s="66"/>
      <c r="IK351" s="66"/>
      <c r="IL351" s="66"/>
      <c r="IM351" s="66"/>
      <c r="IN351" s="66"/>
      <c r="IO351" s="66"/>
      <c r="IP351" s="66"/>
      <c r="IQ351" s="66"/>
      <c r="IR351" s="66"/>
      <c r="IS351" s="66"/>
      <c r="IT351" s="66"/>
      <c r="IU351" s="66"/>
    </row>
    <row r="352" spans="1:255" s="43" customFormat="1" ht="13.5" customHeight="1" x14ac:dyDescent="0.3">
      <c r="A352" s="12" t="s">
        <v>697</v>
      </c>
      <c r="B352" s="43" t="s">
        <v>696</v>
      </c>
      <c r="C352" s="60">
        <v>14000</v>
      </c>
      <c r="F352" s="67"/>
      <c r="G352" s="68"/>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c r="AP352" s="66"/>
      <c r="AQ352" s="66"/>
      <c r="AR352" s="66"/>
      <c r="AS352" s="66"/>
      <c r="AT352" s="66"/>
      <c r="AU352" s="66"/>
      <c r="AV352" s="66"/>
      <c r="AW352" s="66"/>
      <c r="AX352" s="66"/>
      <c r="AY352" s="66"/>
      <c r="AZ352" s="66"/>
      <c r="BA352" s="66"/>
      <c r="BB352" s="66"/>
      <c r="BC352" s="66"/>
      <c r="BD352" s="66"/>
      <c r="BE352" s="66"/>
      <c r="BF352" s="66"/>
      <c r="BG352" s="66"/>
      <c r="BH352" s="66"/>
      <c r="BI352" s="66"/>
      <c r="BJ352" s="66"/>
      <c r="BK352" s="66"/>
      <c r="BL352" s="66"/>
      <c r="BM352" s="66"/>
      <c r="BN352" s="66"/>
      <c r="BO352" s="66"/>
      <c r="BP352" s="66"/>
      <c r="BQ352" s="66"/>
      <c r="BR352" s="66"/>
      <c r="BS352" s="66"/>
      <c r="BT352" s="66"/>
      <c r="BU352" s="66"/>
      <c r="BV352" s="66"/>
      <c r="BW352" s="66"/>
      <c r="BX352" s="66"/>
      <c r="BY352" s="66"/>
      <c r="BZ352" s="66"/>
      <c r="CA352" s="66"/>
      <c r="CB352" s="66"/>
      <c r="CC352" s="66"/>
      <c r="CD352" s="66"/>
      <c r="CE352" s="66"/>
      <c r="CF352" s="66"/>
      <c r="CG352" s="66"/>
      <c r="CH352" s="66"/>
      <c r="CI352" s="66"/>
      <c r="CJ352" s="66"/>
      <c r="CK352" s="66"/>
      <c r="CL352" s="66"/>
      <c r="CM352" s="66"/>
      <c r="CN352" s="66"/>
      <c r="CO352" s="66"/>
      <c r="CP352" s="66"/>
      <c r="CQ352" s="66"/>
      <c r="CR352" s="66"/>
      <c r="CS352" s="66"/>
      <c r="CT352" s="66"/>
      <c r="CU352" s="66"/>
      <c r="CV352" s="66"/>
      <c r="CW352" s="66"/>
      <c r="CX352" s="66"/>
      <c r="CY352" s="66"/>
      <c r="CZ352" s="66"/>
      <c r="DA352" s="66"/>
      <c r="DB352" s="66"/>
      <c r="DC352" s="66"/>
      <c r="DD352" s="66"/>
      <c r="DE352" s="66"/>
      <c r="DF352" s="66"/>
      <c r="DG352" s="66"/>
      <c r="DH352" s="66"/>
      <c r="DI352" s="66"/>
      <c r="DJ352" s="66"/>
      <c r="DK352" s="66"/>
      <c r="DL352" s="66"/>
      <c r="DM352" s="66"/>
      <c r="DN352" s="66"/>
      <c r="DO352" s="66"/>
      <c r="DP352" s="66"/>
      <c r="DQ352" s="66"/>
      <c r="DR352" s="66"/>
      <c r="DS352" s="66"/>
      <c r="DT352" s="66"/>
      <c r="DU352" s="66"/>
      <c r="DV352" s="66"/>
      <c r="DW352" s="66"/>
      <c r="DX352" s="66"/>
      <c r="DY352" s="66"/>
      <c r="DZ352" s="66"/>
      <c r="EA352" s="66"/>
      <c r="EB352" s="66"/>
      <c r="EC352" s="66"/>
      <c r="ED352" s="66"/>
      <c r="EE352" s="66"/>
      <c r="EF352" s="66"/>
      <c r="EG352" s="66"/>
      <c r="EH352" s="66"/>
      <c r="EI352" s="66"/>
      <c r="EJ352" s="66"/>
      <c r="EK352" s="66"/>
      <c r="EL352" s="66"/>
      <c r="EM352" s="66"/>
      <c r="EN352" s="66"/>
      <c r="EO352" s="66"/>
      <c r="EP352" s="66"/>
      <c r="EQ352" s="66"/>
      <c r="ER352" s="66"/>
      <c r="ES352" s="66"/>
      <c r="ET352" s="66"/>
      <c r="EU352" s="66"/>
      <c r="EV352" s="66"/>
      <c r="EW352" s="66"/>
      <c r="EX352" s="66"/>
      <c r="EY352" s="66"/>
      <c r="EZ352" s="66"/>
      <c r="FA352" s="66"/>
      <c r="FB352" s="66"/>
      <c r="FC352" s="66"/>
      <c r="FD352" s="66"/>
      <c r="FE352" s="66"/>
      <c r="FF352" s="66"/>
      <c r="FG352" s="66"/>
      <c r="FH352" s="66"/>
      <c r="FI352" s="66"/>
      <c r="FJ352" s="66"/>
      <c r="FK352" s="66"/>
      <c r="FL352" s="66"/>
      <c r="FM352" s="66"/>
      <c r="FN352" s="66"/>
      <c r="FO352" s="66"/>
      <c r="FP352" s="66"/>
      <c r="FQ352" s="66"/>
      <c r="FR352" s="66"/>
      <c r="FS352" s="66"/>
      <c r="FT352" s="66"/>
      <c r="FU352" s="66"/>
      <c r="FV352" s="66"/>
      <c r="FW352" s="66"/>
      <c r="FX352" s="66"/>
      <c r="FY352" s="66"/>
      <c r="FZ352" s="66"/>
      <c r="GA352" s="66"/>
      <c r="GB352" s="66"/>
      <c r="GC352" s="66"/>
      <c r="GD352" s="66"/>
      <c r="GE352" s="66"/>
      <c r="GF352" s="66"/>
      <c r="GG352" s="66"/>
      <c r="GH352" s="66"/>
      <c r="GI352" s="66"/>
      <c r="GJ352" s="66"/>
      <c r="GK352" s="66"/>
      <c r="GL352" s="66"/>
      <c r="GM352" s="66"/>
      <c r="GN352" s="66"/>
      <c r="GO352" s="66"/>
      <c r="GP352" s="66"/>
      <c r="GQ352" s="66"/>
      <c r="GR352" s="66"/>
      <c r="GS352" s="66"/>
      <c r="GT352" s="66"/>
      <c r="GU352" s="66"/>
      <c r="GV352" s="66"/>
      <c r="GW352" s="66"/>
      <c r="GX352" s="66"/>
      <c r="GY352" s="66"/>
      <c r="GZ352" s="66"/>
      <c r="HA352" s="66"/>
      <c r="HB352" s="66"/>
      <c r="HC352" s="66"/>
      <c r="HD352" s="66"/>
      <c r="HE352" s="66"/>
      <c r="HF352" s="66"/>
      <c r="HG352" s="66"/>
      <c r="HH352" s="66"/>
      <c r="HI352" s="66"/>
      <c r="HJ352" s="66"/>
      <c r="HK352" s="66"/>
      <c r="HL352" s="66"/>
      <c r="HM352" s="66"/>
      <c r="HN352" s="66"/>
      <c r="HO352" s="66"/>
      <c r="HP352" s="66"/>
      <c r="HQ352" s="66"/>
      <c r="HR352" s="66"/>
      <c r="HS352" s="66"/>
      <c r="HT352" s="66"/>
      <c r="HU352" s="66"/>
      <c r="HV352" s="66"/>
      <c r="HW352" s="66"/>
      <c r="HX352" s="66"/>
      <c r="HY352" s="66"/>
      <c r="HZ352" s="66"/>
      <c r="IA352" s="66"/>
      <c r="IB352" s="66"/>
      <c r="IC352" s="66"/>
      <c r="ID352" s="66"/>
      <c r="IE352" s="66"/>
      <c r="IF352" s="66"/>
      <c r="IG352" s="66"/>
      <c r="IH352" s="66"/>
      <c r="II352" s="66"/>
      <c r="IJ352" s="66"/>
      <c r="IK352" s="66"/>
      <c r="IL352" s="66"/>
      <c r="IM352" s="66"/>
      <c r="IN352" s="66"/>
      <c r="IO352" s="66"/>
      <c r="IP352" s="66"/>
      <c r="IQ352" s="66"/>
      <c r="IR352" s="66"/>
      <c r="IS352" s="66"/>
      <c r="IT352" s="66"/>
      <c r="IU352" s="66"/>
    </row>
    <row r="353" spans="1:255" s="66" customFormat="1" x14ac:dyDescent="0.3">
      <c r="A353" s="72" t="s">
        <v>816</v>
      </c>
      <c r="B353" s="24" t="s">
        <v>810</v>
      </c>
      <c r="C353" s="24">
        <v>43000</v>
      </c>
      <c r="D353" s="78"/>
      <c r="E353" s="25"/>
    </row>
    <row r="354" spans="1:255" s="66" customFormat="1" x14ac:dyDescent="0.3">
      <c r="A354" s="72" t="s">
        <v>820</v>
      </c>
      <c r="B354" s="24" t="s">
        <v>821</v>
      </c>
      <c r="C354" s="24">
        <v>25000</v>
      </c>
      <c r="D354" s="78"/>
      <c r="E354" s="25"/>
    </row>
    <row r="355" spans="1:255" s="66" customFormat="1" x14ac:dyDescent="0.3">
      <c r="A355" s="72" t="s">
        <v>811</v>
      </c>
      <c r="B355" s="24" t="s">
        <v>812</v>
      </c>
      <c r="C355" s="24">
        <v>15000</v>
      </c>
      <c r="D355" s="78"/>
      <c r="E355" s="25"/>
    </row>
    <row r="356" spans="1:255" s="43" customFormat="1" ht="13.5" customHeight="1" x14ac:dyDescent="0.3">
      <c r="A356" s="265" t="s">
        <v>124</v>
      </c>
      <c r="B356" s="556" t="s">
        <v>123</v>
      </c>
      <c r="C356" s="64">
        <f>SUM(C357:C357)</f>
        <v>35000</v>
      </c>
      <c r="G356" s="68"/>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c r="AP356" s="66"/>
      <c r="AQ356" s="66"/>
      <c r="AR356" s="66"/>
      <c r="AS356" s="66"/>
      <c r="AT356" s="66"/>
      <c r="AU356" s="66"/>
      <c r="AV356" s="66"/>
      <c r="AW356" s="66"/>
      <c r="AX356" s="66"/>
      <c r="AY356" s="66"/>
      <c r="AZ356" s="66"/>
      <c r="BA356" s="66"/>
      <c r="BB356" s="66"/>
      <c r="BC356" s="66"/>
      <c r="BD356" s="66"/>
      <c r="BE356" s="66"/>
      <c r="BF356" s="66"/>
      <c r="BG356" s="66"/>
      <c r="BH356" s="66"/>
      <c r="BI356" s="66"/>
      <c r="BJ356" s="66"/>
      <c r="BK356" s="66"/>
      <c r="BL356" s="66"/>
      <c r="BM356" s="66"/>
      <c r="BN356" s="66"/>
      <c r="BO356" s="66"/>
      <c r="BP356" s="66"/>
      <c r="BQ356" s="66"/>
      <c r="BR356" s="66"/>
      <c r="BS356" s="66"/>
      <c r="BT356" s="66"/>
      <c r="BU356" s="66"/>
      <c r="BV356" s="66"/>
      <c r="BW356" s="66"/>
      <c r="BX356" s="66"/>
      <c r="BY356" s="66"/>
      <c r="BZ356" s="66"/>
      <c r="CA356" s="66"/>
      <c r="CB356" s="66"/>
      <c r="CC356" s="66"/>
      <c r="CD356" s="66"/>
      <c r="CE356" s="66"/>
      <c r="CF356" s="66"/>
      <c r="CG356" s="66"/>
      <c r="CH356" s="66"/>
      <c r="CI356" s="66"/>
      <c r="CJ356" s="66"/>
      <c r="CK356" s="66"/>
      <c r="CL356" s="66"/>
      <c r="CM356" s="66"/>
      <c r="CN356" s="66"/>
      <c r="CO356" s="66"/>
      <c r="CP356" s="66"/>
      <c r="CQ356" s="66"/>
      <c r="CR356" s="66"/>
      <c r="CS356" s="66"/>
      <c r="CT356" s="66"/>
      <c r="CU356" s="66"/>
      <c r="CV356" s="66"/>
      <c r="CW356" s="66"/>
      <c r="CX356" s="66"/>
      <c r="CY356" s="66"/>
      <c r="CZ356" s="66"/>
      <c r="DA356" s="66"/>
      <c r="DB356" s="66"/>
      <c r="DC356" s="66"/>
      <c r="DD356" s="66"/>
      <c r="DE356" s="66"/>
      <c r="DF356" s="66"/>
      <c r="DG356" s="66"/>
      <c r="DH356" s="66"/>
      <c r="DI356" s="66"/>
      <c r="DJ356" s="66"/>
      <c r="DK356" s="66"/>
      <c r="DL356" s="66"/>
      <c r="DM356" s="66"/>
      <c r="DN356" s="66"/>
      <c r="DO356" s="66"/>
      <c r="DP356" s="66"/>
      <c r="DQ356" s="66"/>
      <c r="DR356" s="66"/>
      <c r="DS356" s="66"/>
      <c r="DT356" s="66"/>
      <c r="DU356" s="66"/>
      <c r="DV356" s="66"/>
      <c r="DW356" s="66"/>
      <c r="DX356" s="66"/>
      <c r="DY356" s="66"/>
      <c r="DZ356" s="66"/>
      <c r="EA356" s="66"/>
      <c r="EB356" s="66"/>
      <c r="EC356" s="66"/>
      <c r="ED356" s="66"/>
      <c r="EE356" s="66"/>
      <c r="EF356" s="66"/>
      <c r="EG356" s="66"/>
      <c r="EH356" s="66"/>
      <c r="EI356" s="66"/>
      <c r="EJ356" s="66"/>
      <c r="EK356" s="66"/>
      <c r="EL356" s="66"/>
      <c r="EM356" s="66"/>
      <c r="EN356" s="66"/>
      <c r="EO356" s="66"/>
      <c r="EP356" s="66"/>
      <c r="EQ356" s="66"/>
      <c r="ER356" s="66"/>
      <c r="ES356" s="66"/>
      <c r="ET356" s="66"/>
      <c r="EU356" s="66"/>
      <c r="EV356" s="66"/>
      <c r="EW356" s="66"/>
      <c r="EX356" s="66"/>
      <c r="EY356" s="66"/>
      <c r="EZ356" s="66"/>
      <c r="FA356" s="66"/>
      <c r="FB356" s="66"/>
      <c r="FC356" s="66"/>
      <c r="FD356" s="66"/>
      <c r="FE356" s="66"/>
      <c r="FF356" s="66"/>
      <c r="FG356" s="66"/>
      <c r="FH356" s="66"/>
      <c r="FI356" s="66"/>
      <c r="FJ356" s="66"/>
      <c r="FK356" s="66"/>
      <c r="FL356" s="66"/>
      <c r="FM356" s="66"/>
      <c r="FN356" s="66"/>
      <c r="FO356" s="66"/>
      <c r="FP356" s="66"/>
      <c r="FQ356" s="66"/>
      <c r="FR356" s="66"/>
      <c r="FS356" s="66"/>
      <c r="FT356" s="66"/>
      <c r="FU356" s="66"/>
      <c r="FV356" s="66"/>
      <c r="FW356" s="66"/>
      <c r="FX356" s="66"/>
      <c r="FY356" s="66"/>
      <c r="FZ356" s="66"/>
      <c r="GA356" s="66"/>
      <c r="GB356" s="66"/>
      <c r="GC356" s="66"/>
      <c r="GD356" s="66"/>
      <c r="GE356" s="66"/>
      <c r="GF356" s="66"/>
      <c r="GG356" s="66"/>
      <c r="GH356" s="66"/>
      <c r="GI356" s="66"/>
      <c r="GJ356" s="66"/>
      <c r="GK356" s="66"/>
      <c r="GL356" s="66"/>
      <c r="GM356" s="66"/>
      <c r="GN356" s="66"/>
      <c r="GO356" s="66"/>
      <c r="GP356" s="66"/>
      <c r="GQ356" s="66"/>
      <c r="GR356" s="66"/>
      <c r="GS356" s="66"/>
      <c r="GT356" s="66"/>
      <c r="GU356" s="66"/>
      <c r="GV356" s="66"/>
      <c r="GW356" s="66"/>
      <c r="GX356" s="66"/>
      <c r="GY356" s="66"/>
      <c r="GZ356" s="66"/>
      <c r="HA356" s="66"/>
      <c r="HB356" s="66"/>
      <c r="HC356" s="66"/>
      <c r="HD356" s="66"/>
      <c r="HE356" s="66"/>
      <c r="HF356" s="66"/>
      <c r="HG356" s="66"/>
      <c r="HH356" s="66"/>
      <c r="HI356" s="66"/>
      <c r="HJ356" s="66"/>
      <c r="HK356" s="66"/>
      <c r="HL356" s="66"/>
      <c r="HM356" s="66"/>
      <c r="HN356" s="66"/>
      <c r="HO356" s="66"/>
      <c r="HP356" s="66"/>
      <c r="HQ356" s="66"/>
      <c r="HR356" s="66"/>
      <c r="HS356" s="66"/>
      <c r="HT356" s="66"/>
      <c r="HU356" s="66"/>
      <c r="HV356" s="66"/>
      <c r="HW356" s="66"/>
      <c r="HX356" s="66"/>
      <c r="HY356" s="66"/>
      <c r="HZ356" s="66"/>
      <c r="IA356" s="66"/>
      <c r="IB356" s="66"/>
      <c r="IC356" s="66"/>
      <c r="ID356" s="66"/>
      <c r="IE356" s="66"/>
      <c r="IF356" s="66"/>
      <c r="IG356" s="66"/>
      <c r="IH356" s="66"/>
      <c r="II356" s="66"/>
      <c r="IJ356" s="66"/>
      <c r="IK356" s="66"/>
      <c r="IL356" s="66"/>
      <c r="IM356" s="66"/>
      <c r="IN356" s="66"/>
      <c r="IO356" s="66"/>
      <c r="IP356" s="66"/>
      <c r="IQ356" s="66"/>
      <c r="IR356" s="66"/>
      <c r="IS356" s="66"/>
      <c r="IT356" s="66"/>
      <c r="IU356" s="66"/>
    </row>
    <row r="357" spans="1:255" s="43" customFormat="1" ht="13.5" customHeight="1" x14ac:dyDescent="0.3">
      <c r="A357" s="12" t="s">
        <v>93</v>
      </c>
      <c r="B357" s="43" t="s">
        <v>72</v>
      </c>
      <c r="C357" s="60">
        <v>35000</v>
      </c>
      <c r="E357" s="68"/>
      <c r="F357" s="204"/>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c r="AP357" s="66"/>
      <c r="AQ357" s="66"/>
      <c r="AR357" s="66"/>
      <c r="AS357" s="66"/>
      <c r="AT357" s="66"/>
      <c r="AU357" s="66"/>
      <c r="AV357" s="66"/>
      <c r="AW357" s="66"/>
      <c r="AX357" s="66"/>
      <c r="AY357" s="66"/>
      <c r="AZ357" s="66"/>
      <c r="BA357" s="66"/>
      <c r="BB357" s="66"/>
      <c r="BC357" s="66"/>
      <c r="BD357" s="66"/>
      <c r="BE357" s="66"/>
      <c r="BF357" s="66"/>
      <c r="BG357" s="66"/>
      <c r="BH357" s="66"/>
      <c r="BI357" s="66"/>
      <c r="BJ357" s="66"/>
      <c r="BK357" s="66"/>
      <c r="BL357" s="66"/>
      <c r="BM357" s="66"/>
      <c r="BN357" s="66"/>
      <c r="BO357" s="66"/>
      <c r="BP357" s="66"/>
      <c r="BQ357" s="66"/>
      <c r="BR357" s="66"/>
      <c r="BS357" s="66"/>
      <c r="BT357" s="66"/>
      <c r="BU357" s="66"/>
      <c r="BV357" s="66"/>
      <c r="BW357" s="66"/>
      <c r="BX357" s="66"/>
      <c r="BY357" s="66"/>
      <c r="BZ357" s="66"/>
      <c r="CA357" s="66"/>
      <c r="CB357" s="66"/>
      <c r="CC357" s="66"/>
      <c r="CD357" s="66"/>
      <c r="CE357" s="66"/>
      <c r="CF357" s="66"/>
      <c r="CG357" s="66"/>
      <c r="CH357" s="66"/>
      <c r="CI357" s="66"/>
      <c r="CJ357" s="66"/>
      <c r="CK357" s="66"/>
      <c r="CL357" s="66"/>
      <c r="CM357" s="66"/>
      <c r="CN357" s="66"/>
      <c r="CO357" s="66"/>
      <c r="CP357" s="66"/>
      <c r="CQ357" s="66"/>
      <c r="CR357" s="66"/>
      <c r="CS357" s="66"/>
      <c r="CT357" s="66"/>
      <c r="CU357" s="66"/>
      <c r="CV357" s="66"/>
      <c r="CW357" s="66"/>
      <c r="CX357" s="66"/>
      <c r="CY357" s="66"/>
      <c r="CZ357" s="66"/>
      <c r="DA357" s="66"/>
      <c r="DB357" s="66"/>
      <c r="DC357" s="66"/>
      <c r="DD357" s="66"/>
      <c r="DE357" s="66"/>
      <c r="DF357" s="66"/>
      <c r="DG357" s="66"/>
      <c r="DH357" s="66"/>
      <c r="DI357" s="66"/>
      <c r="DJ357" s="66"/>
      <c r="DK357" s="66"/>
      <c r="DL357" s="66"/>
      <c r="DM357" s="66"/>
      <c r="DN357" s="66"/>
      <c r="DO357" s="66"/>
      <c r="DP357" s="66"/>
      <c r="DQ357" s="66"/>
      <c r="DR357" s="66"/>
      <c r="DS357" s="66"/>
      <c r="DT357" s="66"/>
      <c r="DU357" s="66"/>
      <c r="DV357" s="66"/>
      <c r="DW357" s="66"/>
      <c r="DX357" s="66"/>
      <c r="DY357" s="66"/>
      <c r="DZ357" s="66"/>
      <c r="EA357" s="66"/>
      <c r="EB357" s="66"/>
      <c r="EC357" s="66"/>
      <c r="ED357" s="66"/>
      <c r="EE357" s="66"/>
      <c r="EF357" s="66"/>
      <c r="EG357" s="66"/>
      <c r="EH357" s="66"/>
      <c r="EI357" s="66"/>
      <c r="EJ357" s="66"/>
      <c r="EK357" s="66"/>
      <c r="EL357" s="66"/>
      <c r="EM357" s="66"/>
      <c r="EN357" s="66"/>
      <c r="EO357" s="66"/>
      <c r="EP357" s="66"/>
      <c r="EQ357" s="66"/>
      <c r="ER357" s="66"/>
      <c r="ES357" s="66"/>
      <c r="ET357" s="66"/>
      <c r="EU357" s="66"/>
      <c r="EV357" s="66"/>
      <c r="EW357" s="66"/>
      <c r="EX357" s="66"/>
      <c r="EY357" s="66"/>
      <c r="EZ357" s="66"/>
      <c r="FA357" s="66"/>
      <c r="FB357" s="66"/>
      <c r="FC357" s="66"/>
      <c r="FD357" s="66"/>
      <c r="FE357" s="66"/>
      <c r="FF357" s="66"/>
      <c r="FG357" s="66"/>
      <c r="FH357" s="66"/>
      <c r="FI357" s="66"/>
      <c r="FJ357" s="66"/>
      <c r="FK357" s="66"/>
      <c r="FL357" s="66"/>
      <c r="FM357" s="66"/>
      <c r="FN357" s="66"/>
      <c r="FO357" s="66"/>
      <c r="FP357" s="66"/>
      <c r="FQ357" s="66"/>
      <c r="FR357" s="66"/>
      <c r="FS357" s="66"/>
      <c r="FT357" s="66"/>
      <c r="FU357" s="66"/>
      <c r="FV357" s="66"/>
      <c r="FW357" s="66"/>
      <c r="FX357" s="66"/>
      <c r="FY357" s="66"/>
      <c r="FZ357" s="66"/>
      <c r="GA357" s="66"/>
      <c r="GB357" s="66"/>
      <c r="GC357" s="66"/>
      <c r="GD357" s="66"/>
      <c r="GE357" s="66"/>
      <c r="GF357" s="66"/>
      <c r="GG357" s="66"/>
      <c r="GH357" s="66"/>
      <c r="GI357" s="66"/>
      <c r="GJ357" s="66"/>
      <c r="GK357" s="66"/>
      <c r="GL357" s="66"/>
      <c r="GM357" s="66"/>
      <c r="GN357" s="66"/>
      <c r="GO357" s="66"/>
      <c r="GP357" s="66"/>
      <c r="GQ357" s="66"/>
      <c r="GR357" s="66"/>
      <c r="GS357" s="66"/>
      <c r="GT357" s="66"/>
      <c r="GU357" s="66"/>
      <c r="GV357" s="66"/>
      <c r="GW357" s="66"/>
      <c r="GX357" s="66"/>
      <c r="GY357" s="66"/>
      <c r="GZ357" s="66"/>
      <c r="HA357" s="66"/>
      <c r="HB357" s="66"/>
      <c r="HC357" s="66"/>
      <c r="HD357" s="66"/>
      <c r="HE357" s="66"/>
      <c r="HF357" s="66"/>
      <c r="HG357" s="66"/>
      <c r="HH357" s="66"/>
      <c r="HI357" s="66"/>
      <c r="HJ357" s="66"/>
      <c r="HK357" s="66"/>
      <c r="HL357" s="66"/>
      <c r="HM357" s="66"/>
      <c r="HN357" s="66"/>
      <c r="HO357" s="66"/>
      <c r="HP357" s="66"/>
      <c r="HQ357" s="66"/>
      <c r="HR357" s="66"/>
      <c r="HS357" s="66"/>
      <c r="HT357" s="66"/>
      <c r="HU357" s="66"/>
      <c r="HV357" s="66"/>
      <c r="HW357" s="66"/>
      <c r="HX357" s="66"/>
      <c r="HY357" s="66"/>
      <c r="HZ357" s="66"/>
      <c r="IA357" s="66"/>
      <c r="IB357" s="66"/>
      <c r="IC357" s="66"/>
      <c r="ID357" s="66"/>
      <c r="IE357" s="66"/>
      <c r="IF357" s="66"/>
      <c r="IG357" s="66"/>
      <c r="IH357" s="66"/>
      <c r="II357" s="66"/>
      <c r="IJ357" s="66"/>
      <c r="IK357" s="66"/>
      <c r="IL357" s="66"/>
      <c r="IM357" s="66"/>
      <c r="IN357" s="66"/>
      <c r="IO357" s="66"/>
      <c r="IP357" s="66"/>
      <c r="IQ357" s="66"/>
      <c r="IR357" s="66"/>
      <c r="IS357" s="66"/>
      <c r="IT357" s="66"/>
      <c r="IU357" s="66"/>
    </row>
    <row r="358" spans="1:255" s="43" customFormat="1" ht="13.5" customHeight="1" x14ac:dyDescent="0.3">
      <c r="A358" s="265" t="s">
        <v>151</v>
      </c>
      <c r="B358" s="25" t="s">
        <v>133</v>
      </c>
      <c r="C358" s="64">
        <f>SUM(C359:C362)</f>
        <v>374000</v>
      </c>
      <c r="D358" s="68"/>
      <c r="E358" s="68"/>
      <c r="F358" s="204"/>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c r="AP358" s="66"/>
      <c r="AQ358" s="66"/>
      <c r="AR358" s="66"/>
      <c r="AS358" s="66"/>
      <c r="AT358" s="66"/>
      <c r="AU358" s="66"/>
      <c r="AV358" s="66"/>
      <c r="AW358" s="66"/>
      <c r="AX358" s="66"/>
      <c r="AY358" s="66"/>
      <c r="AZ358" s="66"/>
      <c r="BA358" s="66"/>
      <c r="BB358" s="66"/>
      <c r="BC358" s="66"/>
      <c r="BD358" s="66"/>
      <c r="BE358" s="66"/>
      <c r="BF358" s="66"/>
      <c r="BG358" s="66"/>
      <c r="BH358" s="66"/>
      <c r="BI358" s="66"/>
      <c r="BJ358" s="66"/>
      <c r="BK358" s="66"/>
      <c r="BL358" s="66"/>
      <c r="BM358" s="66"/>
      <c r="BN358" s="66"/>
      <c r="BO358" s="66"/>
      <c r="BP358" s="66"/>
      <c r="BQ358" s="66"/>
      <c r="BR358" s="66"/>
      <c r="BS358" s="66"/>
      <c r="BT358" s="66"/>
      <c r="BU358" s="66"/>
      <c r="BV358" s="66"/>
      <c r="BW358" s="66"/>
      <c r="BX358" s="66"/>
      <c r="BY358" s="66"/>
      <c r="BZ358" s="66"/>
      <c r="CA358" s="66"/>
      <c r="CB358" s="66"/>
      <c r="CC358" s="66"/>
      <c r="CD358" s="66"/>
      <c r="CE358" s="66"/>
      <c r="CF358" s="66"/>
      <c r="CG358" s="66"/>
      <c r="CH358" s="66"/>
      <c r="CI358" s="66"/>
      <c r="CJ358" s="66"/>
      <c r="CK358" s="66"/>
      <c r="CL358" s="66"/>
      <c r="CM358" s="66"/>
      <c r="CN358" s="66"/>
      <c r="CO358" s="66"/>
      <c r="CP358" s="66"/>
      <c r="CQ358" s="66"/>
      <c r="CR358" s="66"/>
      <c r="CS358" s="66"/>
      <c r="CT358" s="66"/>
      <c r="CU358" s="66"/>
      <c r="CV358" s="66"/>
      <c r="CW358" s="66"/>
      <c r="CX358" s="66"/>
      <c r="CY358" s="66"/>
      <c r="CZ358" s="66"/>
      <c r="DA358" s="66"/>
      <c r="DB358" s="66"/>
      <c r="DC358" s="66"/>
      <c r="DD358" s="66"/>
      <c r="DE358" s="66"/>
      <c r="DF358" s="66"/>
      <c r="DG358" s="66"/>
      <c r="DH358" s="66"/>
      <c r="DI358" s="66"/>
      <c r="DJ358" s="66"/>
      <c r="DK358" s="66"/>
      <c r="DL358" s="66"/>
      <c r="DM358" s="66"/>
      <c r="DN358" s="66"/>
      <c r="DO358" s="66"/>
      <c r="DP358" s="66"/>
      <c r="DQ358" s="66"/>
      <c r="DR358" s="66"/>
      <c r="DS358" s="66"/>
      <c r="DT358" s="66"/>
      <c r="DU358" s="66"/>
      <c r="DV358" s="66"/>
      <c r="DW358" s="66"/>
      <c r="DX358" s="66"/>
      <c r="DY358" s="66"/>
      <c r="DZ358" s="66"/>
      <c r="EA358" s="66"/>
      <c r="EB358" s="66"/>
      <c r="EC358" s="66"/>
      <c r="ED358" s="66"/>
      <c r="EE358" s="66"/>
      <c r="EF358" s="66"/>
      <c r="EG358" s="66"/>
      <c r="EH358" s="66"/>
      <c r="EI358" s="66"/>
      <c r="EJ358" s="66"/>
      <c r="EK358" s="66"/>
      <c r="EL358" s="66"/>
      <c r="EM358" s="66"/>
      <c r="EN358" s="66"/>
      <c r="EO358" s="66"/>
      <c r="EP358" s="66"/>
      <c r="EQ358" s="66"/>
      <c r="ER358" s="66"/>
      <c r="ES358" s="66"/>
      <c r="ET358" s="66"/>
      <c r="EU358" s="66"/>
      <c r="EV358" s="66"/>
      <c r="EW358" s="66"/>
      <c r="EX358" s="66"/>
      <c r="EY358" s="66"/>
      <c r="EZ358" s="66"/>
      <c r="FA358" s="66"/>
      <c r="FB358" s="66"/>
      <c r="FC358" s="66"/>
      <c r="FD358" s="66"/>
      <c r="FE358" s="66"/>
      <c r="FF358" s="66"/>
      <c r="FG358" s="66"/>
      <c r="FH358" s="66"/>
      <c r="FI358" s="66"/>
      <c r="FJ358" s="66"/>
      <c r="FK358" s="66"/>
      <c r="FL358" s="66"/>
      <c r="FM358" s="66"/>
      <c r="FN358" s="66"/>
      <c r="FO358" s="66"/>
      <c r="FP358" s="66"/>
      <c r="FQ358" s="66"/>
      <c r="FR358" s="66"/>
      <c r="FS358" s="66"/>
      <c r="FT358" s="66"/>
      <c r="FU358" s="66"/>
      <c r="FV358" s="66"/>
      <c r="FW358" s="66"/>
      <c r="FX358" s="66"/>
      <c r="FY358" s="66"/>
      <c r="FZ358" s="66"/>
      <c r="GA358" s="66"/>
      <c r="GB358" s="66"/>
      <c r="GC358" s="66"/>
      <c r="GD358" s="66"/>
      <c r="GE358" s="66"/>
      <c r="GF358" s="66"/>
      <c r="GG358" s="66"/>
      <c r="GH358" s="66"/>
      <c r="GI358" s="66"/>
      <c r="GJ358" s="66"/>
      <c r="GK358" s="66"/>
      <c r="GL358" s="66"/>
      <c r="GM358" s="66"/>
      <c r="GN358" s="66"/>
      <c r="GO358" s="66"/>
      <c r="GP358" s="66"/>
      <c r="GQ358" s="66"/>
      <c r="GR358" s="66"/>
      <c r="GS358" s="66"/>
      <c r="GT358" s="66"/>
      <c r="GU358" s="66"/>
      <c r="GV358" s="66"/>
      <c r="GW358" s="66"/>
      <c r="GX358" s="66"/>
      <c r="GY358" s="66"/>
      <c r="GZ358" s="66"/>
      <c r="HA358" s="66"/>
      <c r="HB358" s="66"/>
      <c r="HC358" s="66"/>
      <c r="HD358" s="66"/>
      <c r="HE358" s="66"/>
      <c r="HF358" s="66"/>
      <c r="HG358" s="66"/>
      <c r="HH358" s="66"/>
      <c r="HI358" s="66"/>
      <c r="HJ358" s="66"/>
      <c r="HK358" s="66"/>
      <c r="HL358" s="66"/>
      <c r="HM358" s="66"/>
      <c r="HN358" s="66"/>
      <c r="HO358" s="66"/>
      <c r="HP358" s="66"/>
      <c r="HQ358" s="66"/>
      <c r="HR358" s="66"/>
      <c r="HS358" s="66"/>
      <c r="HT358" s="66"/>
      <c r="HU358" s="66"/>
      <c r="HV358" s="66"/>
      <c r="HW358" s="66"/>
      <c r="HX358" s="66"/>
      <c r="HY358" s="66"/>
      <c r="HZ358" s="66"/>
      <c r="IA358" s="66"/>
      <c r="IB358" s="66"/>
      <c r="IC358" s="66"/>
      <c r="ID358" s="66"/>
      <c r="IE358" s="66"/>
      <c r="IF358" s="66"/>
      <c r="IG358" s="66"/>
      <c r="IH358" s="66"/>
      <c r="II358" s="66"/>
      <c r="IJ358" s="66"/>
      <c r="IK358" s="66"/>
      <c r="IL358" s="66"/>
      <c r="IM358" s="66"/>
      <c r="IN358" s="66"/>
      <c r="IO358" s="66"/>
      <c r="IP358" s="66"/>
      <c r="IQ358" s="66"/>
      <c r="IR358" s="66"/>
      <c r="IS358" s="66"/>
      <c r="IT358" s="66"/>
      <c r="IU358" s="66"/>
    </row>
    <row r="359" spans="1:255" s="66" customFormat="1" x14ac:dyDescent="0.3">
      <c r="A359" s="12" t="s">
        <v>152</v>
      </c>
      <c r="B359" s="43" t="s">
        <v>65</v>
      </c>
      <c r="C359" s="60">
        <v>18000</v>
      </c>
      <c r="D359" s="67"/>
      <c r="E359" s="68"/>
      <c r="F359" s="204"/>
    </row>
    <row r="360" spans="1:255" s="66" customFormat="1" x14ac:dyDescent="0.3">
      <c r="A360" s="12" t="s">
        <v>153</v>
      </c>
      <c r="B360" s="43" t="s">
        <v>70</v>
      </c>
      <c r="C360" s="60">
        <v>28000</v>
      </c>
      <c r="D360" s="68"/>
      <c r="E360" s="68"/>
      <c r="F360" s="204"/>
    </row>
    <row r="361" spans="1:255" s="66" customFormat="1" x14ac:dyDescent="0.3">
      <c r="A361" s="12" t="s">
        <v>154</v>
      </c>
      <c r="B361" s="43" t="s">
        <v>125</v>
      </c>
      <c r="C361" s="60">
        <v>48000</v>
      </c>
      <c r="D361" s="67"/>
      <c r="E361" s="68"/>
      <c r="F361" s="204"/>
    </row>
    <row r="362" spans="1:255" s="8" customFormat="1" ht="13.5" customHeight="1" x14ac:dyDescent="0.25">
      <c r="A362" s="12" t="s">
        <v>699</v>
      </c>
      <c r="B362" s="43" t="s">
        <v>698</v>
      </c>
      <c r="C362" s="24">
        <v>280000</v>
      </c>
      <c r="F362" s="101"/>
      <c r="G362" s="9"/>
    </row>
    <row r="363" spans="1:255" s="66" customFormat="1" ht="13.5" thickBot="1" x14ac:dyDescent="0.35">
      <c r="A363" s="12"/>
      <c r="B363" s="43"/>
      <c r="C363" s="60"/>
      <c r="D363" s="67"/>
      <c r="E363" s="68"/>
      <c r="F363" s="204"/>
    </row>
    <row r="364" spans="1:255" s="66" customFormat="1" ht="13.5" thickBot="1" x14ac:dyDescent="0.35">
      <c r="A364" s="1098" t="s">
        <v>3</v>
      </c>
      <c r="B364" s="1099"/>
      <c r="C364" s="700">
        <f>C365+C367+C369+C372+C374</f>
        <v>1086250</v>
      </c>
      <c r="D364" s="68"/>
      <c r="E364" s="68"/>
      <c r="F364" s="204"/>
    </row>
    <row r="365" spans="1:255" s="239" customFormat="1" x14ac:dyDescent="0.3">
      <c r="A365" s="63" t="s">
        <v>110</v>
      </c>
      <c r="B365" s="298" t="s">
        <v>111</v>
      </c>
      <c r="C365" s="563">
        <f>SUM(C366:C366)</f>
        <v>14950</v>
      </c>
      <c r="D365" s="95"/>
      <c r="E365" s="95"/>
      <c r="F365" s="99"/>
    </row>
    <row r="366" spans="1:255" s="56" customFormat="1" x14ac:dyDescent="0.3">
      <c r="A366" s="59" t="s">
        <v>52</v>
      </c>
      <c r="B366" s="43" t="s">
        <v>184</v>
      </c>
      <c r="C366" s="60">
        <v>14950</v>
      </c>
      <c r="D366" s="60"/>
      <c r="E366" s="57"/>
      <c r="F366" s="99"/>
    </row>
    <row r="367" spans="1:255" s="8" customFormat="1" ht="13.5" customHeight="1" x14ac:dyDescent="0.25">
      <c r="A367" s="63" t="s">
        <v>120</v>
      </c>
      <c r="B367" s="63" t="s">
        <v>121</v>
      </c>
      <c r="C367" s="31">
        <f>SUM(C368:C368)</f>
        <v>16000</v>
      </c>
      <c r="D367" s="84"/>
      <c r="E367" s="25"/>
      <c r="F367" s="99"/>
      <c r="G367" s="55"/>
      <c r="H367" s="43"/>
    </row>
    <row r="368" spans="1:255" s="8" customFormat="1" ht="13.5" customHeight="1" x14ac:dyDescent="0.25">
      <c r="A368" s="59" t="s">
        <v>136</v>
      </c>
      <c r="B368" s="59" t="s">
        <v>71</v>
      </c>
      <c r="C368" s="24">
        <v>16000</v>
      </c>
      <c r="D368" s="78"/>
      <c r="E368" s="25"/>
      <c r="F368" s="204"/>
      <c r="G368" s="55"/>
      <c r="H368" s="55"/>
    </row>
    <row r="369" spans="1:255" s="56" customFormat="1" x14ac:dyDescent="0.3">
      <c r="A369" s="11" t="s">
        <v>112</v>
      </c>
      <c r="B369" s="63" t="s">
        <v>157</v>
      </c>
      <c r="C369" s="64">
        <f>SUM(C370:C370)</f>
        <v>150000</v>
      </c>
      <c r="D369" s="60"/>
      <c r="E369" s="57"/>
      <c r="F369" s="99"/>
    </row>
    <row r="370" spans="1:255" s="56" customFormat="1" x14ac:dyDescent="0.3">
      <c r="A370" s="59" t="s">
        <v>156</v>
      </c>
      <c r="B370" s="43" t="s">
        <v>87</v>
      </c>
      <c r="C370" s="60">
        <v>150000</v>
      </c>
      <c r="E370" s="57"/>
      <c r="F370" s="57"/>
    </row>
    <row r="371" spans="1:255" s="72" customFormat="1" ht="13.5" customHeight="1" x14ac:dyDescent="0.25">
      <c r="A371" s="72" t="s">
        <v>889</v>
      </c>
      <c r="B371" s="43" t="s">
        <v>877</v>
      </c>
      <c r="C371" s="24">
        <v>960000</v>
      </c>
      <c r="D371" s="363"/>
      <c r="E371" s="427"/>
      <c r="F371" s="352"/>
      <c r="G371" s="363"/>
      <c r="H371" s="12"/>
      <c r="J371" s="23"/>
    </row>
    <row r="372" spans="1:255" s="56" customFormat="1" x14ac:dyDescent="0.3">
      <c r="A372" s="11" t="s">
        <v>132</v>
      </c>
      <c r="B372" s="31" t="s">
        <v>56</v>
      </c>
      <c r="C372" s="64">
        <f>SUM(C373)</f>
        <v>37800</v>
      </c>
      <c r="E372" s="57"/>
      <c r="F372" s="57"/>
    </row>
    <row r="373" spans="1:255" s="66" customFormat="1" x14ac:dyDescent="0.3">
      <c r="A373" s="72" t="s">
        <v>55</v>
      </c>
      <c r="B373" s="43" t="s">
        <v>56</v>
      </c>
      <c r="C373" s="60">
        <v>37800</v>
      </c>
      <c r="E373" s="57"/>
      <c r="F373" s="241"/>
      <c r="G373" s="463"/>
      <c r="H373" s="67"/>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c r="AS373" s="56"/>
      <c r="AT373" s="56"/>
      <c r="AU373" s="56"/>
      <c r="AV373" s="56"/>
      <c r="AW373" s="56"/>
      <c r="AX373" s="56"/>
      <c r="AY373" s="56"/>
      <c r="AZ373" s="56"/>
      <c r="BA373" s="56"/>
      <c r="BB373" s="56"/>
      <c r="BC373" s="56"/>
      <c r="BD373" s="56"/>
      <c r="BE373" s="56"/>
      <c r="BF373" s="56"/>
      <c r="BG373" s="56"/>
      <c r="BH373" s="56"/>
      <c r="BI373" s="56"/>
      <c r="BJ373" s="56"/>
      <c r="BK373" s="56"/>
      <c r="BL373" s="56"/>
      <c r="BM373" s="56"/>
      <c r="BN373" s="56"/>
      <c r="BO373" s="56"/>
      <c r="BP373" s="56"/>
      <c r="BQ373" s="56"/>
      <c r="BR373" s="56"/>
      <c r="BS373" s="56"/>
      <c r="BT373" s="56"/>
      <c r="BU373" s="56"/>
      <c r="BV373" s="56"/>
      <c r="BW373" s="56"/>
      <c r="BX373" s="56"/>
      <c r="BY373" s="56"/>
      <c r="BZ373" s="56"/>
      <c r="CA373" s="56"/>
      <c r="CB373" s="56"/>
      <c r="CC373" s="56"/>
      <c r="CD373" s="56"/>
      <c r="CE373" s="56"/>
      <c r="CF373" s="56"/>
      <c r="CG373" s="56"/>
      <c r="CH373" s="56"/>
      <c r="CI373" s="56"/>
      <c r="CJ373" s="56"/>
      <c r="CK373" s="56"/>
      <c r="CL373" s="56"/>
      <c r="CM373" s="56"/>
      <c r="CN373" s="56"/>
      <c r="CO373" s="56"/>
      <c r="CP373" s="56"/>
      <c r="CQ373" s="56"/>
      <c r="CR373" s="56"/>
      <c r="CS373" s="56"/>
      <c r="CT373" s="56"/>
      <c r="CU373" s="56"/>
      <c r="CV373" s="56"/>
      <c r="CW373" s="56"/>
      <c r="CX373" s="56"/>
      <c r="CY373" s="56"/>
      <c r="CZ373" s="56"/>
      <c r="DA373" s="56"/>
      <c r="DB373" s="56"/>
      <c r="DC373" s="56"/>
      <c r="DD373" s="56"/>
      <c r="DE373" s="56"/>
      <c r="DF373" s="56"/>
      <c r="DG373" s="56"/>
      <c r="DH373" s="56"/>
      <c r="DI373" s="56"/>
      <c r="DJ373" s="56"/>
      <c r="DK373" s="56"/>
      <c r="DL373" s="56"/>
      <c r="DM373" s="56"/>
      <c r="DN373" s="56"/>
      <c r="DO373" s="56"/>
      <c r="DP373" s="56"/>
      <c r="DQ373" s="56"/>
      <c r="DR373" s="56"/>
      <c r="DS373" s="56"/>
      <c r="DT373" s="56"/>
      <c r="DU373" s="56"/>
      <c r="DV373" s="56"/>
      <c r="DW373" s="56"/>
      <c r="DX373" s="56"/>
      <c r="DY373" s="56"/>
      <c r="DZ373" s="56"/>
      <c r="EA373" s="56"/>
      <c r="EB373" s="56"/>
      <c r="EC373" s="56"/>
      <c r="ED373" s="56"/>
      <c r="EE373" s="56"/>
      <c r="EF373" s="56"/>
      <c r="EG373" s="56"/>
      <c r="EH373" s="56"/>
      <c r="EI373" s="56"/>
      <c r="EJ373" s="56"/>
      <c r="EK373" s="56"/>
      <c r="EL373" s="56"/>
      <c r="EM373" s="56"/>
      <c r="EN373" s="56"/>
      <c r="EO373" s="56"/>
      <c r="EP373" s="56"/>
      <c r="EQ373" s="56"/>
      <c r="ER373" s="56"/>
      <c r="ES373" s="56"/>
      <c r="ET373" s="56"/>
      <c r="EU373" s="56"/>
      <c r="EV373" s="56"/>
      <c r="EW373" s="56"/>
      <c r="EX373" s="56"/>
      <c r="EY373" s="56"/>
      <c r="EZ373" s="56"/>
      <c r="FA373" s="56"/>
      <c r="FB373" s="56"/>
      <c r="FC373" s="56"/>
      <c r="FD373" s="56"/>
      <c r="FE373" s="56"/>
      <c r="FF373" s="56"/>
      <c r="FG373" s="56"/>
      <c r="FH373" s="56"/>
      <c r="FI373" s="56"/>
      <c r="FJ373" s="56"/>
      <c r="FK373" s="56"/>
      <c r="FL373" s="56"/>
      <c r="FM373" s="56"/>
      <c r="FN373" s="56"/>
      <c r="FO373" s="56"/>
      <c r="FP373" s="56"/>
      <c r="FQ373" s="56"/>
      <c r="FR373" s="56"/>
      <c r="FS373" s="56"/>
      <c r="FT373" s="56"/>
      <c r="FU373" s="56"/>
      <c r="FV373" s="56"/>
      <c r="FW373" s="56"/>
      <c r="FX373" s="56"/>
      <c r="FY373" s="56"/>
      <c r="FZ373" s="56"/>
      <c r="GA373" s="56"/>
      <c r="GB373" s="56"/>
      <c r="GC373" s="56"/>
      <c r="GD373" s="56"/>
      <c r="GE373" s="56"/>
      <c r="GF373" s="56"/>
      <c r="GG373" s="56"/>
      <c r="GH373" s="56"/>
      <c r="GI373" s="56"/>
      <c r="GJ373" s="56"/>
      <c r="GK373" s="56"/>
      <c r="GL373" s="56"/>
      <c r="GM373" s="56"/>
      <c r="GN373" s="56"/>
      <c r="GO373" s="56"/>
      <c r="GP373" s="56"/>
      <c r="GQ373" s="56"/>
      <c r="GR373" s="56"/>
      <c r="GS373" s="56"/>
      <c r="GT373" s="56"/>
      <c r="GU373" s="56"/>
      <c r="GV373" s="56"/>
      <c r="GW373" s="56"/>
      <c r="GX373" s="56"/>
      <c r="GY373" s="56"/>
      <c r="GZ373" s="56"/>
      <c r="HA373" s="56"/>
      <c r="HB373" s="56"/>
      <c r="HC373" s="56"/>
      <c r="HD373" s="56"/>
      <c r="HE373" s="56"/>
      <c r="HF373" s="56"/>
      <c r="HG373" s="56"/>
      <c r="HH373" s="56"/>
      <c r="HI373" s="56"/>
      <c r="HJ373" s="56"/>
      <c r="HK373" s="56"/>
      <c r="HL373" s="56"/>
      <c r="HM373" s="56"/>
      <c r="HN373" s="56"/>
      <c r="HO373" s="56"/>
      <c r="HP373" s="56"/>
      <c r="HQ373" s="56"/>
      <c r="HR373" s="56"/>
      <c r="HS373" s="56"/>
      <c r="HT373" s="56"/>
      <c r="HU373" s="56"/>
      <c r="HV373" s="56"/>
      <c r="HW373" s="56"/>
      <c r="HX373" s="56"/>
      <c r="HY373" s="56"/>
      <c r="HZ373" s="56"/>
      <c r="IA373" s="56"/>
      <c r="IB373" s="56"/>
      <c r="IC373" s="56"/>
      <c r="ID373" s="56"/>
      <c r="IE373" s="56"/>
      <c r="IF373" s="56"/>
      <c r="IG373" s="56"/>
      <c r="IH373" s="56"/>
      <c r="II373" s="56"/>
      <c r="IJ373" s="56"/>
      <c r="IK373" s="56"/>
      <c r="IL373" s="56"/>
      <c r="IM373" s="56"/>
      <c r="IN373" s="56"/>
      <c r="IO373" s="56"/>
      <c r="IP373" s="56"/>
      <c r="IQ373" s="56"/>
      <c r="IR373" s="56"/>
      <c r="IS373" s="56"/>
      <c r="IT373" s="56"/>
      <c r="IU373" s="56"/>
    </row>
    <row r="374" spans="1:255" s="66" customFormat="1" x14ac:dyDescent="0.3">
      <c r="A374" s="11" t="s">
        <v>115</v>
      </c>
      <c r="B374" s="559" t="s">
        <v>8</v>
      </c>
      <c r="C374" s="64">
        <f>SUM(C375:C377)</f>
        <v>867500</v>
      </c>
      <c r="E374" s="57"/>
      <c r="F374" s="57"/>
      <c r="G374" s="56"/>
      <c r="H374" s="204"/>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c r="AS374" s="56"/>
      <c r="AT374" s="56"/>
      <c r="AU374" s="56"/>
      <c r="AV374" s="56"/>
      <c r="AW374" s="56"/>
      <c r="AX374" s="56"/>
      <c r="AY374" s="56"/>
      <c r="AZ374" s="56"/>
      <c r="BA374" s="56"/>
      <c r="BB374" s="56"/>
      <c r="BC374" s="56"/>
      <c r="BD374" s="56"/>
      <c r="BE374" s="56"/>
      <c r="BF374" s="56"/>
      <c r="BG374" s="56"/>
      <c r="BH374" s="56"/>
      <c r="BI374" s="56"/>
      <c r="BJ374" s="56"/>
      <c r="BK374" s="56"/>
      <c r="BL374" s="56"/>
      <c r="BM374" s="56"/>
      <c r="BN374" s="56"/>
      <c r="BO374" s="56"/>
      <c r="BP374" s="56"/>
      <c r="BQ374" s="56"/>
      <c r="BR374" s="56"/>
      <c r="BS374" s="56"/>
      <c r="BT374" s="56"/>
      <c r="BU374" s="56"/>
      <c r="BV374" s="56"/>
      <c r="BW374" s="56"/>
      <c r="BX374" s="56"/>
      <c r="BY374" s="56"/>
      <c r="BZ374" s="56"/>
      <c r="CA374" s="56"/>
      <c r="CB374" s="56"/>
      <c r="CC374" s="56"/>
      <c r="CD374" s="56"/>
      <c r="CE374" s="56"/>
      <c r="CF374" s="56"/>
      <c r="CG374" s="56"/>
      <c r="CH374" s="56"/>
      <c r="CI374" s="56"/>
      <c r="CJ374" s="56"/>
      <c r="CK374" s="56"/>
      <c r="CL374" s="56"/>
      <c r="CM374" s="56"/>
      <c r="CN374" s="56"/>
      <c r="CO374" s="56"/>
      <c r="CP374" s="56"/>
      <c r="CQ374" s="56"/>
      <c r="CR374" s="56"/>
      <c r="CS374" s="56"/>
      <c r="CT374" s="56"/>
      <c r="CU374" s="56"/>
      <c r="CV374" s="56"/>
      <c r="CW374" s="56"/>
      <c r="CX374" s="56"/>
      <c r="CY374" s="56"/>
      <c r="CZ374" s="56"/>
      <c r="DA374" s="56"/>
      <c r="DB374" s="56"/>
      <c r="DC374" s="56"/>
      <c r="DD374" s="56"/>
      <c r="DE374" s="56"/>
      <c r="DF374" s="56"/>
      <c r="DG374" s="56"/>
      <c r="DH374" s="56"/>
      <c r="DI374" s="56"/>
      <c r="DJ374" s="56"/>
      <c r="DK374" s="56"/>
      <c r="DL374" s="56"/>
      <c r="DM374" s="56"/>
      <c r="DN374" s="56"/>
      <c r="DO374" s="56"/>
      <c r="DP374" s="56"/>
      <c r="DQ374" s="56"/>
      <c r="DR374" s="56"/>
      <c r="DS374" s="56"/>
      <c r="DT374" s="56"/>
      <c r="DU374" s="56"/>
      <c r="DV374" s="56"/>
      <c r="DW374" s="56"/>
      <c r="DX374" s="56"/>
      <c r="DY374" s="56"/>
      <c r="DZ374" s="56"/>
      <c r="EA374" s="56"/>
      <c r="EB374" s="56"/>
      <c r="EC374" s="56"/>
      <c r="ED374" s="56"/>
      <c r="EE374" s="56"/>
      <c r="EF374" s="56"/>
      <c r="EG374" s="56"/>
      <c r="EH374" s="56"/>
      <c r="EI374" s="56"/>
      <c r="EJ374" s="56"/>
      <c r="EK374" s="56"/>
      <c r="EL374" s="56"/>
      <c r="EM374" s="56"/>
      <c r="EN374" s="56"/>
      <c r="EO374" s="56"/>
      <c r="EP374" s="56"/>
      <c r="EQ374" s="56"/>
      <c r="ER374" s="56"/>
      <c r="ES374" s="56"/>
      <c r="ET374" s="56"/>
      <c r="EU374" s="56"/>
      <c r="EV374" s="56"/>
      <c r="EW374" s="56"/>
      <c r="EX374" s="56"/>
      <c r="EY374" s="56"/>
      <c r="EZ374" s="56"/>
      <c r="FA374" s="56"/>
      <c r="FB374" s="56"/>
      <c r="FC374" s="56"/>
      <c r="FD374" s="56"/>
      <c r="FE374" s="56"/>
      <c r="FF374" s="56"/>
      <c r="FG374" s="56"/>
      <c r="FH374" s="56"/>
      <c r="FI374" s="56"/>
      <c r="FJ374" s="56"/>
      <c r="FK374" s="56"/>
      <c r="FL374" s="56"/>
      <c r="FM374" s="56"/>
      <c r="FN374" s="56"/>
      <c r="FO374" s="56"/>
      <c r="FP374" s="56"/>
      <c r="FQ374" s="56"/>
      <c r="FR374" s="56"/>
      <c r="FS374" s="56"/>
      <c r="FT374" s="56"/>
      <c r="FU374" s="56"/>
      <c r="FV374" s="56"/>
      <c r="FW374" s="56"/>
      <c r="FX374" s="56"/>
      <c r="FY374" s="56"/>
      <c r="FZ374" s="56"/>
      <c r="GA374" s="56"/>
      <c r="GB374" s="56"/>
      <c r="GC374" s="56"/>
      <c r="GD374" s="56"/>
      <c r="GE374" s="56"/>
      <c r="GF374" s="56"/>
      <c r="GG374" s="56"/>
      <c r="GH374" s="56"/>
      <c r="GI374" s="56"/>
      <c r="GJ374" s="56"/>
      <c r="GK374" s="56"/>
      <c r="GL374" s="56"/>
      <c r="GM374" s="56"/>
      <c r="GN374" s="56"/>
      <c r="GO374" s="56"/>
      <c r="GP374" s="56"/>
      <c r="GQ374" s="56"/>
      <c r="GR374" s="56"/>
      <c r="GS374" s="56"/>
      <c r="GT374" s="56"/>
      <c r="GU374" s="56"/>
      <c r="GV374" s="56"/>
      <c r="GW374" s="56"/>
      <c r="GX374" s="56"/>
      <c r="GY374" s="56"/>
      <c r="GZ374" s="56"/>
      <c r="HA374" s="56"/>
      <c r="HB374" s="56"/>
      <c r="HC374" s="56"/>
      <c r="HD374" s="56"/>
      <c r="HE374" s="56"/>
      <c r="HF374" s="56"/>
      <c r="HG374" s="56"/>
      <c r="HH374" s="56"/>
      <c r="HI374" s="56"/>
      <c r="HJ374" s="56"/>
      <c r="HK374" s="56"/>
      <c r="HL374" s="56"/>
      <c r="HM374" s="56"/>
      <c r="HN374" s="56"/>
      <c r="HO374" s="56"/>
      <c r="HP374" s="56"/>
      <c r="HQ374" s="56"/>
      <c r="HR374" s="56"/>
      <c r="HS374" s="56"/>
      <c r="HT374" s="56"/>
      <c r="HU374" s="56"/>
      <c r="HV374" s="56"/>
      <c r="HW374" s="56"/>
      <c r="HX374" s="56"/>
      <c r="HY374" s="56"/>
      <c r="HZ374" s="56"/>
      <c r="IA374" s="56"/>
      <c r="IB374" s="56"/>
      <c r="IC374" s="56"/>
      <c r="ID374" s="56"/>
      <c r="IE374" s="56"/>
      <c r="IF374" s="56"/>
      <c r="IG374" s="56"/>
      <c r="IH374" s="56"/>
      <c r="II374" s="56"/>
      <c r="IJ374" s="56"/>
      <c r="IK374" s="56"/>
      <c r="IL374" s="56"/>
      <c r="IM374" s="56"/>
      <c r="IN374" s="56"/>
      <c r="IO374" s="56"/>
      <c r="IP374" s="56"/>
      <c r="IQ374" s="56"/>
      <c r="IR374" s="56"/>
      <c r="IS374" s="56"/>
      <c r="IT374" s="56"/>
      <c r="IU374" s="56"/>
    </row>
    <row r="375" spans="1:255" s="56" customFormat="1" x14ac:dyDescent="0.3">
      <c r="A375" s="72" t="s">
        <v>89</v>
      </c>
      <c r="B375" s="43" t="s">
        <v>8</v>
      </c>
      <c r="C375" s="60">
        <v>300000</v>
      </c>
      <c r="E375" s="68"/>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c r="AP375" s="66"/>
      <c r="AQ375" s="66"/>
      <c r="AR375" s="66"/>
      <c r="AS375" s="66"/>
      <c r="AT375" s="66"/>
      <c r="AU375" s="66"/>
      <c r="AV375" s="66"/>
      <c r="AW375" s="66"/>
      <c r="AX375" s="66"/>
      <c r="AY375" s="66"/>
      <c r="AZ375" s="66"/>
      <c r="BA375" s="66"/>
      <c r="BB375" s="66"/>
      <c r="BC375" s="66"/>
      <c r="BD375" s="66"/>
      <c r="BE375" s="66"/>
      <c r="BF375" s="66"/>
      <c r="BG375" s="66"/>
      <c r="BH375" s="66"/>
      <c r="BI375" s="66"/>
      <c r="BJ375" s="66"/>
      <c r="BK375" s="66"/>
      <c r="BL375" s="66"/>
      <c r="BM375" s="66"/>
      <c r="BN375" s="66"/>
      <c r="BO375" s="66"/>
      <c r="BP375" s="66"/>
      <c r="BQ375" s="66"/>
      <c r="BR375" s="66"/>
      <c r="BS375" s="66"/>
      <c r="BT375" s="66"/>
      <c r="BU375" s="66"/>
      <c r="BV375" s="66"/>
      <c r="BW375" s="66"/>
      <c r="BX375" s="66"/>
      <c r="BY375" s="66"/>
      <c r="BZ375" s="66"/>
      <c r="CA375" s="66"/>
      <c r="CB375" s="66"/>
      <c r="CC375" s="66"/>
      <c r="CD375" s="66"/>
      <c r="CE375" s="66"/>
      <c r="CF375" s="66"/>
      <c r="CG375" s="66"/>
      <c r="CH375" s="66"/>
      <c r="CI375" s="66"/>
      <c r="CJ375" s="66"/>
      <c r="CK375" s="66"/>
      <c r="CL375" s="66"/>
      <c r="CM375" s="66"/>
      <c r="CN375" s="66"/>
      <c r="CO375" s="66"/>
      <c r="CP375" s="66"/>
      <c r="CQ375" s="66"/>
      <c r="CR375" s="66"/>
      <c r="CS375" s="66"/>
      <c r="CT375" s="66"/>
      <c r="CU375" s="66"/>
      <c r="CV375" s="66"/>
      <c r="CW375" s="66"/>
      <c r="CX375" s="66"/>
      <c r="CY375" s="66"/>
      <c r="CZ375" s="66"/>
      <c r="DA375" s="66"/>
      <c r="DB375" s="66"/>
      <c r="DC375" s="66"/>
      <c r="DD375" s="66"/>
      <c r="DE375" s="66"/>
      <c r="DF375" s="66"/>
      <c r="DG375" s="66"/>
      <c r="DH375" s="66"/>
      <c r="DI375" s="66"/>
      <c r="DJ375" s="66"/>
      <c r="DK375" s="66"/>
      <c r="DL375" s="66"/>
      <c r="DM375" s="66"/>
      <c r="DN375" s="66"/>
      <c r="DO375" s="66"/>
      <c r="DP375" s="66"/>
      <c r="DQ375" s="66"/>
      <c r="DR375" s="66"/>
      <c r="DS375" s="66"/>
      <c r="DT375" s="66"/>
      <c r="DU375" s="66"/>
      <c r="DV375" s="66"/>
      <c r="DW375" s="66"/>
      <c r="DX375" s="66"/>
      <c r="DY375" s="66"/>
      <c r="DZ375" s="66"/>
      <c r="EA375" s="66"/>
      <c r="EB375" s="66"/>
      <c r="EC375" s="66"/>
      <c r="ED375" s="66"/>
      <c r="EE375" s="66"/>
      <c r="EF375" s="66"/>
      <c r="EG375" s="66"/>
      <c r="EH375" s="66"/>
      <c r="EI375" s="66"/>
      <c r="EJ375" s="66"/>
      <c r="EK375" s="66"/>
      <c r="EL375" s="66"/>
      <c r="EM375" s="66"/>
      <c r="EN375" s="66"/>
      <c r="EO375" s="66"/>
      <c r="EP375" s="66"/>
      <c r="EQ375" s="66"/>
      <c r="ER375" s="66"/>
      <c r="ES375" s="66"/>
      <c r="ET375" s="66"/>
      <c r="EU375" s="66"/>
      <c r="EV375" s="66"/>
      <c r="EW375" s="66"/>
      <c r="EX375" s="66"/>
      <c r="EY375" s="66"/>
      <c r="EZ375" s="66"/>
      <c r="FA375" s="66"/>
      <c r="FB375" s="66"/>
      <c r="FC375" s="66"/>
      <c r="FD375" s="66"/>
      <c r="FE375" s="66"/>
      <c r="FF375" s="66"/>
      <c r="FG375" s="66"/>
      <c r="FH375" s="66"/>
      <c r="FI375" s="66"/>
      <c r="FJ375" s="66"/>
      <c r="FK375" s="66"/>
      <c r="FL375" s="66"/>
      <c r="FM375" s="66"/>
      <c r="FN375" s="66"/>
      <c r="FO375" s="66"/>
      <c r="FP375" s="66"/>
      <c r="FQ375" s="66"/>
      <c r="FR375" s="66"/>
      <c r="FS375" s="66"/>
      <c r="FT375" s="66"/>
      <c r="FU375" s="66"/>
      <c r="FV375" s="66"/>
      <c r="FW375" s="66"/>
      <c r="FX375" s="66"/>
      <c r="FY375" s="66"/>
      <c r="FZ375" s="66"/>
      <c r="GA375" s="66"/>
      <c r="GB375" s="66"/>
      <c r="GC375" s="66"/>
      <c r="GD375" s="66"/>
      <c r="GE375" s="66"/>
      <c r="GF375" s="66"/>
      <c r="GG375" s="66"/>
      <c r="GH375" s="66"/>
      <c r="GI375" s="66"/>
      <c r="GJ375" s="66"/>
      <c r="GK375" s="66"/>
      <c r="GL375" s="66"/>
      <c r="GM375" s="66"/>
      <c r="GN375" s="66"/>
      <c r="GO375" s="66"/>
      <c r="GP375" s="66"/>
      <c r="GQ375" s="66"/>
      <c r="GR375" s="66"/>
      <c r="GS375" s="66"/>
      <c r="GT375" s="66"/>
      <c r="GU375" s="66"/>
      <c r="GV375" s="66"/>
      <c r="GW375" s="66"/>
      <c r="GX375" s="66"/>
      <c r="GY375" s="66"/>
      <c r="GZ375" s="66"/>
      <c r="HA375" s="66"/>
      <c r="HB375" s="66"/>
      <c r="HC375" s="66"/>
      <c r="HD375" s="66"/>
      <c r="HE375" s="66"/>
      <c r="HF375" s="66"/>
      <c r="HG375" s="66"/>
      <c r="HH375" s="66"/>
      <c r="HI375" s="66"/>
      <c r="HJ375" s="66"/>
      <c r="HK375" s="66"/>
      <c r="HL375" s="66"/>
      <c r="HM375" s="66"/>
      <c r="HN375" s="66"/>
      <c r="HO375" s="66"/>
      <c r="HP375" s="66"/>
      <c r="HQ375" s="66"/>
      <c r="HR375" s="66"/>
      <c r="HS375" s="66"/>
      <c r="HT375" s="66"/>
      <c r="HU375" s="66"/>
      <c r="HV375" s="66"/>
      <c r="HW375" s="66"/>
      <c r="HX375" s="66"/>
      <c r="HY375" s="66"/>
      <c r="HZ375" s="66"/>
      <c r="IA375" s="66"/>
      <c r="IB375" s="66"/>
      <c r="IC375" s="66"/>
      <c r="ID375" s="66"/>
      <c r="IE375" s="66"/>
      <c r="IF375" s="66"/>
      <c r="IG375" s="66"/>
      <c r="IH375" s="66"/>
      <c r="II375" s="66"/>
      <c r="IJ375" s="66"/>
      <c r="IK375" s="66"/>
      <c r="IL375" s="66"/>
      <c r="IM375" s="66"/>
      <c r="IN375" s="66"/>
      <c r="IO375" s="66"/>
      <c r="IP375" s="66"/>
      <c r="IQ375" s="66"/>
      <c r="IR375" s="66"/>
      <c r="IS375" s="66"/>
      <c r="IT375" s="66"/>
      <c r="IU375" s="66"/>
    </row>
    <row r="376" spans="1:255" s="8" customFormat="1" ht="13.5" customHeight="1" x14ac:dyDescent="0.25">
      <c r="A376" s="12" t="s">
        <v>222</v>
      </c>
      <c r="B376" s="43" t="s">
        <v>221</v>
      </c>
      <c r="C376" s="24">
        <v>200500</v>
      </c>
      <c r="D376" s="232"/>
      <c r="E376" s="9"/>
      <c r="F376" s="204"/>
    </row>
    <row r="377" spans="1:255" s="8" customFormat="1" ht="13.5" customHeight="1" x14ac:dyDescent="0.3">
      <c r="A377" s="72" t="s">
        <v>90</v>
      </c>
      <c r="B377" s="24" t="s">
        <v>7</v>
      </c>
      <c r="C377" s="24">
        <v>367000</v>
      </c>
      <c r="D377" s="357"/>
      <c r="F377" s="484"/>
      <c r="G377" s="504"/>
      <c r="H377" s="43"/>
      <c r="J377" s="83"/>
    </row>
    <row r="378" spans="1:255" s="66" customFormat="1" ht="13.5" thickBot="1" x14ac:dyDescent="0.35">
      <c r="A378" s="59"/>
      <c r="B378" s="101"/>
      <c r="C378" s="60"/>
      <c r="D378" s="67"/>
      <c r="E378" s="68"/>
      <c r="F378" s="204"/>
    </row>
    <row r="379" spans="1:255" s="66" customFormat="1" ht="13.5" thickBot="1" x14ac:dyDescent="0.35">
      <c r="A379" s="1142" t="s">
        <v>5</v>
      </c>
      <c r="B379" s="1143"/>
      <c r="C379" s="726">
        <f>C380</f>
        <v>254000</v>
      </c>
      <c r="D379" s="67"/>
      <c r="E379" s="68"/>
      <c r="F379" s="204"/>
    </row>
    <row r="380" spans="1:255" s="239" customFormat="1" x14ac:dyDescent="0.3">
      <c r="A380" s="63" t="s">
        <v>128</v>
      </c>
      <c r="B380" s="211" t="s">
        <v>129</v>
      </c>
      <c r="C380" s="563">
        <f>SUM(C381:C382)</f>
        <v>254000</v>
      </c>
      <c r="D380" s="180"/>
      <c r="E380" s="95"/>
      <c r="F380" s="99"/>
    </row>
    <row r="381" spans="1:255" s="56" customFormat="1" x14ac:dyDescent="0.3">
      <c r="A381" s="59" t="s">
        <v>256</v>
      </c>
      <c r="B381" s="43" t="s">
        <v>257</v>
      </c>
      <c r="C381" s="60">
        <v>158000</v>
      </c>
      <c r="D381" s="180"/>
      <c r="E381" s="57"/>
      <c r="F381" s="99"/>
    </row>
    <row r="382" spans="1:255" s="56" customFormat="1" x14ac:dyDescent="0.3">
      <c r="A382" s="59" t="s">
        <v>144</v>
      </c>
      <c r="B382" s="43" t="s">
        <v>258</v>
      </c>
      <c r="C382" s="60">
        <v>96000</v>
      </c>
      <c r="D382" s="60"/>
      <c r="E382" s="57"/>
      <c r="F382" s="99"/>
    </row>
    <row r="383" spans="1:255" s="66" customFormat="1" ht="13.5" thickBot="1" x14ac:dyDescent="0.35">
      <c r="A383" s="70"/>
      <c r="B383" s="70"/>
      <c r="C383" s="60"/>
      <c r="D383" s="67"/>
      <c r="E383" s="68"/>
      <c r="F383" s="204"/>
    </row>
    <row r="384" spans="1:255" s="66" customFormat="1" ht="13.5" thickBot="1" x14ac:dyDescent="0.35">
      <c r="A384" s="1094" t="s">
        <v>4</v>
      </c>
      <c r="B384" s="1095"/>
      <c r="C384" s="702">
        <f>C385+C387+C391</f>
        <v>200000</v>
      </c>
      <c r="D384" s="67"/>
      <c r="E384" s="68"/>
      <c r="F384" s="204"/>
    </row>
    <row r="385" spans="1:255" s="239" customFormat="1" x14ac:dyDescent="0.3">
      <c r="A385" s="265" t="s">
        <v>179</v>
      </c>
      <c r="B385" s="298" t="s">
        <v>178</v>
      </c>
      <c r="C385" s="563">
        <f>SUM(C386)</f>
        <v>89000</v>
      </c>
      <c r="D385" s="180"/>
      <c r="E385" s="95"/>
      <c r="F385" s="99"/>
    </row>
    <row r="386" spans="1:255" s="66" customFormat="1" x14ac:dyDescent="0.3">
      <c r="A386" s="72" t="s">
        <v>173</v>
      </c>
      <c r="B386" s="43" t="s">
        <v>172</v>
      </c>
      <c r="C386" s="60">
        <v>89000</v>
      </c>
      <c r="D386" s="242"/>
      <c r="E386" s="62"/>
      <c r="F386" s="223"/>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52"/>
      <c r="CD386" s="52"/>
      <c r="CE386" s="52"/>
      <c r="CF386" s="52"/>
      <c r="CG386" s="52"/>
      <c r="CH386" s="52"/>
      <c r="CI386" s="52"/>
      <c r="CJ386" s="52"/>
      <c r="CK386" s="52"/>
      <c r="CL386" s="52"/>
      <c r="CM386" s="52"/>
      <c r="CN386" s="52"/>
      <c r="CO386" s="52"/>
      <c r="CP386" s="52"/>
      <c r="CQ386" s="52"/>
      <c r="CR386" s="52"/>
      <c r="CS386" s="52"/>
      <c r="CT386" s="52"/>
      <c r="CU386" s="52"/>
      <c r="CV386" s="52"/>
      <c r="CW386" s="52"/>
      <c r="CX386" s="52"/>
      <c r="CY386" s="52"/>
      <c r="CZ386" s="52"/>
      <c r="DA386" s="52"/>
      <c r="DB386" s="52"/>
      <c r="DC386" s="52"/>
      <c r="DD386" s="52"/>
      <c r="DE386" s="52"/>
      <c r="DF386" s="52"/>
      <c r="DG386" s="52"/>
      <c r="DH386" s="52"/>
      <c r="DI386" s="52"/>
      <c r="DJ386" s="52"/>
      <c r="DK386" s="52"/>
      <c r="DL386" s="52"/>
      <c r="DM386" s="52"/>
      <c r="DN386" s="52"/>
      <c r="DO386" s="52"/>
      <c r="DP386" s="52"/>
      <c r="DQ386" s="52"/>
      <c r="DR386" s="52"/>
      <c r="DS386" s="52"/>
      <c r="DT386" s="52"/>
      <c r="DU386" s="52"/>
      <c r="DV386" s="52"/>
      <c r="DW386" s="52"/>
      <c r="DX386" s="52"/>
      <c r="DY386" s="52"/>
      <c r="DZ386" s="52"/>
      <c r="EA386" s="52"/>
      <c r="EB386" s="52"/>
      <c r="EC386" s="52"/>
      <c r="ED386" s="52"/>
      <c r="EE386" s="52"/>
      <c r="EF386" s="52"/>
      <c r="EG386" s="52"/>
      <c r="EH386" s="52"/>
      <c r="EI386" s="52"/>
      <c r="EJ386" s="52"/>
      <c r="EK386" s="52"/>
      <c r="EL386" s="52"/>
      <c r="EM386" s="52"/>
      <c r="EN386" s="52"/>
      <c r="EO386" s="52"/>
      <c r="EP386" s="52"/>
      <c r="EQ386" s="52"/>
      <c r="ER386" s="52"/>
      <c r="ES386" s="52"/>
      <c r="ET386" s="52"/>
      <c r="EU386" s="52"/>
      <c r="EV386" s="52"/>
      <c r="EW386" s="52"/>
      <c r="EX386" s="52"/>
      <c r="EY386" s="52"/>
      <c r="EZ386" s="52"/>
      <c r="FA386" s="52"/>
      <c r="FB386" s="52"/>
      <c r="FC386" s="52"/>
      <c r="FD386" s="52"/>
      <c r="FE386" s="52"/>
      <c r="FF386" s="52"/>
      <c r="FG386" s="52"/>
      <c r="FH386" s="52"/>
      <c r="FI386" s="52"/>
      <c r="FJ386" s="52"/>
      <c r="FK386" s="52"/>
      <c r="FL386" s="52"/>
      <c r="FM386" s="52"/>
      <c r="FN386" s="52"/>
      <c r="FO386" s="52"/>
      <c r="FP386" s="52"/>
      <c r="FQ386" s="52"/>
      <c r="FR386" s="52"/>
      <c r="FS386" s="52"/>
      <c r="FT386" s="52"/>
      <c r="FU386" s="52"/>
      <c r="FV386" s="52"/>
      <c r="FW386" s="52"/>
      <c r="FX386" s="52"/>
      <c r="FY386" s="52"/>
      <c r="FZ386" s="52"/>
      <c r="GA386" s="52"/>
      <c r="GB386" s="52"/>
      <c r="GC386" s="52"/>
      <c r="GD386" s="52"/>
      <c r="GE386" s="52"/>
      <c r="GF386" s="52"/>
      <c r="GG386" s="52"/>
      <c r="GH386" s="52"/>
      <c r="GI386" s="52"/>
      <c r="GJ386" s="52"/>
      <c r="GK386" s="52"/>
      <c r="GL386" s="52"/>
      <c r="GM386" s="52"/>
      <c r="GN386" s="52"/>
      <c r="GO386" s="52"/>
      <c r="GP386" s="52"/>
      <c r="GQ386" s="52"/>
      <c r="GR386" s="52"/>
      <c r="GS386" s="52"/>
      <c r="GT386" s="52"/>
      <c r="GU386" s="52"/>
      <c r="GV386" s="52"/>
      <c r="GW386" s="52"/>
      <c r="GX386" s="52"/>
      <c r="GY386" s="52"/>
      <c r="GZ386" s="52"/>
      <c r="HA386" s="52"/>
      <c r="HB386" s="52"/>
      <c r="HC386" s="52"/>
      <c r="HD386" s="52"/>
      <c r="HE386" s="52"/>
      <c r="HF386" s="52"/>
      <c r="HG386" s="52"/>
      <c r="HH386" s="52"/>
      <c r="HI386" s="52"/>
      <c r="HJ386" s="52"/>
      <c r="HK386" s="52"/>
      <c r="HL386" s="52"/>
      <c r="HM386" s="52"/>
      <c r="HN386" s="52"/>
      <c r="HO386" s="52"/>
      <c r="HP386" s="52"/>
      <c r="HQ386" s="52"/>
      <c r="HR386" s="52"/>
      <c r="HS386" s="52"/>
      <c r="HT386" s="52"/>
      <c r="HU386" s="52"/>
      <c r="HV386" s="52"/>
      <c r="HW386" s="52"/>
      <c r="HX386" s="52"/>
      <c r="HY386" s="52"/>
      <c r="HZ386" s="52"/>
      <c r="IA386" s="52"/>
      <c r="IB386" s="52"/>
      <c r="IC386" s="52"/>
      <c r="ID386" s="52"/>
      <c r="IE386" s="52"/>
      <c r="IF386" s="52"/>
      <c r="IG386" s="52"/>
      <c r="IH386" s="52"/>
      <c r="II386" s="52"/>
      <c r="IJ386" s="52"/>
      <c r="IK386" s="52"/>
      <c r="IL386" s="52"/>
      <c r="IM386" s="52"/>
      <c r="IN386" s="52"/>
      <c r="IO386" s="52"/>
      <c r="IP386" s="52"/>
      <c r="IQ386" s="52"/>
      <c r="IR386" s="52"/>
      <c r="IS386" s="52"/>
      <c r="IT386" s="52"/>
      <c r="IU386" s="52"/>
    </row>
    <row r="387" spans="1:255" s="66" customFormat="1" x14ac:dyDescent="0.3">
      <c r="A387" s="265" t="s">
        <v>116</v>
      </c>
      <c r="B387" s="298" t="s">
        <v>117</v>
      </c>
      <c r="C387" s="64">
        <f>SUM(C388:C390)</f>
        <v>93000</v>
      </c>
      <c r="D387" s="242"/>
      <c r="E387" s="62"/>
      <c r="F387" s="223"/>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52"/>
      <c r="CD387" s="52"/>
      <c r="CE387" s="52"/>
      <c r="CF387" s="52"/>
      <c r="CG387" s="52"/>
      <c r="CH387" s="52"/>
      <c r="CI387" s="52"/>
      <c r="CJ387" s="52"/>
      <c r="CK387" s="52"/>
      <c r="CL387" s="52"/>
      <c r="CM387" s="52"/>
      <c r="CN387" s="52"/>
      <c r="CO387" s="52"/>
      <c r="CP387" s="52"/>
      <c r="CQ387" s="52"/>
      <c r="CR387" s="52"/>
      <c r="CS387" s="52"/>
      <c r="CT387" s="52"/>
      <c r="CU387" s="52"/>
      <c r="CV387" s="52"/>
      <c r="CW387" s="52"/>
      <c r="CX387" s="52"/>
      <c r="CY387" s="52"/>
      <c r="CZ387" s="52"/>
      <c r="DA387" s="52"/>
      <c r="DB387" s="52"/>
      <c r="DC387" s="52"/>
      <c r="DD387" s="52"/>
      <c r="DE387" s="52"/>
      <c r="DF387" s="52"/>
      <c r="DG387" s="52"/>
      <c r="DH387" s="52"/>
      <c r="DI387" s="52"/>
      <c r="DJ387" s="52"/>
      <c r="DK387" s="52"/>
      <c r="DL387" s="52"/>
      <c r="DM387" s="52"/>
      <c r="DN387" s="52"/>
      <c r="DO387" s="52"/>
      <c r="DP387" s="52"/>
      <c r="DQ387" s="52"/>
      <c r="DR387" s="52"/>
      <c r="DS387" s="52"/>
      <c r="DT387" s="52"/>
      <c r="DU387" s="52"/>
      <c r="DV387" s="52"/>
      <c r="DW387" s="52"/>
      <c r="DX387" s="52"/>
      <c r="DY387" s="52"/>
      <c r="DZ387" s="52"/>
      <c r="EA387" s="52"/>
      <c r="EB387" s="52"/>
      <c r="EC387" s="52"/>
      <c r="ED387" s="52"/>
      <c r="EE387" s="52"/>
      <c r="EF387" s="52"/>
      <c r="EG387" s="52"/>
      <c r="EH387" s="52"/>
      <c r="EI387" s="52"/>
      <c r="EJ387" s="52"/>
      <c r="EK387" s="52"/>
      <c r="EL387" s="52"/>
      <c r="EM387" s="52"/>
      <c r="EN387" s="52"/>
      <c r="EO387" s="52"/>
      <c r="EP387" s="52"/>
      <c r="EQ387" s="52"/>
      <c r="ER387" s="52"/>
      <c r="ES387" s="52"/>
      <c r="ET387" s="52"/>
      <c r="EU387" s="52"/>
      <c r="EV387" s="52"/>
      <c r="EW387" s="52"/>
      <c r="EX387" s="52"/>
      <c r="EY387" s="52"/>
      <c r="EZ387" s="52"/>
      <c r="FA387" s="52"/>
      <c r="FB387" s="52"/>
      <c r="FC387" s="52"/>
      <c r="FD387" s="52"/>
      <c r="FE387" s="52"/>
      <c r="FF387" s="52"/>
      <c r="FG387" s="52"/>
      <c r="FH387" s="52"/>
      <c r="FI387" s="52"/>
      <c r="FJ387" s="52"/>
      <c r="FK387" s="52"/>
      <c r="FL387" s="52"/>
      <c r="FM387" s="52"/>
      <c r="FN387" s="52"/>
      <c r="FO387" s="52"/>
      <c r="FP387" s="52"/>
      <c r="FQ387" s="52"/>
      <c r="FR387" s="52"/>
      <c r="FS387" s="52"/>
      <c r="FT387" s="52"/>
      <c r="FU387" s="52"/>
      <c r="FV387" s="52"/>
      <c r="FW387" s="52"/>
      <c r="FX387" s="52"/>
      <c r="FY387" s="52"/>
      <c r="FZ387" s="52"/>
      <c r="GA387" s="52"/>
      <c r="GB387" s="52"/>
      <c r="GC387" s="52"/>
      <c r="GD387" s="52"/>
      <c r="GE387" s="52"/>
      <c r="GF387" s="52"/>
      <c r="GG387" s="52"/>
      <c r="GH387" s="52"/>
      <c r="GI387" s="52"/>
      <c r="GJ387" s="52"/>
      <c r="GK387" s="52"/>
      <c r="GL387" s="52"/>
      <c r="GM387" s="52"/>
      <c r="GN387" s="52"/>
      <c r="GO387" s="52"/>
      <c r="GP387" s="52"/>
      <c r="GQ387" s="52"/>
      <c r="GR387" s="52"/>
      <c r="GS387" s="52"/>
      <c r="GT387" s="52"/>
      <c r="GU387" s="52"/>
      <c r="GV387" s="52"/>
      <c r="GW387" s="52"/>
      <c r="GX387" s="52"/>
      <c r="GY387" s="52"/>
      <c r="GZ387" s="52"/>
      <c r="HA387" s="52"/>
      <c r="HB387" s="52"/>
      <c r="HC387" s="52"/>
      <c r="HD387" s="52"/>
      <c r="HE387" s="52"/>
      <c r="HF387" s="52"/>
      <c r="HG387" s="52"/>
      <c r="HH387" s="52"/>
      <c r="HI387" s="52"/>
      <c r="HJ387" s="52"/>
      <c r="HK387" s="52"/>
      <c r="HL387" s="52"/>
      <c r="HM387" s="52"/>
      <c r="HN387" s="52"/>
      <c r="HO387" s="52"/>
      <c r="HP387" s="52"/>
      <c r="HQ387" s="52"/>
      <c r="HR387" s="52"/>
      <c r="HS387" s="52"/>
      <c r="HT387" s="52"/>
      <c r="HU387" s="52"/>
      <c r="HV387" s="52"/>
      <c r="HW387" s="52"/>
      <c r="HX387" s="52"/>
      <c r="HY387" s="52"/>
      <c r="HZ387" s="52"/>
      <c r="IA387" s="52"/>
      <c r="IB387" s="52"/>
      <c r="IC387" s="52"/>
      <c r="ID387" s="52"/>
      <c r="IE387" s="52"/>
      <c r="IF387" s="52"/>
      <c r="IG387" s="52"/>
      <c r="IH387" s="52"/>
      <c r="II387" s="52"/>
      <c r="IJ387" s="52"/>
      <c r="IK387" s="52"/>
      <c r="IL387" s="52"/>
      <c r="IM387" s="52"/>
      <c r="IN387" s="52"/>
      <c r="IO387" s="52"/>
      <c r="IP387" s="52"/>
      <c r="IQ387" s="52"/>
      <c r="IR387" s="52"/>
      <c r="IS387" s="52"/>
      <c r="IT387" s="52"/>
      <c r="IU387" s="52"/>
    </row>
    <row r="388" spans="1:255" s="66" customFormat="1" x14ac:dyDescent="0.3">
      <c r="A388" s="72" t="s">
        <v>91</v>
      </c>
      <c r="B388" s="43" t="s">
        <v>139</v>
      </c>
      <c r="C388" s="60">
        <v>38000</v>
      </c>
      <c r="D388" s="67"/>
      <c r="E388" s="68"/>
      <c r="F388" s="204"/>
    </row>
    <row r="389" spans="1:255" s="52" customFormat="1" x14ac:dyDescent="0.3">
      <c r="A389" s="72" t="s">
        <v>57</v>
      </c>
      <c r="B389" s="43" t="s">
        <v>58</v>
      </c>
      <c r="C389" s="60">
        <v>25000</v>
      </c>
      <c r="D389" s="67"/>
      <c r="E389" s="68"/>
      <c r="F389" s="204"/>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c r="AP389" s="66"/>
      <c r="AQ389" s="66"/>
      <c r="AR389" s="66"/>
      <c r="AS389" s="66"/>
      <c r="AT389" s="66"/>
      <c r="AU389" s="66"/>
      <c r="AV389" s="66"/>
      <c r="AW389" s="66"/>
      <c r="AX389" s="66"/>
      <c r="AY389" s="66"/>
      <c r="AZ389" s="66"/>
      <c r="BA389" s="66"/>
      <c r="BB389" s="66"/>
      <c r="BC389" s="66"/>
      <c r="BD389" s="66"/>
      <c r="BE389" s="66"/>
      <c r="BF389" s="66"/>
      <c r="BG389" s="66"/>
      <c r="BH389" s="66"/>
      <c r="BI389" s="66"/>
      <c r="BJ389" s="66"/>
      <c r="BK389" s="66"/>
      <c r="BL389" s="66"/>
      <c r="BM389" s="66"/>
      <c r="BN389" s="66"/>
      <c r="BO389" s="66"/>
      <c r="BP389" s="66"/>
      <c r="BQ389" s="66"/>
      <c r="BR389" s="66"/>
      <c r="BS389" s="66"/>
      <c r="BT389" s="66"/>
      <c r="BU389" s="66"/>
      <c r="BV389" s="66"/>
      <c r="BW389" s="66"/>
      <c r="BX389" s="66"/>
      <c r="BY389" s="66"/>
      <c r="BZ389" s="66"/>
      <c r="CA389" s="66"/>
      <c r="CB389" s="66"/>
      <c r="CC389" s="66"/>
      <c r="CD389" s="66"/>
      <c r="CE389" s="66"/>
      <c r="CF389" s="66"/>
      <c r="CG389" s="66"/>
      <c r="CH389" s="66"/>
      <c r="CI389" s="66"/>
      <c r="CJ389" s="66"/>
      <c r="CK389" s="66"/>
      <c r="CL389" s="66"/>
      <c r="CM389" s="66"/>
      <c r="CN389" s="66"/>
      <c r="CO389" s="66"/>
      <c r="CP389" s="66"/>
      <c r="CQ389" s="66"/>
      <c r="CR389" s="66"/>
      <c r="CS389" s="66"/>
      <c r="CT389" s="66"/>
      <c r="CU389" s="66"/>
      <c r="CV389" s="66"/>
      <c r="CW389" s="66"/>
      <c r="CX389" s="66"/>
      <c r="CY389" s="66"/>
      <c r="CZ389" s="66"/>
      <c r="DA389" s="66"/>
      <c r="DB389" s="66"/>
      <c r="DC389" s="66"/>
      <c r="DD389" s="66"/>
      <c r="DE389" s="66"/>
      <c r="DF389" s="66"/>
      <c r="DG389" s="66"/>
      <c r="DH389" s="66"/>
      <c r="DI389" s="66"/>
      <c r="DJ389" s="66"/>
      <c r="DK389" s="66"/>
      <c r="DL389" s="66"/>
      <c r="DM389" s="66"/>
      <c r="DN389" s="66"/>
      <c r="DO389" s="66"/>
      <c r="DP389" s="66"/>
      <c r="DQ389" s="66"/>
      <c r="DR389" s="66"/>
      <c r="DS389" s="66"/>
      <c r="DT389" s="66"/>
      <c r="DU389" s="66"/>
      <c r="DV389" s="66"/>
      <c r="DW389" s="66"/>
      <c r="DX389" s="66"/>
      <c r="DY389" s="66"/>
      <c r="DZ389" s="66"/>
      <c r="EA389" s="66"/>
      <c r="EB389" s="66"/>
      <c r="EC389" s="66"/>
      <c r="ED389" s="66"/>
      <c r="EE389" s="66"/>
      <c r="EF389" s="66"/>
      <c r="EG389" s="66"/>
      <c r="EH389" s="66"/>
      <c r="EI389" s="66"/>
      <c r="EJ389" s="66"/>
      <c r="EK389" s="66"/>
      <c r="EL389" s="66"/>
      <c r="EM389" s="66"/>
      <c r="EN389" s="66"/>
      <c r="EO389" s="66"/>
      <c r="EP389" s="66"/>
      <c r="EQ389" s="66"/>
      <c r="ER389" s="66"/>
      <c r="ES389" s="66"/>
      <c r="ET389" s="66"/>
      <c r="EU389" s="66"/>
      <c r="EV389" s="66"/>
      <c r="EW389" s="66"/>
      <c r="EX389" s="66"/>
      <c r="EY389" s="66"/>
      <c r="EZ389" s="66"/>
      <c r="FA389" s="66"/>
      <c r="FB389" s="66"/>
      <c r="FC389" s="66"/>
      <c r="FD389" s="66"/>
      <c r="FE389" s="66"/>
      <c r="FF389" s="66"/>
      <c r="FG389" s="66"/>
      <c r="FH389" s="66"/>
      <c r="FI389" s="66"/>
      <c r="FJ389" s="66"/>
      <c r="FK389" s="66"/>
      <c r="FL389" s="66"/>
      <c r="FM389" s="66"/>
      <c r="FN389" s="66"/>
      <c r="FO389" s="66"/>
      <c r="FP389" s="66"/>
      <c r="FQ389" s="66"/>
      <c r="FR389" s="66"/>
      <c r="FS389" s="66"/>
      <c r="FT389" s="66"/>
      <c r="FU389" s="66"/>
      <c r="FV389" s="66"/>
      <c r="FW389" s="66"/>
      <c r="FX389" s="66"/>
      <c r="FY389" s="66"/>
      <c r="FZ389" s="66"/>
      <c r="GA389" s="66"/>
      <c r="GB389" s="66"/>
      <c r="GC389" s="66"/>
      <c r="GD389" s="66"/>
      <c r="GE389" s="66"/>
      <c r="GF389" s="66"/>
      <c r="GG389" s="66"/>
      <c r="GH389" s="66"/>
      <c r="GI389" s="66"/>
      <c r="GJ389" s="66"/>
      <c r="GK389" s="66"/>
      <c r="GL389" s="66"/>
      <c r="GM389" s="66"/>
      <c r="GN389" s="66"/>
      <c r="GO389" s="66"/>
      <c r="GP389" s="66"/>
      <c r="GQ389" s="66"/>
      <c r="GR389" s="66"/>
      <c r="GS389" s="66"/>
      <c r="GT389" s="66"/>
      <c r="GU389" s="66"/>
      <c r="GV389" s="66"/>
      <c r="GW389" s="66"/>
      <c r="GX389" s="66"/>
      <c r="GY389" s="66"/>
      <c r="GZ389" s="66"/>
      <c r="HA389" s="66"/>
      <c r="HB389" s="66"/>
      <c r="HC389" s="66"/>
      <c r="HD389" s="66"/>
      <c r="HE389" s="66"/>
      <c r="HF389" s="66"/>
      <c r="HG389" s="66"/>
      <c r="HH389" s="66"/>
      <c r="HI389" s="66"/>
      <c r="HJ389" s="66"/>
      <c r="HK389" s="66"/>
      <c r="HL389" s="66"/>
      <c r="HM389" s="66"/>
      <c r="HN389" s="66"/>
      <c r="HO389" s="66"/>
      <c r="HP389" s="66"/>
      <c r="HQ389" s="66"/>
      <c r="HR389" s="66"/>
      <c r="HS389" s="66"/>
      <c r="HT389" s="66"/>
      <c r="HU389" s="66"/>
      <c r="HV389" s="66"/>
      <c r="HW389" s="66"/>
      <c r="HX389" s="66"/>
      <c r="HY389" s="66"/>
      <c r="HZ389" s="66"/>
      <c r="IA389" s="66"/>
      <c r="IB389" s="66"/>
      <c r="IC389" s="66"/>
      <c r="ID389" s="66"/>
      <c r="IE389" s="66"/>
      <c r="IF389" s="66"/>
      <c r="IG389" s="66"/>
      <c r="IH389" s="66"/>
      <c r="II389" s="66"/>
      <c r="IJ389" s="66"/>
      <c r="IK389" s="66"/>
      <c r="IL389" s="66"/>
      <c r="IM389" s="66"/>
      <c r="IN389" s="66"/>
      <c r="IO389" s="66"/>
      <c r="IP389" s="66"/>
      <c r="IQ389" s="66"/>
      <c r="IR389" s="66"/>
      <c r="IS389" s="66"/>
      <c r="IT389" s="66"/>
      <c r="IU389" s="66"/>
    </row>
    <row r="390" spans="1:255" s="8" customFormat="1" ht="13.5" customHeight="1" x14ac:dyDescent="0.25">
      <c r="A390" s="72" t="s">
        <v>814</v>
      </c>
      <c r="B390" s="23" t="s">
        <v>815</v>
      </c>
      <c r="C390" s="24">
        <v>30000</v>
      </c>
      <c r="D390" s="78"/>
      <c r="E390" s="25"/>
      <c r="F390" s="99"/>
      <c r="G390" s="55"/>
      <c r="H390" s="43"/>
    </row>
    <row r="391" spans="1:255" s="52" customFormat="1" x14ac:dyDescent="0.3">
      <c r="A391" s="265" t="s">
        <v>166</v>
      </c>
      <c r="B391" s="25" t="s">
        <v>135</v>
      </c>
      <c r="C391" s="64">
        <f>SUM(C392)</f>
        <v>18000</v>
      </c>
      <c r="D391" s="67"/>
      <c r="E391" s="68"/>
      <c r="F391" s="204"/>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c r="AP391" s="66"/>
      <c r="AQ391" s="66"/>
      <c r="AR391" s="66"/>
      <c r="AS391" s="66"/>
      <c r="AT391" s="66"/>
      <c r="AU391" s="66"/>
      <c r="AV391" s="66"/>
      <c r="AW391" s="66"/>
      <c r="AX391" s="66"/>
      <c r="AY391" s="66"/>
      <c r="AZ391" s="66"/>
      <c r="BA391" s="66"/>
      <c r="BB391" s="66"/>
      <c r="BC391" s="66"/>
      <c r="BD391" s="66"/>
      <c r="BE391" s="66"/>
      <c r="BF391" s="66"/>
      <c r="BG391" s="66"/>
      <c r="BH391" s="66"/>
      <c r="BI391" s="66"/>
      <c r="BJ391" s="66"/>
      <c r="BK391" s="66"/>
      <c r="BL391" s="66"/>
      <c r="BM391" s="66"/>
      <c r="BN391" s="66"/>
      <c r="BO391" s="66"/>
      <c r="BP391" s="66"/>
      <c r="BQ391" s="66"/>
      <c r="BR391" s="66"/>
      <c r="BS391" s="66"/>
      <c r="BT391" s="66"/>
      <c r="BU391" s="66"/>
      <c r="BV391" s="66"/>
      <c r="BW391" s="66"/>
      <c r="BX391" s="66"/>
      <c r="BY391" s="66"/>
      <c r="BZ391" s="66"/>
      <c r="CA391" s="66"/>
      <c r="CB391" s="66"/>
      <c r="CC391" s="66"/>
      <c r="CD391" s="66"/>
      <c r="CE391" s="66"/>
      <c r="CF391" s="66"/>
      <c r="CG391" s="66"/>
      <c r="CH391" s="66"/>
      <c r="CI391" s="66"/>
      <c r="CJ391" s="66"/>
      <c r="CK391" s="66"/>
      <c r="CL391" s="66"/>
      <c r="CM391" s="66"/>
      <c r="CN391" s="66"/>
      <c r="CO391" s="66"/>
      <c r="CP391" s="66"/>
      <c r="CQ391" s="66"/>
      <c r="CR391" s="66"/>
      <c r="CS391" s="66"/>
      <c r="CT391" s="66"/>
      <c r="CU391" s="66"/>
      <c r="CV391" s="66"/>
      <c r="CW391" s="66"/>
      <c r="CX391" s="66"/>
      <c r="CY391" s="66"/>
      <c r="CZ391" s="66"/>
      <c r="DA391" s="66"/>
      <c r="DB391" s="66"/>
      <c r="DC391" s="66"/>
      <c r="DD391" s="66"/>
      <c r="DE391" s="66"/>
      <c r="DF391" s="66"/>
      <c r="DG391" s="66"/>
      <c r="DH391" s="66"/>
      <c r="DI391" s="66"/>
      <c r="DJ391" s="66"/>
      <c r="DK391" s="66"/>
      <c r="DL391" s="66"/>
      <c r="DM391" s="66"/>
      <c r="DN391" s="66"/>
      <c r="DO391" s="66"/>
      <c r="DP391" s="66"/>
      <c r="DQ391" s="66"/>
      <c r="DR391" s="66"/>
      <c r="DS391" s="66"/>
      <c r="DT391" s="66"/>
      <c r="DU391" s="66"/>
      <c r="DV391" s="66"/>
      <c r="DW391" s="66"/>
      <c r="DX391" s="66"/>
      <c r="DY391" s="66"/>
      <c r="DZ391" s="66"/>
      <c r="EA391" s="66"/>
      <c r="EB391" s="66"/>
      <c r="EC391" s="66"/>
      <c r="ED391" s="66"/>
      <c r="EE391" s="66"/>
      <c r="EF391" s="66"/>
      <c r="EG391" s="66"/>
      <c r="EH391" s="66"/>
      <c r="EI391" s="66"/>
      <c r="EJ391" s="66"/>
      <c r="EK391" s="66"/>
      <c r="EL391" s="66"/>
      <c r="EM391" s="66"/>
      <c r="EN391" s="66"/>
      <c r="EO391" s="66"/>
      <c r="EP391" s="66"/>
      <c r="EQ391" s="66"/>
      <c r="ER391" s="66"/>
      <c r="ES391" s="66"/>
      <c r="ET391" s="66"/>
      <c r="EU391" s="66"/>
      <c r="EV391" s="66"/>
      <c r="EW391" s="66"/>
      <c r="EX391" s="66"/>
      <c r="EY391" s="66"/>
      <c r="EZ391" s="66"/>
      <c r="FA391" s="66"/>
      <c r="FB391" s="66"/>
      <c r="FC391" s="66"/>
      <c r="FD391" s="66"/>
      <c r="FE391" s="66"/>
      <c r="FF391" s="66"/>
      <c r="FG391" s="66"/>
      <c r="FH391" s="66"/>
      <c r="FI391" s="66"/>
      <c r="FJ391" s="66"/>
      <c r="FK391" s="66"/>
      <c r="FL391" s="66"/>
      <c r="FM391" s="66"/>
      <c r="FN391" s="66"/>
      <c r="FO391" s="66"/>
      <c r="FP391" s="66"/>
      <c r="FQ391" s="66"/>
      <c r="FR391" s="66"/>
      <c r="FS391" s="66"/>
      <c r="FT391" s="66"/>
      <c r="FU391" s="66"/>
      <c r="FV391" s="66"/>
      <c r="FW391" s="66"/>
      <c r="FX391" s="66"/>
      <c r="FY391" s="66"/>
      <c r="FZ391" s="66"/>
      <c r="GA391" s="66"/>
      <c r="GB391" s="66"/>
      <c r="GC391" s="66"/>
      <c r="GD391" s="66"/>
      <c r="GE391" s="66"/>
      <c r="GF391" s="66"/>
      <c r="GG391" s="66"/>
      <c r="GH391" s="66"/>
      <c r="GI391" s="66"/>
      <c r="GJ391" s="66"/>
      <c r="GK391" s="66"/>
      <c r="GL391" s="66"/>
      <c r="GM391" s="66"/>
      <c r="GN391" s="66"/>
      <c r="GO391" s="66"/>
      <c r="GP391" s="66"/>
      <c r="GQ391" s="66"/>
      <c r="GR391" s="66"/>
      <c r="GS391" s="66"/>
      <c r="GT391" s="66"/>
      <c r="GU391" s="66"/>
      <c r="GV391" s="66"/>
      <c r="GW391" s="66"/>
      <c r="GX391" s="66"/>
      <c r="GY391" s="66"/>
      <c r="GZ391" s="66"/>
      <c r="HA391" s="66"/>
      <c r="HB391" s="66"/>
      <c r="HC391" s="66"/>
      <c r="HD391" s="66"/>
      <c r="HE391" s="66"/>
      <c r="HF391" s="66"/>
      <c r="HG391" s="66"/>
      <c r="HH391" s="66"/>
      <c r="HI391" s="66"/>
      <c r="HJ391" s="66"/>
      <c r="HK391" s="66"/>
      <c r="HL391" s="66"/>
      <c r="HM391" s="66"/>
      <c r="HN391" s="66"/>
      <c r="HO391" s="66"/>
      <c r="HP391" s="66"/>
      <c r="HQ391" s="66"/>
      <c r="HR391" s="66"/>
      <c r="HS391" s="66"/>
      <c r="HT391" s="66"/>
      <c r="HU391" s="66"/>
      <c r="HV391" s="66"/>
      <c r="HW391" s="66"/>
      <c r="HX391" s="66"/>
      <c r="HY391" s="66"/>
      <c r="HZ391" s="66"/>
      <c r="IA391" s="66"/>
      <c r="IB391" s="66"/>
      <c r="IC391" s="66"/>
      <c r="ID391" s="66"/>
      <c r="IE391" s="66"/>
      <c r="IF391" s="66"/>
      <c r="IG391" s="66"/>
      <c r="IH391" s="66"/>
      <c r="II391" s="66"/>
      <c r="IJ391" s="66"/>
      <c r="IK391" s="66"/>
      <c r="IL391" s="66"/>
      <c r="IM391" s="66"/>
      <c r="IN391" s="66"/>
      <c r="IO391" s="66"/>
      <c r="IP391" s="66"/>
      <c r="IQ391" s="66"/>
      <c r="IR391" s="66"/>
      <c r="IS391" s="66"/>
      <c r="IT391" s="66"/>
      <c r="IU391" s="66"/>
    </row>
    <row r="392" spans="1:255" s="52" customFormat="1" x14ac:dyDescent="0.3">
      <c r="A392" s="72" t="s">
        <v>167</v>
      </c>
      <c r="B392" s="43" t="s">
        <v>51</v>
      </c>
      <c r="C392" s="60">
        <v>18000</v>
      </c>
      <c r="D392" s="67"/>
      <c r="E392" s="68"/>
      <c r="F392" s="204"/>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c r="AP392" s="66"/>
      <c r="AQ392" s="66"/>
      <c r="AR392" s="66"/>
      <c r="AS392" s="66"/>
      <c r="AT392" s="66"/>
      <c r="AU392" s="66"/>
      <c r="AV392" s="66"/>
      <c r="AW392" s="66"/>
      <c r="AX392" s="66"/>
      <c r="AY392" s="66"/>
      <c r="AZ392" s="66"/>
      <c r="BA392" s="66"/>
      <c r="BB392" s="66"/>
      <c r="BC392" s="66"/>
      <c r="BD392" s="66"/>
      <c r="BE392" s="66"/>
      <c r="BF392" s="66"/>
      <c r="BG392" s="66"/>
      <c r="BH392" s="66"/>
      <c r="BI392" s="66"/>
      <c r="BJ392" s="66"/>
      <c r="BK392" s="66"/>
      <c r="BL392" s="66"/>
      <c r="BM392" s="66"/>
      <c r="BN392" s="66"/>
      <c r="BO392" s="66"/>
      <c r="BP392" s="66"/>
      <c r="BQ392" s="66"/>
      <c r="BR392" s="66"/>
      <c r="BS392" s="66"/>
      <c r="BT392" s="66"/>
      <c r="BU392" s="66"/>
      <c r="BV392" s="66"/>
      <c r="BW392" s="66"/>
      <c r="BX392" s="66"/>
      <c r="BY392" s="66"/>
      <c r="BZ392" s="66"/>
      <c r="CA392" s="66"/>
      <c r="CB392" s="66"/>
      <c r="CC392" s="66"/>
      <c r="CD392" s="66"/>
      <c r="CE392" s="66"/>
      <c r="CF392" s="66"/>
      <c r="CG392" s="66"/>
      <c r="CH392" s="66"/>
      <c r="CI392" s="66"/>
      <c r="CJ392" s="66"/>
      <c r="CK392" s="66"/>
      <c r="CL392" s="66"/>
      <c r="CM392" s="66"/>
      <c r="CN392" s="66"/>
      <c r="CO392" s="66"/>
      <c r="CP392" s="66"/>
      <c r="CQ392" s="66"/>
      <c r="CR392" s="66"/>
      <c r="CS392" s="66"/>
      <c r="CT392" s="66"/>
      <c r="CU392" s="66"/>
      <c r="CV392" s="66"/>
      <c r="CW392" s="66"/>
      <c r="CX392" s="66"/>
      <c r="CY392" s="66"/>
      <c r="CZ392" s="66"/>
      <c r="DA392" s="66"/>
      <c r="DB392" s="66"/>
      <c r="DC392" s="66"/>
      <c r="DD392" s="66"/>
      <c r="DE392" s="66"/>
      <c r="DF392" s="66"/>
      <c r="DG392" s="66"/>
      <c r="DH392" s="66"/>
      <c r="DI392" s="66"/>
      <c r="DJ392" s="66"/>
      <c r="DK392" s="66"/>
      <c r="DL392" s="66"/>
      <c r="DM392" s="66"/>
      <c r="DN392" s="66"/>
      <c r="DO392" s="66"/>
      <c r="DP392" s="66"/>
      <c r="DQ392" s="66"/>
      <c r="DR392" s="66"/>
      <c r="DS392" s="66"/>
      <c r="DT392" s="66"/>
      <c r="DU392" s="66"/>
      <c r="DV392" s="66"/>
      <c r="DW392" s="66"/>
      <c r="DX392" s="66"/>
      <c r="DY392" s="66"/>
      <c r="DZ392" s="66"/>
      <c r="EA392" s="66"/>
      <c r="EB392" s="66"/>
      <c r="EC392" s="66"/>
      <c r="ED392" s="66"/>
      <c r="EE392" s="66"/>
      <c r="EF392" s="66"/>
      <c r="EG392" s="66"/>
      <c r="EH392" s="66"/>
      <c r="EI392" s="66"/>
      <c r="EJ392" s="66"/>
      <c r="EK392" s="66"/>
      <c r="EL392" s="66"/>
      <c r="EM392" s="66"/>
      <c r="EN392" s="66"/>
      <c r="EO392" s="66"/>
      <c r="EP392" s="66"/>
      <c r="EQ392" s="66"/>
      <c r="ER392" s="66"/>
      <c r="ES392" s="66"/>
      <c r="ET392" s="66"/>
      <c r="EU392" s="66"/>
      <c r="EV392" s="66"/>
      <c r="EW392" s="66"/>
      <c r="EX392" s="66"/>
      <c r="EY392" s="66"/>
      <c r="EZ392" s="66"/>
      <c r="FA392" s="66"/>
      <c r="FB392" s="66"/>
      <c r="FC392" s="66"/>
      <c r="FD392" s="66"/>
      <c r="FE392" s="66"/>
      <c r="FF392" s="66"/>
      <c r="FG392" s="66"/>
      <c r="FH392" s="66"/>
      <c r="FI392" s="66"/>
      <c r="FJ392" s="66"/>
      <c r="FK392" s="66"/>
      <c r="FL392" s="66"/>
      <c r="FM392" s="66"/>
      <c r="FN392" s="66"/>
      <c r="FO392" s="66"/>
      <c r="FP392" s="66"/>
      <c r="FQ392" s="66"/>
      <c r="FR392" s="66"/>
      <c r="FS392" s="66"/>
      <c r="FT392" s="66"/>
      <c r="FU392" s="66"/>
      <c r="FV392" s="66"/>
      <c r="FW392" s="66"/>
      <c r="FX392" s="66"/>
      <c r="FY392" s="66"/>
      <c r="FZ392" s="66"/>
      <c r="GA392" s="66"/>
      <c r="GB392" s="66"/>
      <c r="GC392" s="66"/>
      <c r="GD392" s="66"/>
      <c r="GE392" s="66"/>
      <c r="GF392" s="66"/>
      <c r="GG392" s="66"/>
      <c r="GH392" s="66"/>
      <c r="GI392" s="66"/>
      <c r="GJ392" s="66"/>
      <c r="GK392" s="66"/>
      <c r="GL392" s="66"/>
      <c r="GM392" s="66"/>
      <c r="GN392" s="66"/>
      <c r="GO392" s="66"/>
      <c r="GP392" s="66"/>
      <c r="GQ392" s="66"/>
      <c r="GR392" s="66"/>
      <c r="GS392" s="66"/>
      <c r="GT392" s="66"/>
      <c r="GU392" s="66"/>
      <c r="GV392" s="66"/>
      <c r="GW392" s="66"/>
      <c r="GX392" s="66"/>
      <c r="GY392" s="66"/>
      <c r="GZ392" s="66"/>
      <c r="HA392" s="66"/>
      <c r="HB392" s="66"/>
      <c r="HC392" s="66"/>
      <c r="HD392" s="66"/>
      <c r="HE392" s="66"/>
      <c r="HF392" s="66"/>
      <c r="HG392" s="66"/>
      <c r="HH392" s="66"/>
      <c r="HI392" s="66"/>
      <c r="HJ392" s="66"/>
      <c r="HK392" s="66"/>
      <c r="HL392" s="66"/>
      <c r="HM392" s="66"/>
      <c r="HN392" s="66"/>
      <c r="HO392" s="66"/>
      <c r="HP392" s="66"/>
      <c r="HQ392" s="66"/>
      <c r="HR392" s="66"/>
      <c r="HS392" s="66"/>
      <c r="HT392" s="66"/>
      <c r="HU392" s="66"/>
      <c r="HV392" s="66"/>
      <c r="HW392" s="66"/>
      <c r="HX392" s="66"/>
      <c r="HY392" s="66"/>
      <c r="HZ392" s="66"/>
      <c r="IA392" s="66"/>
      <c r="IB392" s="66"/>
      <c r="IC392" s="66"/>
      <c r="ID392" s="66"/>
      <c r="IE392" s="66"/>
      <c r="IF392" s="66"/>
      <c r="IG392" s="66"/>
      <c r="IH392" s="66"/>
      <c r="II392" s="66"/>
      <c r="IJ392" s="66"/>
      <c r="IK392" s="66"/>
      <c r="IL392" s="66"/>
      <c r="IM392" s="66"/>
      <c r="IN392" s="66"/>
      <c r="IO392" s="66"/>
      <c r="IP392" s="66"/>
      <c r="IQ392" s="66"/>
      <c r="IR392" s="66"/>
      <c r="IS392" s="66"/>
      <c r="IT392" s="66"/>
      <c r="IU392" s="66"/>
    </row>
    <row r="393" spans="1:255" s="52" customFormat="1" x14ac:dyDescent="0.3">
      <c r="A393" s="72"/>
      <c r="B393" s="43"/>
      <c r="C393" s="60"/>
      <c r="D393" s="67"/>
      <c r="E393" s="68"/>
      <c r="F393" s="204"/>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c r="AP393" s="66"/>
      <c r="AQ393" s="66"/>
      <c r="AR393" s="66"/>
      <c r="AS393" s="66"/>
      <c r="AT393" s="66"/>
      <c r="AU393" s="66"/>
      <c r="AV393" s="66"/>
      <c r="AW393" s="66"/>
      <c r="AX393" s="66"/>
      <c r="AY393" s="66"/>
      <c r="AZ393" s="66"/>
      <c r="BA393" s="66"/>
      <c r="BB393" s="66"/>
      <c r="BC393" s="66"/>
      <c r="BD393" s="66"/>
      <c r="BE393" s="66"/>
      <c r="BF393" s="66"/>
      <c r="BG393" s="66"/>
      <c r="BH393" s="66"/>
      <c r="BI393" s="66"/>
      <c r="BJ393" s="66"/>
      <c r="BK393" s="66"/>
      <c r="BL393" s="66"/>
      <c r="BM393" s="66"/>
      <c r="BN393" s="66"/>
      <c r="BO393" s="66"/>
      <c r="BP393" s="66"/>
      <c r="BQ393" s="66"/>
      <c r="BR393" s="66"/>
      <c r="BS393" s="66"/>
      <c r="BT393" s="66"/>
      <c r="BU393" s="66"/>
      <c r="BV393" s="66"/>
      <c r="BW393" s="66"/>
      <c r="BX393" s="66"/>
      <c r="BY393" s="66"/>
      <c r="BZ393" s="66"/>
      <c r="CA393" s="66"/>
      <c r="CB393" s="66"/>
      <c r="CC393" s="66"/>
      <c r="CD393" s="66"/>
      <c r="CE393" s="66"/>
      <c r="CF393" s="66"/>
      <c r="CG393" s="66"/>
      <c r="CH393" s="66"/>
      <c r="CI393" s="66"/>
      <c r="CJ393" s="66"/>
      <c r="CK393" s="66"/>
      <c r="CL393" s="66"/>
      <c r="CM393" s="66"/>
      <c r="CN393" s="66"/>
      <c r="CO393" s="66"/>
      <c r="CP393" s="66"/>
      <c r="CQ393" s="66"/>
      <c r="CR393" s="66"/>
      <c r="CS393" s="66"/>
      <c r="CT393" s="66"/>
      <c r="CU393" s="66"/>
      <c r="CV393" s="66"/>
      <c r="CW393" s="66"/>
      <c r="CX393" s="66"/>
      <c r="CY393" s="66"/>
      <c r="CZ393" s="66"/>
      <c r="DA393" s="66"/>
      <c r="DB393" s="66"/>
      <c r="DC393" s="66"/>
      <c r="DD393" s="66"/>
      <c r="DE393" s="66"/>
      <c r="DF393" s="66"/>
      <c r="DG393" s="66"/>
      <c r="DH393" s="66"/>
      <c r="DI393" s="66"/>
      <c r="DJ393" s="66"/>
      <c r="DK393" s="66"/>
      <c r="DL393" s="66"/>
      <c r="DM393" s="66"/>
      <c r="DN393" s="66"/>
      <c r="DO393" s="66"/>
      <c r="DP393" s="66"/>
      <c r="DQ393" s="66"/>
      <c r="DR393" s="66"/>
      <c r="DS393" s="66"/>
      <c r="DT393" s="66"/>
      <c r="DU393" s="66"/>
      <c r="DV393" s="66"/>
      <c r="DW393" s="66"/>
      <c r="DX393" s="66"/>
      <c r="DY393" s="66"/>
      <c r="DZ393" s="66"/>
      <c r="EA393" s="66"/>
      <c r="EB393" s="66"/>
      <c r="EC393" s="66"/>
      <c r="ED393" s="66"/>
      <c r="EE393" s="66"/>
      <c r="EF393" s="66"/>
      <c r="EG393" s="66"/>
      <c r="EH393" s="66"/>
      <c r="EI393" s="66"/>
      <c r="EJ393" s="66"/>
      <c r="EK393" s="66"/>
      <c r="EL393" s="66"/>
      <c r="EM393" s="66"/>
      <c r="EN393" s="66"/>
      <c r="EO393" s="66"/>
      <c r="EP393" s="66"/>
      <c r="EQ393" s="66"/>
      <c r="ER393" s="66"/>
      <c r="ES393" s="66"/>
      <c r="ET393" s="66"/>
      <c r="EU393" s="66"/>
      <c r="EV393" s="66"/>
      <c r="EW393" s="66"/>
      <c r="EX393" s="66"/>
      <c r="EY393" s="66"/>
      <c r="EZ393" s="66"/>
      <c r="FA393" s="66"/>
      <c r="FB393" s="66"/>
      <c r="FC393" s="66"/>
      <c r="FD393" s="66"/>
      <c r="FE393" s="66"/>
      <c r="FF393" s="66"/>
      <c r="FG393" s="66"/>
      <c r="FH393" s="66"/>
      <c r="FI393" s="66"/>
      <c r="FJ393" s="66"/>
      <c r="FK393" s="66"/>
      <c r="FL393" s="66"/>
      <c r="FM393" s="66"/>
      <c r="FN393" s="66"/>
      <c r="FO393" s="66"/>
      <c r="FP393" s="66"/>
      <c r="FQ393" s="66"/>
      <c r="FR393" s="66"/>
      <c r="FS393" s="66"/>
      <c r="FT393" s="66"/>
      <c r="FU393" s="66"/>
      <c r="FV393" s="66"/>
      <c r="FW393" s="66"/>
      <c r="FX393" s="66"/>
      <c r="FY393" s="66"/>
      <c r="FZ393" s="66"/>
      <c r="GA393" s="66"/>
      <c r="GB393" s="66"/>
      <c r="GC393" s="66"/>
      <c r="GD393" s="66"/>
      <c r="GE393" s="66"/>
      <c r="GF393" s="66"/>
      <c r="GG393" s="66"/>
      <c r="GH393" s="66"/>
      <c r="GI393" s="66"/>
      <c r="GJ393" s="66"/>
      <c r="GK393" s="66"/>
      <c r="GL393" s="66"/>
      <c r="GM393" s="66"/>
      <c r="GN393" s="66"/>
      <c r="GO393" s="66"/>
      <c r="GP393" s="66"/>
      <c r="GQ393" s="66"/>
      <c r="GR393" s="66"/>
      <c r="GS393" s="66"/>
      <c r="GT393" s="66"/>
      <c r="GU393" s="66"/>
      <c r="GV393" s="66"/>
      <c r="GW393" s="66"/>
      <c r="GX393" s="66"/>
      <c r="GY393" s="66"/>
      <c r="GZ393" s="66"/>
      <c r="HA393" s="66"/>
      <c r="HB393" s="66"/>
      <c r="HC393" s="66"/>
      <c r="HD393" s="66"/>
      <c r="HE393" s="66"/>
      <c r="HF393" s="66"/>
      <c r="HG393" s="66"/>
      <c r="HH393" s="66"/>
      <c r="HI393" s="66"/>
      <c r="HJ393" s="66"/>
      <c r="HK393" s="66"/>
      <c r="HL393" s="66"/>
      <c r="HM393" s="66"/>
      <c r="HN393" s="66"/>
      <c r="HO393" s="66"/>
      <c r="HP393" s="66"/>
      <c r="HQ393" s="66"/>
      <c r="HR393" s="66"/>
      <c r="HS393" s="66"/>
      <c r="HT393" s="66"/>
      <c r="HU393" s="66"/>
      <c r="HV393" s="66"/>
      <c r="HW393" s="66"/>
      <c r="HX393" s="66"/>
      <c r="HY393" s="66"/>
      <c r="HZ393" s="66"/>
      <c r="IA393" s="66"/>
      <c r="IB393" s="66"/>
      <c r="IC393" s="66"/>
      <c r="ID393" s="66"/>
      <c r="IE393" s="66"/>
      <c r="IF393" s="66"/>
      <c r="IG393" s="66"/>
      <c r="IH393" s="66"/>
      <c r="II393" s="66"/>
      <c r="IJ393" s="66"/>
      <c r="IK393" s="66"/>
      <c r="IL393" s="66"/>
      <c r="IM393" s="66"/>
      <c r="IN393" s="66"/>
      <c r="IO393" s="66"/>
      <c r="IP393" s="66"/>
      <c r="IQ393" s="66"/>
      <c r="IR393" s="66"/>
      <c r="IS393" s="66"/>
      <c r="IT393" s="66"/>
      <c r="IU393" s="66"/>
    </row>
    <row r="394" spans="1:255" s="52" customFormat="1" ht="13.5" thickBot="1" x14ac:dyDescent="0.35">
      <c r="A394" s="72"/>
      <c r="B394" s="43"/>
      <c r="C394" s="60"/>
      <c r="D394" s="67"/>
      <c r="E394" s="68"/>
      <c r="F394" s="204"/>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c r="AP394" s="66"/>
      <c r="AQ394" s="66"/>
      <c r="AR394" s="66"/>
      <c r="AS394" s="66"/>
      <c r="AT394" s="66"/>
      <c r="AU394" s="66"/>
      <c r="AV394" s="66"/>
      <c r="AW394" s="66"/>
      <c r="AX394" s="66"/>
      <c r="AY394" s="66"/>
      <c r="AZ394" s="66"/>
      <c r="BA394" s="66"/>
      <c r="BB394" s="66"/>
      <c r="BC394" s="66"/>
      <c r="BD394" s="66"/>
      <c r="BE394" s="66"/>
      <c r="BF394" s="66"/>
      <c r="BG394" s="66"/>
      <c r="BH394" s="66"/>
      <c r="BI394" s="66"/>
      <c r="BJ394" s="66"/>
      <c r="BK394" s="66"/>
      <c r="BL394" s="66"/>
      <c r="BM394" s="66"/>
      <c r="BN394" s="66"/>
      <c r="BO394" s="66"/>
      <c r="BP394" s="66"/>
      <c r="BQ394" s="66"/>
      <c r="BR394" s="66"/>
      <c r="BS394" s="66"/>
      <c r="BT394" s="66"/>
      <c r="BU394" s="66"/>
      <c r="BV394" s="66"/>
      <c r="BW394" s="66"/>
      <c r="BX394" s="66"/>
      <c r="BY394" s="66"/>
      <c r="BZ394" s="66"/>
      <c r="CA394" s="66"/>
      <c r="CB394" s="66"/>
      <c r="CC394" s="66"/>
      <c r="CD394" s="66"/>
      <c r="CE394" s="66"/>
      <c r="CF394" s="66"/>
      <c r="CG394" s="66"/>
      <c r="CH394" s="66"/>
      <c r="CI394" s="66"/>
      <c r="CJ394" s="66"/>
      <c r="CK394" s="66"/>
      <c r="CL394" s="66"/>
      <c r="CM394" s="66"/>
      <c r="CN394" s="66"/>
      <c r="CO394" s="66"/>
      <c r="CP394" s="66"/>
      <c r="CQ394" s="66"/>
      <c r="CR394" s="66"/>
      <c r="CS394" s="66"/>
      <c r="CT394" s="66"/>
      <c r="CU394" s="66"/>
      <c r="CV394" s="66"/>
      <c r="CW394" s="66"/>
      <c r="CX394" s="66"/>
      <c r="CY394" s="66"/>
      <c r="CZ394" s="66"/>
      <c r="DA394" s="66"/>
      <c r="DB394" s="66"/>
      <c r="DC394" s="66"/>
      <c r="DD394" s="66"/>
      <c r="DE394" s="66"/>
      <c r="DF394" s="66"/>
      <c r="DG394" s="66"/>
      <c r="DH394" s="66"/>
      <c r="DI394" s="66"/>
      <c r="DJ394" s="66"/>
      <c r="DK394" s="66"/>
      <c r="DL394" s="66"/>
      <c r="DM394" s="66"/>
      <c r="DN394" s="66"/>
      <c r="DO394" s="66"/>
      <c r="DP394" s="66"/>
      <c r="DQ394" s="66"/>
      <c r="DR394" s="66"/>
      <c r="DS394" s="66"/>
      <c r="DT394" s="66"/>
      <c r="DU394" s="66"/>
      <c r="DV394" s="66"/>
      <c r="DW394" s="66"/>
      <c r="DX394" s="66"/>
      <c r="DY394" s="66"/>
      <c r="DZ394" s="66"/>
      <c r="EA394" s="66"/>
      <c r="EB394" s="66"/>
      <c r="EC394" s="66"/>
      <c r="ED394" s="66"/>
      <c r="EE394" s="66"/>
      <c r="EF394" s="66"/>
      <c r="EG394" s="66"/>
      <c r="EH394" s="66"/>
      <c r="EI394" s="66"/>
      <c r="EJ394" s="66"/>
      <c r="EK394" s="66"/>
      <c r="EL394" s="66"/>
      <c r="EM394" s="66"/>
      <c r="EN394" s="66"/>
      <c r="EO394" s="66"/>
      <c r="EP394" s="66"/>
      <c r="EQ394" s="66"/>
      <c r="ER394" s="66"/>
      <c r="ES394" s="66"/>
      <c r="ET394" s="66"/>
      <c r="EU394" s="66"/>
      <c r="EV394" s="66"/>
      <c r="EW394" s="66"/>
      <c r="EX394" s="66"/>
      <c r="EY394" s="66"/>
      <c r="EZ394" s="66"/>
      <c r="FA394" s="66"/>
      <c r="FB394" s="66"/>
      <c r="FC394" s="66"/>
      <c r="FD394" s="66"/>
      <c r="FE394" s="66"/>
      <c r="FF394" s="66"/>
      <c r="FG394" s="66"/>
      <c r="FH394" s="66"/>
      <c r="FI394" s="66"/>
      <c r="FJ394" s="66"/>
      <c r="FK394" s="66"/>
      <c r="FL394" s="66"/>
      <c r="FM394" s="66"/>
      <c r="FN394" s="66"/>
      <c r="FO394" s="66"/>
      <c r="FP394" s="66"/>
      <c r="FQ394" s="66"/>
      <c r="FR394" s="66"/>
      <c r="FS394" s="66"/>
      <c r="FT394" s="66"/>
      <c r="FU394" s="66"/>
      <c r="FV394" s="66"/>
      <c r="FW394" s="66"/>
      <c r="FX394" s="66"/>
      <c r="FY394" s="66"/>
      <c r="FZ394" s="66"/>
      <c r="GA394" s="66"/>
      <c r="GB394" s="66"/>
      <c r="GC394" s="66"/>
      <c r="GD394" s="66"/>
      <c r="GE394" s="66"/>
      <c r="GF394" s="66"/>
      <c r="GG394" s="66"/>
      <c r="GH394" s="66"/>
      <c r="GI394" s="66"/>
      <c r="GJ394" s="66"/>
      <c r="GK394" s="66"/>
      <c r="GL394" s="66"/>
      <c r="GM394" s="66"/>
      <c r="GN394" s="66"/>
      <c r="GO394" s="66"/>
      <c r="GP394" s="66"/>
      <c r="GQ394" s="66"/>
      <c r="GR394" s="66"/>
      <c r="GS394" s="66"/>
      <c r="GT394" s="66"/>
      <c r="GU394" s="66"/>
      <c r="GV394" s="66"/>
      <c r="GW394" s="66"/>
      <c r="GX394" s="66"/>
      <c r="GY394" s="66"/>
      <c r="GZ394" s="66"/>
      <c r="HA394" s="66"/>
      <c r="HB394" s="66"/>
      <c r="HC394" s="66"/>
      <c r="HD394" s="66"/>
      <c r="HE394" s="66"/>
      <c r="HF394" s="66"/>
      <c r="HG394" s="66"/>
      <c r="HH394" s="66"/>
      <c r="HI394" s="66"/>
      <c r="HJ394" s="66"/>
      <c r="HK394" s="66"/>
      <c r="HL394" s="66"/>
      <c r="HM394" s="66"/>
      <c r="HN394" s="66"/>
      <c r="HO394" s="66"/>
      <c r="HP394" s="66"/>
      <c r="HQ394" s="66"/>
      <c r="HR394" s="66"/>
      <c r="HS394" s="66"/>
      <c r="HT394" s="66"/>
      <c r="HU394" s="66"/>
      <c r="HV394" s="66"/>
      <c r="HW394" s="66"/>
      <c r="HX394" s="66"/>
      <c r="HY394" s="66"/>
      <c r="HZ394" s="66"/>
      <c r="IA394" s="66"/>
      <c r="IB394" s="66"/>
      <c r="IC394" s="66"/>
      <c r="ID394" s="66"/>
      <c r="IE394" s="66"/>
      <c r="IF394" s="66"/>
      <c r="IG394" s="66"/>
      <c r="IH394" s="66"/>
      <c r="II394" s="66"/>
      <c r="IJ394" s="66"/>
      <c r="IK394" s="66"/>
      <c r="IL394" s="66"/>
      <c r="IM394" s="66"/>
      <c r="IN394" s="66"/>
      <c r="IO394" s="66"/>
      <c r="IP394" s="66"/>
      <c r="IQ394" s="66"/>
      <c r="IR394" s="66"/>
      <c r="IS394" s="66"/>
      <c r="IT394" s="66"/>
      <c r="IU394" s="66"/>
    </row>
    <row r="395" spans="1:255" s="151" customFormat="1" ht="13.5" customHeight="1" x14ac:dyDescent="0.25">
      <c r="A395" s="1117" t="s">
        <v>996</v>
      </c>
      <c r="B395" s="1118"/>
      <c r="C395" s="1119"/>
      <c r="D395" s="719" t="s">
        <v>6</v>
      </c>
      <c r="E395" s="927">
        <v>1105</v>
      </c>
      <c r="F395" s="628"/>
      <c r="G395" s="629"/>
      <c r="H395" s="152"/>
      <c r="I395" s="152"/>
      <c r="J395" s="152"/>
      <c r="K395" s="152"/>
    </row>
    <row r="396" spans="1:255" s="151" customFormat="1" ht="13.5" customHeight="1" thickBot="1" x14ac:dyDescent="0.3">
      <c r="A396" s="1120"/>
      <c r="B396" s="1121"/>
      <c r="C396" s="1122"/>
      <c r="D396" s="729"/>
      <c r="E396" s="730"/>
      <c r="F396" s="9"/>
      <c r="G396" s="152"/>
      <c r="H396" s="152"/>
      <c r="I396" s="152"/>
      <c r="J396" s="152"/>
      <c r="K396" s="152"/>
    </row>
    <row r="397" spans="1:255" s="151" customFormat="1" ht="13.5" customHeight="1" x14ac:dyDescent="0.25">
      <c r="A397" s="1106" t="s">
        <v>997</v>
      </c>
      <c r="B397" s="1107"/>
      <c r="C397" s="1107"/>
      <c r="D397" s="1107"/>
      <c r="E397" s="1108"/>
      <c r="F397" s="9"/>
      <c r="G397" s="152"/>
      <c r="H397" s="152"/>
      <c r="I397" s="152"/>
      <c r="J397" s="152"/>
      <c r="K397" s="152"/>
    </row>
    <row r="398" spans="1:255" s="151" customFormat="1" ht="13.5" customHeight="1" x14ac:dyDescent="0.25">
      <c r="A398" s="1136"/>
      <c r="B398" s="1137"/>
      <c r="C398" s="1137"/>
      <c r="D398" s="1137"/>
      <c r="E398" s="1138"/>
      <c r="F398" s="9"/>
      <c r="G398" s="152"/>
      <c r="H398" s="152"/>
      <c r="I398" s="152"/>
      <c r="J398" s="152"/>
      <c r="K398" s="152"/>
    </row>
    <row r="399" spans="1:255" s="151" customFormat="1" ht="13.5" customHeight="1" x14ac:dyDescent="0.25">
      <c r="A399" s="1136"/>
      <c r="B399" s="1137"/>
      <c r="C399" s="1137"/>
      <c r="D399" s="1137"/>
      <c r="E399" s="1138"/>
      <c r="F399" s="9"/>
      <c r="G399" s="152"/>
      <c r="H399" s="152"/>
      <c r="I399" s="152"/>
      <c r="J399" s="152"/>
      <c r="K399" s="152"/>
    </row>
    <row r="400" spans="1:255" s="151" customFormat="1" ht="13.5" customHeight="1" x14ac:dyDescent="0.25">
      <c r="A400" s="1136"/>
      <c r="B400" s="1137"/>
      <c r="C400" s="1137"/>
      <c r="D400" s="1137"/>
      <c r="E400" s="1138"/>
      <c r="F400" s="9"/>
      <c r="G400" s="152"/>
      <c r="H400" s="152"/>
      <c r="I400" s="152"/>
      <c r="J400" s="152"/>
      <c r="K400" s="152"/>
    </row>
    <row r="401" spans="1:255" s="151" customFormat="1" ht="13.5" customHeight="1" x14ac:dyDescent="0.25">
      <c r="A401" s="1136"/>
      <c r="B401" s="1137"/>
      <c r="C401" s="1137"/>
      <c r="D401" s="1137"/>
      <c r="E401" s="1138"/>
      <c r="F401" s="9"/>
      <c r="G401" s="152"/>
      <c r="H401" s="152"/>
      <c r="I401" s="152"/>
      <c r="J401" s="152"/>
      <c r="K401" s="152"/>
    </row>
    <row r="402" spans="1:255" s="151" customFormat="1" ht="13.5" customHeight="1" x14ac:dyDescent="0.25">
      <c r="A402" s="1136"/>
      <c r="B402" s="1137"/>
      <c r="C402" s="1137"/>
      <c r="D402" s="1137"/>
      <c r="E402" s="1138"/>
      <c r="F402" s="9"/>
      <c r="G402" s="152"/>
      <c r="H402" s="152"/>
      <c r="I402" s="152"/>
      <c r="J402" s="152"/>
      <c r="K402" s="152"/>
    </row>
    <row r="403" spans="1:255" s="151" customFormat="1" ht="13.5" customHeight="1" x14ac:dyDescent="0.25">
      <c r="A403" s="1136"/>
      <c r="B403" s="1137"/>
      <c r="C403" s="1137"/>
      <c r="D403" s="1137"/>
      <c r="E403" s="1138"/>
      <c r="F403" s="9"/>
      <c r="G403" s="152"/>
      <c r="H403" s="152"/>
      <c r="I403" s="152"/>
      <c r="J403" s="152"/>
      <c r="K403" s="152"/>
    </row>
    <row r="404" spans="1:255" s="151" customFormat="1" ht="13.5" customHeight="1" thickBot="1" x14ac:dyDescent="0.3">
      <c r="A404" s="1136"/>
      <c r="B404" s="1137"/>
      <c r="C404" s="1137"/>
      <c r="D404" s="1137"/>
      <c r="E404" s="1138"/>
      <c r="F404" s="9"/>
      <c r="G404" s="152"/>
      <c r="H404" s="152"/>
      <c r="I404" s="152"/>
      <c r="J404" s="152"/>
      <c r="K404" s="152"/>
    </row>
    <row r="405" spans="1:255" s="151" customFormat="1" ht="13.5" customHeight="1" x14ac:dyDescent="0.25">
      <c r="A405" s="119" t="s">
        <v>1029</v>
      </c>
      <c r="B405" s="174"/>
      <c r="C405" s="173"/>
      <c r="D405" s="172"/>
      <c r="E405" s="171"/>
      <c r="F405" s="9"/>
      <c r="G405" s="152"/>
      <c r="H405" s="152"/>
      <c r="I405" s="152"/>
      <c r="J405" s="152"/>
      <c r="K405" s="152"/>
    </row>
    <row r="406" spans="1:255" s="151" customFormat="1" ht="13.5" customHeight="1" x14ac:dyDescent="0.25">
      <c r="A406" s="58" t="s">
        <v>201</v>
      </c>
      <c r="B406" s="12"/>
      <c r="C406" s="143"/>
      <c r="D406" s="142"/>
      <c r="E406" s="141"/>
      <c r="F406" s="9"/>
      <c r="G406" s="152"/>
      <c r="H406" s="152"/>
      <c r="I406" s="152"/>
      <c r="J406" s="152"/>
      <c r="K406" s="152"/>
    </row>
    <row r="407" spans="1:255" s="151" customFormat="1" ht="13.5" customHeight="1" x14ac:dyDescent="0.25">
      <c r="A407" s="58" t="s">
        <v>1040</v>
      </c>
      <c r="B407" s="12"/>
      <c r="C407" s="143"/>
      <c r="D407" s="142"/>
      <c r="E407" s="141"/>
      <c r="F407" s="9"/>
      <c r="G407" s="152"/>
      <c r="H407" s="152"/>
      <c r="I407" s="152"/>
      <c r="J407" s="152"/>
      <c r="K407" s="152"/>
    </row>
    <row r="408" spans="1:255" s="151" customFormat="1" ht="13.5" customHeight="1" thickBot="1" x14ac:dyDescent="0.3">
      <c r="A408" s="76" t="s">
        <v>11</v>
      </c>
      <c r="B408" s="140"/>
      <c r="C408" s="139"/>
      <c r="D408" s="138"/>
      <c r="E408" s="137"/>
      <c r="F408" s="9"/>
      <c r="G408" s="152"/>
      <c r="H408" s="152"/>
      <c r="I408" s="152"/>
      <c r="J408" s="152"/>
      <c r="K408" s="152"/>
    </row>
    <row r="409" spans="1:255" s="151" customFormat="1" ht="13.5" customHeight="1" thickBot="1" x14ac:dyDescent="0.3">
      <c r="A409" s="762" t="s">
        <v>0</v>
      </c>
      <c r="B409" s="763"/>
      <c r="C409" s="764" t="s">
        <v>200</v>
      </c>
      <c r="D409" s="766" t="s">
        <v>200</v>
      </c>
      <c r="E409" s="772">
        <f>(C411+C429+C453+C448)</f>
        <v>5867560</v>
      </c>
      <c r="F409" s="9"/>
      <c r="G409" s="152"/>
      <c r="H409" s="152"/>
      <c r="I409" s="152"/>
      <c r="J409" s="152"/>
      <c r="K409" s="152"/>
    </row>
    <row r="410" spans="1:255" s="151" customFormat="1" ht="13.5" customHeight="1" thickBot="1" x14ac:dyDescent="0.3">
      <c r="A410" s="72"/>
      <c r="B410" s="43"/>
      <c r="C410" s="23"/>
      <c r="D410" s="23"/>
      <c r="E410" s="23"/>
      <c r="F410" s="9"/>
      <c r="G410" s="152"/>
      <c r="H410" s="152"/>
      <c r="I410" s="152"/>
      <c r="J410" s="152"/>
      <c r="K410" s="152"/>
    </row>
    <row r="411" spans="1:255" s="151" customFormat="1" ht="13.5" customHeight="1" thickBot="1" x14ac:dyDescent="0.3">
      <c r="A411" s="1104" t="s">
        <v>2</v>
      </c>
      <c r="B411" s="1105"/>
      <c r="C411" s="667">
        <f>(C412+C414+C416+C418+C423+C425)</f>
        <v>563020</v>
      </c>
      <c r="D411" s="23"/>
      <c r="E411" s="23"/>
      <c r="F411" s="9"/>
      <c r="G411" s="152"/>
      <c r="H411" s="152"/>
      <c r="I411" s="152"/>
      <c r="J411" s="152"/>
      <c r="K411" s="152"/>
    </row>
    <row r="412" spans="1:255" s="239" customFormat="1" x14ac:dyDescent="0.3">
      <c r="A412" s="11" t="s">
        <v>103</v>
      </c>
      <c r="B412" s="298" t="s">
        <v>104</v>
      </c>
      <c r="C412" s="563">
        <f>SUM(C413)</f>
        <v>154880</v>
      </c>
      <c r="D412" s="95"/>
      <c r="E412" s="238"/>
      <c r="F412" s="99"/>
    </row>
    <row r="413" spans="1:255" s="66" customFormat="1" x14ac:dyDescent="0.3">
      <c r="A413" s="12" t="s">
        <v>46</v>
      </c>
      <c r="B413" s="43" t="s">
        <v>161</v>
      </c>
      <c r="C413" s="60">
        <v>154880</v>
      </c>
      <c r="D413" s="70"/>
      <c r="E413" s="68"/>
      <c r="F413" s="204"/>
    </row>
    <row r="414" spans="1:255" s="66" customFormat="1" x14ac:dyDescent="0.3">
      <c r="A414" s="11" t="s">
        <v>105</v>
      </c>
      <c r="B414" s="556" t="s">
        <v>106</v>
      </c>
      <c r="C414" s="64">
        <f>SUM(C415:C415)</f>
        <v>109440</v>
      </c>
      <c r="D414" s="240"/>
      <c r="F414" s="204"/>
    </row>
    <row r="415" spans="1:255" s="66" customFormat="1" x14ac:dyDescent="0.3">
      <c r="A415" s="12" t="s">
        <v>86</v>
      </c>
      <c r="B415" s="43" t="s">
        <v>66</v>
      </c>
      <c r="C415" s="24">
        <v>109440</v>
      </c>
      <c r="F415" s="96"/>
      <c r="G415" s="31"/>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3"/>
      <c r="AL415" s="43"/>
      <c r="AM415" s="43"/>
      <c r="AN415" s="43"/>
      <c r="AO415" s="43"/>
      <c r="AP415" s="43"/>
      <c r="AQ415" s="43"/>
      <c r="AR415" s="43"/>
      <c r="AS415" s="43"/>
      <c r="AT415" s="43"/>
      <c r="AU415" s="43"/>
      <c r="AV415" s="43"/>
      <c r="AW415" s="43"/>
      <c r="AX415" s="43"/>
      <c r="AY415" s="43"/>
      <c r="AZ415" s="43"/>
      <c r="BA415" s="43"/>
      <c r="BB415" s="43"/>
      <c r="BC415" s="43"/>
      <c r="BD415" s="43"/>
      <c r="BE415" s="43"/>
      <c r="BF415" s="43"/>
      <c r="BG415" s="43"/>
      <c r="BH415" s="43"/>
      <c r="BI415" s="43"/>
      <c r="BJ415" s="43"/>
      <c r="BK415" s="43"/>
      <c r="BL415" s="43"/>
      <c r="BM415" s="43"/>
      <c r="BN415" s="43"/>
      <c r="BO415" s="43"/>
      <c r="BP415" s="43"/>
      <c r="BQ415" s="43"/>
      <c r="BR415" s="43"/>
      <c r="BS415" s="43"/>
      <c r="BT415" s="43"/>
      <c r="BU415" s="43"/>
      <c r="BV415" s="43"/>
      <c r="BW415" s="43"/>
      <c r="BX415" s="43"/>
      <c r="BY415" s="43"/>
      <c r="BZ415" s="43"/>
      <c r="CA415" s="43"/>
      <c r="CB415" s="43"/>
      <c r="CC415" s="43"/>
      <c r="CD415" s="43"/>
      <c r="CE415" s="43"/>
      <c r="CF415" s="43"/>
      <c r="CG415" s="43"/>
      <c r="CH415" s="43"/>
      <c r="CI415" s="43"/>
      <c r="CJ415" s="43"/>
      <c r="CK415" s="43"/>
      <c r="CL415" s="43"/>
      <c r="CM415" s="43"/>
      <c r="CN415" s="43"/>
      <c r="CO415" s="43"/>
      <c r="CP415" s="43"/>
      <c r="CQ415" s="43"/>
      <c r="CR415" s="43"/>
      <c r="CS415" s="43"/>
      <c r="CT415" s="43"/>
      <c r="CU415" s="43"/>
      <c r="CV415" s="43"/>
      <c r="CW415" s="43"/>
      <c r="CX415" s="43"/>
      <c r="CY415" s="43"/>
      <c r="CZ415" s="43"/>
      <c r="DA415" s="43"/>
      <c r="DB415" s="43"/>
      <c r="DC415" s="43"/>
      <c r="DD415" s="43"/>
      <c r="DE415" s="43"/>
      <c r="DF415" s="43"/>
      <c r="DG415" s="43"/>
      <c r="DH415" s="43"/>
      <c r="DI415" s="43"/>
      <c r="DJ415" s="43"/>
      <c r="DK415" s="43"/>
      <c r="DL415" s="43"/>
      <c r="DM415" s="43"/>
      <c r="DN415" s="43"/>
      <c r="DO415" s="43"/>
      <c r="DP415" s="43"/>
      <c r="DQ415" s="43"/>
      <c r="DR415" s="43"/>
      <c r="DS415" s="43"/>
      <c r="DT415" s="43"/>
      <c r="DU415" s="43"/>
      <c r="DV415" s="43"/>
      <c r="DW415" s="43"/>
      <c r="DX415" s="43"/>
      <c r="DY415" s="43"/>
      <c r="DZ415" s="43"/>
      <c r="EA415" s="43"/>
      <c r="EB415" s="43"/>
      <c r="EC415" s="43"/>
      <c r="ED415" s="43"/>
      <c r="EE415" s="43"/>
      <c r="EF415" s="43"/>
      <c r="EG415" s="43"/>
      <c r="EH415" s="43"/>
      <c r="EI415" s="43"/>
      <c r="EJ415" s="43"/>
      <c r="EK415" s="43"/>
      <c r="EL415" s="43"/>
      <c r="EM415" s="43"/>
      <c r="EN415" s="43"/>
      <c r="EO415" s="43"/>
      <c r="EP415" s="43"/>
      <c r="EQ415" s="43"/>
      <c r="ER415" s="43"/>
      <c r="ES415" s="43"/>
      <c r="ET415" s="43"/>
      <c r="EU415" s="43"/>
      <c r="EV415" s="43"/>
      <c r="EW415" s="43"/>
      <c r="EX415" s="43"/>
      <c r="EY415" s="43"/>
      <c r="EZ415" s="43"/>
      <c r="FA415" s="43"/>
      <c r="FB415" s="43"/>
      <c r="FC415" s="43"/>
      <c r="FD415" s="43"/>
      <c r="FE415" s="43"/>
      <c r="FF415" s="43"/>
      <c r="FG415" s="43"/>
      <c r="FH415" s="43"/>
      <c r="FI415" s="43"/>
      <c r="FJ415" s="43"/>
      <c r="FK415" s="43"/>
      <c r="FL415" s="43"/>
      <c r="FM415" s="43"/>
      <c r="FN415" s="43"/>
      <c r="FO415" s="43"/>
      <c r="FP415" s="43"/>
      <c r="FQ415" s="43"/>
      <c r="FR415" s="43"/>
      <c r="FS415" s="43"/>
      <c r="FT415" s="43"/>
      <c r="FU415" s="43"/>
      <c r="FV415" s="43"/>
      <c r="FW415" s="43"/>
      <c r="FX415" s="43"/>
      <c r="FY415" s="43"/>
      <c r="FZ415" s="43"/>
      <c r="GA415" s="43"/>
      <c r="GB415" s="43"/>
      <c r="GC415" s="43"/>
      <c r="GD415" s="43"/>
      <c r="GE415" s="43"/>
      <c r="GF415" s="43"/>
      <c r="GG415" s="43"/>
      <c r="GH415" s="43"/>
      <c r="GI415" s="43"/>
      <c r="GJ415" s="43"/>
      <c r="GK415" s="43"/>
      <c r="GL415" s="43"/>
      <c r="GM415" s="43"/>
      <c r="GN415" s="43"/>
      <c r="GO415" s="43"/>
      <c r="GP415" s="43"/>
      <c r="GQ415" s="43"/>
      <c r="GR415" s="43"/>
      <c r="GS415" s="43"/>
      <c r="GT415" s="43"/>
      <c r="GU415" s="43"/>
      <c r="GV415" s="43"/>
      <c r="GW415" s="43"/>
      <c r="GX415" s="43"/>
      <c r="GY415" s="43"/>
      <c r="GZ415" s="43"/>
      <c r="HA415" s="43"/>
      <c r="HB415" s="43"/>
      <c r="HC415" s="43"/>
      <c r="HD415" s="43"/>
      <c r="HE415" s="43"/>
      <c r="HF415" s="43"/>
      <c r="HG415" s="43"/>
      <c r="HH415" s="43"/>
      <c r="HI415" s="43"/>
      <c r="HJ415" s="43"/>
      <c r="HK415" s="43"/>
      <c r="HL415" s="43"/>
      <c r="HM415" s="43"/>
      <c r="HN415" s="43"/>
      <c r="HO415" s="43"/>
      <c r="HP415" s="43"/>
      <c r="HQ415" s="43"/>
      <c r="HR415" s="43"/>
      <c r="HS415" s="43"/>
      <c r="HT415" s="43"/>
      <c r="HU415" s="43"/>
      <c r="HV415" s="43"/>
      <c r="HW415" s="43"/>
      <c r="HX415" s="43"/>
      <c r="HY415" s="43"/>
      <c r="HZ415" s="43"/>
      <c r="IA415" s="43"/>
      <c r="IB415" s="43"/>
      <c r="IC415" s="43"/>
      <c r="ID415" s="43"/>
      <c r="IE415" s="43"/>
      <c r="IF415" s="43"/>
      <c r="IG415" s="43"/>
      <c r="IH415" s="43"/>
      <c r="II415" s="43"/>
      <c r="IJ415" s="43"/>
      <c r="IK415" s="43"/>
      <c r="IL415" s="43"/>
      <c r="IM415" s="43"/>
      <c r="IN415" s="43"/>
      <c r="IO415" s="43"/>
      <c r="IP415" s="43"/>
      <c r="IQ415" s="43"/>
      <c r="IR415" s="43"/>
      <c r="IS415" s="43"/>
      <c r="IT415" s="43"/>
      <c r="IU415" s="43"/>
    </row>
    <row r="416" spans="1:255" s="151" customFormat="1" ht="13.5" customHeight="1" x14ac:dyDescent="0.25">
      <c r="A416" s="11" t="s">
        <v>107</v>
      </c>
      <c r="B416" s="556" t="s">
        <v>108</v>
      </c>
      <c r="C416" s="64">
        <f>SUM(C417)</f>
        <v>52800</v>
      </c>
      <c r="D416" s="23"/>
      <c r="E416" s="23"/>
      <c r="F416" s="9"/>
      <c r="G416" s="152"/>
      <c r="H416" s="152"/>
      <c r="I416" s="152"/>
      <c r="J416" s="152"/>
      <c r="K416" s="152"/>
    </row>
    <row r="417" spans="1:255" s="151" customFormat="1" ht="13.5" customHeight="1" x14ac:dyDescent="0.25">
      <c r="A417" s="12" t="s">
        <v>47</v>
      </c>
      <c r="B417" s="24" t="s">
        <v>48</v>
      </c>
      <c r="C417" s="24">
        <v>52800</v>
      </c>
      <c r="D417" s="23"/>
      <c r="E417" s="23"/>
      <c r="F417" s="9"/>
      <c r="G417" s="152"/>
      <c r="H417" s="152"/>
      <c r="I417" s="152"/>
      <c r="J417" s="152"/>
      <c r="K417" s="152"/>
    </row>
    <row r="418" spans="1:255" s="43" customFormat="1" ht="13.5" customHeight="1" x14ac:dyDescent="0.3">
      <c r="A418" s="11" t="s">
        <v>119</v>
      </c>
      <c r="B418" s="556" t="s">
        <v>109</v>
      </c>
      <c r="C418" s="64">
        <f>SUM(C419:C422)</f>
        <v>87000</v>
      </c>
      <c r="F418" s="67"/>
      <c r="G418" s="68"/>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c r="AP418" s="66"/>
      <c r="AQ418" s="66"/>
      <c r="AR418" s="66"/>
      <c r="AS418" s="66"/>
      <c r="AT418" s="66"/>
      <c r="AU418" s="66"/>
      <c r="AV418" s="66"/>
      <c r="AW418" s="66"/>
      <c r="AX418" s="66"/>
      <c r="AY418" s="66"/>
      <c r="AZ418" s="66"/>
      <c r="BA418" s="66"/>
      <c r="BB418" s="66"/>
      <c r="BC418" s="66"/>
      <c r="BD418" s="66"/>
      <c r="BE418" s="66"/>
      <c r="BF418" s="66"/>
      <c r="BG418" s="66"/>
      <c r="BH418" s="66"/>
      <c r="BI418" s="66"/>
      <c r="BJ418" s="66"/>
      <c r="BK418" s="66"/>
      <c r="BL418" s="66"/>
      <c r="BM418" s="66"/>
      <c r="BN418" s="66"/>
      <c r="BO418" s="66"/>
      <c r="BP418" s="66"/>
      <c r="BQ418" s="66"/>
      <c r="BR418" s="66"/>
      <c r="BS418" s="66"/>
      <c r="BT418" s="66"/>
      <c r="BU418" s="66"/>
      <c r="BV418" s="66"/>
      <c r="BW418" s="66"/>
      <c r="BX418" s="66"/>
      <c r="BY418" s="66"/>
      <c r="BZ418" s="66"/>
      <c r="CA418" s="66"/>
      <c r="CB418" s="66"/>
      <c r="CC418" s="66"/>
      <c r="CD418" s="66"/>
      <c r="CE418" s="66"/>
      <c r="CF418" s="66"/>
      <c r="CG418" s="66"/>
      <c r="CH418" s="66"/>
      <c r="CI418" s="66"/>
      <c r="CJ418" s="66"/>
      <c r="CK418" s="66"/>
      <c r="CL418" s="66"/>
      <c r="CM418" s="66"/>
      <c r="CN418" s="66"/>
      <c r="CO418" s="66"/>
      <c r="CP418" s="66"/>
      <c r="CQ418" s="66"/>
      <c r="CR418" s="66"/>
      <c r="CS418" s="66"/>
      <c r="CT418" s="66"/>
      <c r="CU418" s="66"/>
      <c r="CV418" s="66"/>
      <c r="CW418" s="66"/>
      <c r="CX418" s="66"/>
      <c r="CY418" s="66"/>
      <c r="CZ418" s="66"/>
      <c r="DA418" s="66"/>
      <c r="DB418" s="66"/>
      <c r="DC418" s="66"/>
      <c r="DD418" s="66"/>
      <c r="DE418" s="66"/>
      <c r="DF418" s="66"/>
      <c r="DG418" s="66"/>
      <c r="DH418" s="66"/>
      <c r="DI418" s="66"/>
      <c r="DJ418" s="66"/>
      <c r="DK418" s="66"/>
      <c r="DL418" s="66"/>
      <c r="DM418" s="66"/>
      <c r="DN418" s="66"/>
      <c r="DO418" s="66"/>
      <c r="DP418" s="66"/>
      <c r="DQ418" s="66"/>
      <c r="DR418" s="66"/>
      <c r="DS418" s="66"/>
      <c r="DT418" s="66"/>
      <c r="DU418" s="66"/>
      <c r="DV418" s="66"/>
      <c r="DW418" s="66"/>
      <c r="DX418" s="66"/>
      <c r="DY418" s="66"/>
      <c r="DZ418" s="66"/>
      <c r="EA418" s="66"/>
      <c r="EB418" s="66"/>
      <c r="EC418" s="66"/>
      <c r="ED418" s="66"/>
      <c r="EE418" s="66"/>
      <c r="EF418" s="66"/>
      <c r="EG418" s="66"/>
      <c r="EH418" s="66"/>
      <c r="EI418" s="66"/>
      <c r="EJ418" s="66"/>
      <c r="EK418" s="66"/>
      <c r="EL418" s="66"/>
      <c r="EM418" s="66"/>
      <c r="EN418" s="66"/>
      <c r="EO418" s="66"/>
      <c r="EP418" s="66"/>
      <c r="EQ418" s="66"/>
      <c r="ER418" s="66"/>
      <c r="ES418" s="66"/>
      <c r="ET418" s="66"/>
      <c r="EU418" s="66"/>
      <c r="EV418" s="66"/>
      <c r="EW418" s="66"/>
      <c r="EX418" s="66"/>
      <c r="EY418" s="66"/>
      <c r="EZ418" s="66"/>
      <c r="FA418" s="66"/>
      <c r="FB418" s="66"/>
      <c r="FC418" s="66"/>
      <c r="FD418" s="66"/>
      <c r="FE418" s="66"/>
      <c r="FF418" s="66"/>
      <c r="FG418" s="66"/>
      <c r="FH418" s="66"/>
      <c r="FI418" s="66"/>
      <c r="FJ418" s="66"/>
      <c r="FK418" s="66"/>
      <c r="FL418" s="66"/>
      <c r="FM418" s="66"/>
      <c r="FN418" s="66"/>
      <c r="FO418" s="66"/>
      <c r="FP418" s="66"/>
      <c r="FQ418" s="66"/>
      <c r="FR418" s="66"/>
      <c r="FS418" s="66"/>
      <c r="FT418" s="66"/>
      <c r="FU418" s="66"/>
      <c r="FV418" s="66"/>
      <c r="FW418" s="66"/>
      <c r="FX418" s="66"/>
      <c r="FY418" s="66"/>
      <c r="FZ418" s="66"/>
      <c r="GA418" s="66"/>
      <c r="GB418" s="66"/>
      <c r="GC418" s="66"/>
      <c r="GD418" s="66"/>
      <c r="GE418" s="66"/>
      <c r="GF418" s="66"/>
      <c r="GG418" s="66"/>
      <c r="GH418" s="66"/>
      <c r="GI418" s="66"/>
      <c r="GJ418" s="66"/>
      <c r="GK418" s="66"/>
      <c r="GL418" s="66"/>
      <c r="GM418" s="66"/>
      <c r="GN418" s="66"/>
      <c r="GO418" s="66"/>
      <c r="GP418" s="66"/>
      <c r="GQ418" s="66"/>
      <c r="GR418" s="66"/>
      <c r="GS418" s="66"/>
      <c r="GT418" s="66"/>
      <c r="GU418" s="66"/>
      <c r="GV418" s="66"/>
      <c r="GW418" s="66"/>
      <c r="GX418" s="66"/>
      <c r="GY418" s="66"/>
      <c r="GZ418" s="66"/>
      <c r="HA418" s="66"/>
      <c r="HB418" s="66"/>
      <c r="HC418" s="66"/>
      <c r="HD418" s="66"/>
      <c r="HE418" s="66"/>
      <c r="HF418" s="66"/>
      <c r="HG418" s="66"/>
      <c r="HH418" s="66"/>
      <c r="HI418" s="66"/>
      <c r="HJ418" s="66"/>
      <c r="HK418" s="66"/>
      <c r="HL418" s="66"/>
      <c r="HM418" s="66"/>
      <c r="HN418" s="66"/>
      <c r="HO418" s="66"/>
      <c r="HP418" s="66"/>
      <c r="HQ418" s="66"/>
      <c r="HR418" s="66"/>
      <c r="HS418" s="66"/>
      <c r="HT418" s="66"/>
      <c r="HU418" s="66"/>
      <c r="HV418" s="66"/>
      <c r="HW418" s="66"/>
      <c r="HX418" s="66"/>
      <c r="HY418" s="66"/>
      <c r="HZ418" s="66"/>
      <c r="IA418" s="66"/>
      <c r="IB418" s="66"/>
      <c r="IC418" s="66"/>
      <c r="ID418" s="66"/>
      <c r="IE418" s="66"/>
      <c r="IF418" s="66"/>
      <c r="IG418" s="66"/>
      <c r="IH418" s="66"/>
      <c r="II418" s="66"/>
      <c r="IJ418" s="66"/>
      <c r="IK418" s="66"/>
      <c r="IL418" s="66"/>
      <c r="IM418" s="66"/>
      <c r="IN418" s="66"/>
      <c r="IO418" s="66"/>
      <c r="IP418" s="66"/>
      <c r="IQ418" s="66"/>
      <c r="IR418" s="66"/>
      <c r="IS418" s="66"/>
      <c r="IT418" s="66"/>
      <c r="IU418" s="66"/>
    </row>
    <row r="419" spans="1:255" s="43" customFormat="1" ht="13.5" customHeight="1" x14ac:dyDescent="0.3">
      <c r="A419" s="12" t="s">
        <v>697</v>
      </c>
      <c r="B419" s="43" t="s">
        <v>696</v>
      </c>
      <c r="C419" s="60">
        <v>24000</v>
      </c>
      <c r="F419" s="67"/>
      <c r="G419" s="68"/>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c r="AP419" s="66"/>
      <c r="AQ419" s="66"/>
      <c r="AR419" s="66"/>
      <c r="AS419" s="66"/>
      <c r="AT419" s="66"/>
      <c r="AU419" s="66"/>
      <c r="AV419" s="66"/>
      <c r="AW419" s="66"/>
      <c r="AX419" s="66"/>
      <c r="AY419" s="66"/>
      <c r="AZ419" s="66"/>
      <c r="BA419" s="66"/>
      <c r="BB419" s="66"/>
      <c r="BC419" s="66"/>
      <c r="BD419" s="66"/>
      <c r="BE419" s="66"/>
      <c r="BF419" s="66"/>
      <c r="BG419" s="66"/>
      <c r="BH419" s="66"/>
      <c r="BI419" s="66"/>
      <c r="BJ419" s="66"/>
      <c r="BK419" s="66"/>
      <c r="BL419" s="66"/>
      <c r="BM419" s="66"/>
      <c r="BN419" s="66"/>
      <c r="BO419" s="66"/>
      <c r="BP419" s="66"/>
      <c r="BQ419" s="66"/>
      <c r="BR419" s="66"/>
      <c r="BS419" s="66"/>
      <c r="BT419" s="66"/>
      <c r="BU419" s="66"/>
      <c r="BV419" s="66"/>
      <c r="BW419" s="66"/>
      <c r="BX419" s="66"/>
      <c r="BY419" s="66"/>
      <c r="BZ419" s="66"/>
      <c r="CA419" s="66"/>
      <c r="CB419" s="66"/>
      <c r="CC419" s="66"/>
      <c r="CD419" s="66"/>
      <c r="CE419" s="66"/>
      <c r="CF419" s="66"/>
      <c r="CG419" s="66"/>
      <c r="CH419" s="66"/>
      <c r="CI419" s="66"/>
      <c r="CJ419" s="66"/>
      <c r="CK419" s="66"/>
      <c r="CL419" s="66"/>
      <c r="CM419" s="66"/>
      <c r="CN419" s="66"/>
      <c r="CO419" s="66"/>
      <c r="CP419" s="66"/>
      <c r="CQ419" s="66"/>
      <c r="CR419" s="66"/>
      <c r="CS419" s="66"/>
      <c r="CT419" s="66"/>
      <c r="CU419" s="66"/>
      <c r="CV419" s="66"/>
      <c r="CW419" s="66"/>
      <c r="CX419" s="66"/>
      <c r="CY419" s="66"/>
      <c r="CZ419" s="66"/>
      <c r="DA419" s="66"/>
      <c r="DB419" s="66"/>
      <c r="DC419" s="66"/>
      <c r="DD419" s="66"/>
      <c r="DE419" s="66"/>
      <c r="DF419" s="66"/>
      <c r="DG419" s="66"/>
      <c r="DH419" s="66"/>
      <c r="DI419" s="66"/>
      <c r="DJ419" s="66"/>
      <c r="DK419" s="66"/>
      <c r="DL419" s="66"/>
      <c r="DM419" s="66"/>
      <c r="DN419" s="66"/>
      <c r="DO419" s="66"/>
      <c r="DP419" s="66"/>
      <c r="DQ419" s="66"/>
      <c r="DR419" s="66"/>
      <c r="DS419" s="66"/>
      <c r="DT419" s="66"/>
      <c r="DU419" s="66"/>
      <c r="DV419" s="66"/>
      <c r="DW419" s="66"/>
      <c r="DX419" s="66"/>
      <c r="DY419" s="66"/>
      <c r="DZ419" s="66"/>
      <c r="EA419" s="66"/>
      <c r="EB419" s="66"/>
      <c r="EC419" s="66"/>
      <c r="ED419" s="66"/>
      <c r="EE419" s="66"/>
      <c r="EF419" s="66"/>
      <c r="EG419" s="66"/>
      <c r="EH419" s="66"/>
      <c r="EI419" s="66"/>
      <c r="EJ419" s="66"/>
      <c r="EK419" s="66"/>
      <c r="EL419" s="66"/>
      <c r="EM419" s="66"/>
      <c r="EN419" s="66"/>
      <c r="EO419" s="66"/>
      <c r="EP419" s="66"/>
      <c r="EQ419" s="66"/>
      <c r="ER419" s="66"/>
      <c r="ES419" s="66"/>
      <c r="ET419" s="66"/>
      <c r="EU419" s="66"/>
      <c r="EV419" s="66"/>
      <c r="EW419" s="66"/>
      <c r="EX419" s="66"/>
      <c r="EY419" s="66"/>
      <c r="EZ419" s="66"/>
      <c r="FA419" s="66"/>
      <c r="FB419" s="66"/>
      <c r="FC419" s="66"/>
      <c r="FD419" s="66"/>
      <c r="FE419" s="66"/>
      <c r="FF419" s="66"/>
      <c r="FG419" s="66"/>
      <c r="FH419" s="66"/>
      <c r="FI419" s="66"/>
      <c r="FJ419" s="66"/>
      <c r="FK419" s="66"/>
      <c r="FL419" s="66"/>
      <c r="FM419" s="66"/>
      <c r="FN419" s="66"/>
      <c r="FO419" s="66"/>
      <c r="FP419" s="66"/>
      <c r="FQ419" s="66"/>
      <c r="FR419" s="66"/>
      <c r="FS419" s="66"/>
      <c r="FT419" s="66"/>
      <c r="FU419" s="66"/>
      <c r="FV419" s="66"/>
      <c r="FW419" s="66"/>
      <c r="FX419" s="66"/>
      <c r="FY419" s="66"/>
      <c r="FZ419" s="66"/>
      <c r="GA419" s="66"/>
      <c r="GB419" s="66"/>
      <c r="GC419" s="66"/>
      <c r="GD419" s="66"/>
      <c r="GE419" s="66"/>
      <c r="GF419" s="66"/>
      <c r="GG419" s="66"/>
      <c r="GH419" s="66"/>
      <c r="GI419" s="66"/>
      <c r="GJ419" s="66"/>
      <c r="GK419" s="66"/>
      <c r="GL419" s="66"/>
      <c r="GM419" s="66"/>
      <c r="GN419" s="66"/>
      <c r="GO419" s="66"/>
      <c r="GP419" s="66"/>
      <c r="GQ419" s="66"/>
      <c r="GR419" s="66"/>
      <c r="GS419" s="66"/>
      <c r="GT419" s="66"/>
      <c r="GU419" s="66"/>
      <c r="GV419" s="66"/>
      <c r="GW419" s="66"/>
      <c r="GX419" s="66"/>
      <c r="GY419" s="66"/>
      <c r="GZ419" s="66"/>
      <c r="HA419" s="66"/>
      <c r="HB419" s="66"/>
      <c r="HC419" s="66"/>
      <c r="HD419" s="66"/>
      <c r="HE419" s="66"/>
      <c r="HF419" s="66"/>
      <c r="HG419" s="66"/>
      <c r="HH419" s="66"/>
      <c r="HI419" s="66"/>
      <c r="HJ419" s="66"/>
      <c r="HK419" s="66"/>
      <c r="HL419" s="66"/>
      <c r="HM419" s="66"/>
      <c r="HN419" s="66"/>
      <c r="HO419" s="66"/>
      <c r="HP419" s="66"/>
      <c r="HQ419" s="66"/>
      <c r="HR419" s="66"/>
      <c r="HS419" s="66"/>
      <c r="HT419" s="66"/>
      <c r="HU419" s="66"/>
      <c r="HV419" s="66"/>
      <c r="HW419" s="66"/>
      <c r="HX419" s="66"/>
      <c r="HY419" s="66"/>
      <c r="HZ419" s="66"/>
      <c r="IA419" s="66"/>
      <c r="IB419" s="66"/>
      <c r="IC419" s="66"/>
      <c r="ID419" s="66"/>
      <c r="IE419" s="66"/>
      <c r="IF419" s="66"/>
      <c r="IG419" s="66"/>
      <c r="IH419" s="66"/>
      <c r="II419" s="66"/>
      <c r="IJ419" s="66"/>
      <c r="IK419" s="66"/>
      <c r="IL419" s="66"/>
      <c r="IM419" s="66"/>
      <c r="IN419" s="66"/>
      <c r="IO419" s="66"/>
      <c r="IP419" s="66"/>
      <c r="IQ419" s="66"/>
      <c r="IR419" s="66"/>
      <c r="IS419" s="66"/>
      <c r="IT419" s="66"/>
      <c r="IU419" s="66"/>
    </row>
    <row r="420" spans="1:255" s="66" customFormat="1" x14ac:dyDescent="0.3">
      <c r="A420" s="72" t="s">
        <v>816</v>
      </c>
      <c r="B420" s="24" t="s">
        <v>810</v>
      </c>
      <c r="C420" s="24">
        <v>23000</v>
      </c>
      <c r="D420" s="78"/>
      <c r="E420" s="25"/>
    </row>
    <row r="421" spans="1:255" s="66" customFormat="1" x14ac:dyDescent="0.3">
      <c r="A421" s="72" t="s">
        <v>820</v>
      </c>
      <c r="B421" s="24" t="s">
        <v>821</v>
      </c>
      <c r="C421" s="24">
        <v>25000</v>
      </c>
      <c r="D421" s="78"/>
      <c r="E421" s="25"/>
    </row>
    <row r="422" spans="1:255" s="66" customFormat="1" x14ac:dyDescent="0.3">
      <c r="A422" s="72" t="s">
        <v>811</v>
      </c>
      <c r="B422" s="24" t="s">
        <v>812</v>
      </c>
      <c r="C422" s="24">
        <v>15000</v>
      </c>
      <c r="D422" s="78"/>
      <c r="E422" s="25"/>
    </row>
    <row r="423" spans="1:255" s="151" customFormat="1" ht="13.5" customHeight="1" x14ac:dyDescent="0.25">
      <c r="A423" s="265" t="s">
        <v>124</v>
      </c>
      <c r="B423" s="25" t="s">
        <v>123</v>
      </c>
      <c r="C423" s="31">
        <f>SUM(C424:C424)</f>
        <v>78000</v>
      </c>
      <c r="D423" s="23"/>
      <c r="E423" s="23"/>
      <c r="F423" s="9"/>
      <c r="G423" s="152"/>
      <c r="H423" s="152"/>
      <c r="I423" s="152"/>
      <c r="J423" s="152"/>
      <c r="K423" s="152"/>
    </row>
    <row r="424" spans="1:255" s="151" customFormat="1" ht="13.5" customHeight="1" x14ac:dyDescent="0.25">
      <c r="A424" s="12" t="s">
        <v>93</v>
      </c>
      <c r="B424" s="24" t="s">
        <v>72</v>
      </c>
      <c r="C424" s="60">
        <v>78000</v>
      </c>
      <c r="D424" s="23"/>
      <c r="E424" s="23"/>
      <c r="F424" s="9"/>
      <c r="G424" s="152"/>
      <c r="H424" s="152"/>
      <c r="I424" s="152"/>
      <c r="J424" s="152"/>
      <c r="K424" s="152"/>
    </row>
    <row r="425" spans="1:255" s="151" customFormat="1" ht="13.5" customHeight="1" x14ac:dyDescent="0.25">
      <c r="A425" s="265" t="s">
        <v>513</v>
      </c>
      <c r="B425" s="31" t="s">
        <v>125</v>
      </c>
      <c r="C425" s="64">
        <f>SUM(C426:C427)</f>
        <v>80900</v>
      </c>
      <c r="D425" s="23"/>
      <c r="E425" s="23"/>
      <c r="F425" s="9"/>
      <c r="G425" s="152"/>
      <c r="H425" s="152"/>
      <c r="I425" s="152"/>
      <c r="J425" s="152"/>
      <c r="K425" s="152"/>
    </row>
    <row r="426" spans="1:255" s="151" customFormat="1" ht="13.5" customHeight="1" x14ac:dyDescent="0.25">
      <c r="A426" s="72" t="s">
        <v>152</v>
      </c>
      <c r="B426" s="24" t="s">
        <v>65</v>
      </c>
      <c r="C426" s="60">
        <v>22500</v>
      </c>
      <c r="D426" s="23"/>
      <c r="E426" s="23"/>
      <c r="F426" s="9"/>
      <c r="G426" s="152"/>
      <c r="H426" s="152"/>
      <c r="I426" s="152"/>
      <c r="J426" s="152"/>
      <c r="K426" s="152"/>
    </row>
    <row r="427" spans="1:255" s="151" customFormat="1" ht="13.5" customHeight="1" x14ac:dyDescent="0.25">
      <c r="A427" s="72" t="s">
        <v>155</v>
      </c>
      <c r="B427" s="24" t="s">
        <v>125</v>
      </c>
      <c r="C427" s="24">
        <v>58400</v>
      </c>
      <c r="D427" s="23"/>
      <c r="E427" s="23"/>
      <c r="F427" s="9"/>
      <c r="G427" s="152"/>
      <c r="H427" s="152"/>
      <c r="I427" s="152"/>
      <c r="J427" s="152"/>
      <c r="K427" s="152"/>
    </row>
    <row r="428" spans="1:255" s="151" customFormat="1" ht="13.5" customHeight="1" thickBot="1" x14ac:dyDescent="0.3">
      <c r="A428" s="72"/>
      <c r="B428" s="72"/>
      <c r="C428" s="23"/>
      <c r="D428" s="23"/>
      <c r="E428" s="23"/>
      <c r="F428" s="9"/>
      <c r="G428" s="152"/>
      <c r="H428" s="152"/>
      <c r="I428" s="152"/>
      <c r="J428" s="152"/>
      <c r="K428" s="152"/>
    </row>
    <row r="429" spans="1:255" s="151" customFormat="1" ht="13.5" customHeight="1" thickBot="1" x14ac:dyDescent="0.3">
      <c r="A429" s="1096" t="s">
        <v>3</v>
      </c>
      <c r="B429" s="1097"/>
      <c r="C429" s="668">
        <f>(C430+C432+C436+C438+C440+C442)</f>
        <v>5065240</v>
      </c>
      <c r="D429" s="23"/>
      <c r="E429" s="23"/>
      <c r="F429" s="9"/>
      <c r="G429" s="152"/>
      <c r="H429" s="152"/>
      <c r="I429" s="152"/>
      <c r="J429" s="152"/>
      <c r="K429" s="152"/>
    </row>
    <row r="430" spans="1:255" s="151" customFormat="1" ht="13.5" customHeight="1" x14ac:dyDescent="0.25">
      <c r="A430" s="63" t="s">
        <v>110</v>
      </c>
      <c r="B430" s="211" t="s">
        <v>111</v>
      </c>
      <c r="C430" s="32">
        <f>SUM(C431)</f>
        <v>59380</v>
      </c>
      <c r="D430" s="23"/>
      <c r="E430" s="23"/>
      <c r="F430" s="9"/>
      <c r="G430" s="152"/>
      <c r="H430" s="152"/>
      <c r="I430" s="152"/>
      <c r="J430" s="152"/>
      <c r="K430" s="152"/>
    </row>
    <row r="431" spans="1:255" s="151" customFormat="1" ht="13.5" customHeight="1" x14ac:dyDescent="0.25">
      <c r="A431" s="59" t="s">
        <v>52</v>
      </c>
      <c r="B431" s="59" t="s">
        <v>15</v>
      </c>
      <c r="C431" s="24">
        <v>59380</v>
      </c>
      <c r="D431" s="23"/>
      <c r="E431" s="23"/>
      <c r="F431" s="9"/>
      <c r="G431" s="152"/>
      <c r="H431" s="152"/>
      <c r="I431" s="152"/>
      <c r="J431" s="152"/>
      <c r="K431" s="152"/>
    </row>
    <row r="432" spans="1:255" s="151" customFormat="1" ht="13.5" customHeight="1" x14ac:dyDescent="0.25">
      <c r="A432" s="63" t="s">
        <v>120</v>
      </c>
      <c r="B432" s="63" t="s">
        <v>121</v>
      </c>
      <c r="C432" s="558">
        <f>SUM(C433:C435)</f>
        <v>213480</v>
      </c>
      <c r="D432" s="23"/>
      <c r="E432" s="23"/>
      <c r="F432" s="9"/>
      <c r="G432" s="152"/>
      <c r="H432" s="152"/>
      <c r="I432" s="152"/>
      <c r="J432" s="152"/>
      <c r="K432" s="152"/>
    </row>
    <row r="433" spans="1:255" s="151" customFormat="1" ht="13.5" customHeight="1" x14ac:dyDescent="0.25">
      <c r="A433" s="59" t="s">
        <v>246</v>
      </c>
      <c r="B433" s="43" t="s">
        <v>247</v>
      </c>
      <c r="C433" s="60">
        <v>120900</v>
      </c>
      <c r="D433" s="23"/>
      <c r="E433" s="23"/>
      <c r="F433" s="9"/>
      <c r="G433" s="152"/>
      <c r="H433" s="152"/>
      <c r="I433" s="152"/>
      <c r="J433" s="152"/>
      <c r="K433" s="152"/>
    </row>
    <row r="434" spans="1:255" s="151" customFormat="1" ht="13.5" customHeight="1" x14ac:dyDescent="0.25">
      <c r="A434" s="59" t="s">
        <v>140</v>
      </c>
      <c r="B434" s="43" t="s">
        <v>141</v>
      </c>
      <c r="C434" s="60">
        <v>43200</v>
      </c>
      <c r="D434" s="23"/>
      <c r="E434" s="23"/>
      <c r="F434" s="9"/>
      <c r="G434" s="152"/>
      <c r="H434" s="152"/>
      <c r="I434" s="152"/>
      <c r="J434" s="152"/>
      <c r="K434" s="152"/>
    </row>
    <row r="435" spans="1:255" s="151" customFormat="1" ht="13.5" customHeight="1" x14ac:dyDescent="0.25">
      <c r="A435" s="59" t="s">
        <v>136</v>
      </c>
      <c r="B435" s="59" t="s">
        <v>71</v>
      </c>
      <c r="C435" s="60">
        <v>49380</v>
      </c>
      <c r="D435" s="23"/>
      <c r="E435" s="23"/>
      <c r="F435" s="9"/>
      <c r="G435" s="152"/>
      <c r="H435" s="152"/>
      <c r="I435" s="152"/>
      <c r="J435" s="152"/>
      <c r="K435" s="152"/>
    </row>
    <row r="436" spans="1:255" s="151" customFormat="1" ht="13.5" customHeight="1" x14ac:dyDescent="0.25">
      <c r="A436" s="265" t="s">
        <v>112</v>
      </c>
      <c r="B436" s="63" t="s">
        <v>157</v>
      </c>
      <c r="C436" s="31">
        <f>SUM(C437)</f>
        <v>2836230</v>
      </c>
      <c r="D436" s="23"/>
      <c r="E436" s="23"/>
      <c r="F436" s="9"/>
      <c r="G436" s="152"/>
      <c r="H436" s="152"/>
      <c r="I436" s="152"/>
      <c r="J436" s="152"/>
      <c r="K436" s="152"/>
    </row>
    <row r="437" spans="1:255" s="151" customFormat="1" ht="13.5" customHeight="1" x14ac:dyDescent="0.25">
      <c r="A437" s="72" t="s">
        <v>49</v>
      </c>
      <c r="B437" s="24" t="s">
        <v>87</v>
      </c>
      <c r="C437" s="60">
        <v>2836230</v>
      </c>
      <c r="D437" s="23"/>
      <c r="E437" s="23"/>
      <c r="F437" s="9"/>
      <c r="G437" s="152"/>
      <c r="H437" s="152"/>
      <c r="I437" s="152"/>
      <c r="J437" s="152"/>
      <c r="K437" s="152"/>
    </row>
    <row r="438" spans="1:255" s="151" customFormat="1" ht="13.5" customHeight="1" x14ac:dyDescent="0.25">
      <c r="A438" s="265" t="s">
        <v>113</v>
      </c>
      <c r="B438" s="31" t="s">
        <v>114</v>
      </c>
      <c r="C438" s="64">
        <f>SUM(C439)</f>
        <v>24500</v>
      </c>
      <c r="D438" s="23"/>
      <c r="E438" s="23"/>
      <c r="F438" s="9"/>
      <c r="G438" s="152"/>
      <c r="H438" s="152"/>
      <c r="I438" s="152"/>
      <c r="J438" s="152"/>
      <c r="K438" s="152"/>
    </row>
    <row r="439" spans="1:255" s="151" customFormat="1" ht="13.5" customHeight="1" x14ac:dyDescent="0.25">
      <c r="A439" s="72" t="s">
        <v>164</v>
      </c>
      <c r="B439" s="59" t="s">
        <v>74</v>
      </c>
      <c r="C439" s="60">
        <v>24500</v>
      </c>
      <c r="D439" s="23"/>
      <c r="E439" s="23"/>
      <c r="F439" s="9"/>
      <c r="G439" s="152"/>
      <c r="H439" s="152"/>
      <c r="I439" s="152"/>
      <c r="J439" s="152"/>
      <c r="K439" s="152"/>
    </row>
    <row r="440" spans="1:255" s="56" customFormat="1" x14ac:dyDescent="0.3">
      <c r="A440" s="11" t="s">
        <v>132</v>
      </c>
      <c r="B440" s="31" t="s">
        <v>56</v>
      </c>
      <c r="C440" s="64">
        <f>SUM(C441)</f>
        <v>66000</v>
      </c>
      <c r="E440" s="57"/>
      <c r="F440" s="57"/>
    </row>
    <row r="441" spans="1:255" s="66" customFormat="1" x14ac:dyDescent="0.3">
      <c r="A441" s="72" t="s">
        <v>55</v>
      </c>
      <c r="B441" s="43" t="s">
        <v>56</v>
      </c>
      <c r="C441" s="60">
        <v>66000</v>
      </c>
      <c r="E441" s="57"/>
      <c r="F441" s="241"/>
      <c r="G441" s="463"/>
      <c r="H441" s="67"/>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c r="AS441" s="56"/>
      <c r="AT441" s="56"/>
      <c r="AU441" s="56"/>
      <c r="AV441" s="56"/>
      <c r="AW441" s="56"/>
      <c r="AX441" s="56"/>
      <c r="AY441" s="56"/>
      <c r="AZ441" s="56"/>
      <c r="BA441" s="56"/>
      <c r="BB441" s="56"/>
      <c r="BC441" s="56"/>
      <c r="BD441" s="56"/>
      <c r="BE441" s="56"/>
      <c r="BF441" s="56"/>
      <c r="BG441" s="56"/>
      <c r="BH441" s="56"/>
      <c r="BI441" s="56"/>
      <c r="BJ441" s="56"/>
      <c r="BK441" s="56"/>
      <c r="BL441" s="56"/>
      <c r="BM441" s="56"/>
      <c r="BN441" s="56"/>
      <c r="BO441" s="56"/>
      <c r="BP441" s="56"/>
      <c r="BQ441" s="56"/>
      <c r="BR441" s="56"/>
      <c r="BS441" s="56"/>
      <c r="BT441" s="56"/>
      <c r="BU441" s="56"/>
      <c r="BV441" s="56"/>
      <c r="BW441" s="56"/>
      <c r="BX441" s="56"/>
      <c r="BY441" s="56"/>
      <c r="BZ441" s="56"/>
      <c r="CA441" s="56"/>
      <c r="CB441" s="56"/>
      <c r="CC441" s="56"/>
      <c r="CD441" s="56"/>
      <c r="CE441" s="56"/>
      <c r="CF441" s="56"/>
      <c r="CG441" s="56"/>
      <c r="CH441" s="56"/>
      <c r="CI441" s="56"/>
      <c r="CJ441" s="56"/>
      <c r="CK441" s="56"/>
      <c r="CL441" s="56"/>
      <c r="CM441" s="56"/>
      <c r="CN441" s="56"/>
      <c r="CO441" s="56"/>
      <c r="CP441" s="56"/>
      <c r="CQ441" s="56"/>
      <c r="CR441" s="56"/>
      <c r="CS441" s="56"/>
      <c r="CT441" s="56"/>
      <c r="CU441" s="56"/>
      <c r="CV441" s="56"/>
      <c r="CW441" s="56"/>
      <c r="CX441" s="56"/>
      <c r="CY441" s="56"/>
      <c r="CZ441" s="56"/>
      <c r="DA441" s="56"/>
      <c r="DB441" s="56"/>
      <c r="DC441" s="56"/>
      <c r="DD441" s="56"/>
      <c r="DE441" s="56"/>
      <c r="DF441" s="56"/>
      <c r="DG441" s="56"/>
      <c r="DH441" s="56"/>
      <c r="DI441" s="56"/>
      <c r="DJ441" s="56"/>
      <c r="DK441" s="56"/>
      <c r="DL441" s="56"/>
      <c r="DM441" s="56"/>
      <c r="DN441" s="56"/>
      <c r="DO441" s="56"/>
      <c r="DP441" s="56"/>
      <c r="DQ441" s="56"/>
      <c r="DR441" s="56"/>
      <c r="DS441" s="56"/>
      <c r="DT441" s="56"/>
      <c r="DU441" s="56"/>
      <c r="DV441" s="56"/>
      <c r="DW441" s="56"/>
      <c r="DX441" s="56"/>
      <c r="DY441" s="56"/>
      <c r="DZ441" s="56"/>
      <c r="EA441" s="56"/>
      <c r="EB441" s="56"/>
      <c r="EC441" s="56"/>
      <c r="ED441" s="56"/>
      <c r="EE441" s="56"/>
      <c r="EF441" s="56"/>
      <c r="EG441" s="56"/>
      <c r="EH441" s="56"/>
      <c r="EI441" s="56"/>
      <c r="EJ441" s="56"/>
      <c r="EK441" s="56"/>
      <c r="EL441" s="56"/>
      <c r="EM441" s="56"/>
      <c r="EN441" s="56"/>
      <c r="EO441" s="56"/>
      <c r="EP441" s="56"/>
      <c r="EQ441" s="56"/>
      <c r="ER441" s="56"/>
      <c r="ES441" s="56"/>
      <c r="ET441" s="56"/>
      <c r="EU441" s="56"/>
      <c r="EV441" s="56"/>
      <c r="EW441" s="56"/>
      <c r="EX441" s="56"/>
      <c r="EY441" s="56"/>
      <c r="EZ441" s="56"/>
      <c r="FA441" s="56"/>
      <c r="FB441" s="56"/>
      <c r="FC441" s="56"/>
      <c r="FD441" s="56"/>
      <c r="FE441" s="56"/>
      <c r="FF441" s="56"/>
      <c r="FG441" s="56"/>
      <c r="FH441" s="56"/>
      <c r="FI441" s="56"/>
      <c r="FJ441" s="56"/>
      <c r="FK441" s="56"/>
      <c r="FL441" s="56"/>
      <c r="FM441" s="56"/>
      <c r="FN441" s="56"/>
      <c r="FO441" s="56"/>
      <c r="FP441" s="56"/>
      <c r="FQ441" s="56"/>
      <c r="FR441" s="56"/>
      <c r="FS441" s="56"/>
      <c r="FT441" s="56"/>
      <c r="FU441" s="56"/>
      <c r="FV441" s="56"/>
      <c r="FW441" s="56"/>
      <c r="FX441" s="56"/>
      <c r="FY441" s="56"/>
      <c r="FZ441" s="56"/>
      <c r="GA441" s="56"/>
      <c r="GB441" s="56"/>
      <c r="GC441" s="56"/>
      <c r="GD441" s="56"/>
      <c r="GE441" s="56"/>
      <c r="GF441" s="56"/>
      <c r="GG441" s="56"/>
      <c r="GH441" s="56"/>
      <c r="GI441" s="56"/>
      <c r="GJ441" s="56"/>
      <c r="GK441" s="56"/>
      <c r="GL441" s="56"/>
      <c r="GM441" s="56"/>
      <c r="GN441" s="56"/>
      <c r="GO441" s="56"/>
      <c r="GP441" s="56"/>
      <c r="GQ441" s="56"/>
      <c r="GR441" s="56"/>
      <c r="GS441" s="56"/>
      <c r="GT441" s="56"/>
      <c r="GU441" s="56"/>
      <c r="GV441" s="56"/>
      <c r="GW441" s="56"/>
      <c r="GX441" s="56"/>
      <c r="GY441" s="56"/>
      <c r="GZ441" s="56"/>
      <c r="HA441" s="56"/>
      <c r="HB441" s="56"/>
      <c r="HC441" s="56"/>
      <c r="HD441" s="56"/>
      <c r="HE441" s="56"/>
      <c r="HF441" s="56"/>
      <c r="HG441" s="56"/>
      <c r="HH441" s="56"/>
      <c r="HI441" s="56"/>
      <c r="HJ441" s="56"/>
      <c r="HK441" s="56"/>
      <c r="HL441" s="56"/>
      <c r="HM441" s="56"/>
      <c r="HN441" s="56"/>
      <c r="HO441" s="56"/>
      <c r="HP441" s="56"/>
      <c r="HQ441" s="56"/>
      <c r="HR441" s="56"/>
      <c r="HS441" s="56"/>
      <c r="HT441" s="56"/>
      <c r="HU441" s="56"/>
      <c r="HV441" s="56"/>
      <c r="HW441" s="56"/>
      <c r="HX441" s="56"/>
      <c r="HY441" s="56"/>
      <c r="HZ441" s="56"/>
      <c r="IA441" s="56"/>
      <c r="IB441" s="56"/>
      <c r="IC441" s="56"/>
      <c r="ID441" s="56"/>
      <c r="IE441" s="56"/>
      <c r="IF441" s="56"/>
      <c r="IG441" s="56"/>
      <c r="IH441" s="56"/>
      <c r="II441" s="56"/>
      <c r="IJ441" s="56"/>
      <c r="IK441" s="56"/>
      <c r="IL441" s="56"/>
      <c r="IM441" s="56"/>
      <c r="IN441" s="56"/>
      <c r="IO441" s="56"/>
      <c r="IP441" s="56"/>
      <c r="IQ441" s="56"/>
      <c r="IR441" s="56"/>
      <c r="IS441" s="56"/>
      <c r="IT441" s="56"/>
      <c r="IU441" s="56"/>
    </row>
    <row r="442" spans="1:255" s="151" customFormat="1" ht="13.5" customHeight="1" x14ac:dyDescent="0.25">
      <c r="A442" s="265" t="s">
        <v>115</v>
      </c>
      <c r="B442" s="31" t="s">
        <v>8</v>
      </c>
      <c r="C442" s="64">
        <f>SUM(C443:C446)</f>
        <v>1865650</v>
      </c>
      <c r="D442" s="23"/>
      <c r="E442" s="23"/>
      <c r="F442" s="9"/>
      <c r="G442" s="152"/>
      <c r="H442" s="152"/>
      <c r="I442" s="152"/>
      <c r="J442" s="152"/>
      <c r="K442" s="152"/>
    </row>
    <row r="443" spans="1:255" s="151" customFormat="1" ht="13.5" customHeight="1" x14ac:dyDescent="0.25">
      <c r="A443" s="72" t="s">
        <v>92</v>
      </c>
      <c r="B443" s="24" t="s">
        <v>8</v>
      </c>
      <c r="C443" s="60">
        <v>1620140</v>
      </c>
      <c r="D443" s="23"/>
      <c r="E443" s="23"/>
      <c r="F443" s="9"/>
      <c r="G443" s="152"/>
      <c r="H443" s="152"/>
      <c r="I443" s="152"/>
      <c r="J443" s="152"/>
      <c r="K443" s="152"/>
    </row>
    <row r="444" spans="1:255" s="66" customFormat="1" x14ac:dyDescent="0.3">
      <c r="A444" s="72" t="s">
        <v>181</v>
      </c>
      <c r="B444" s="43" t="s">
        <v>180</v>
      </c>
      <c r="C444" s="60">
        <v>38000</v>
      </c>
      <c r="D444" s="67"/>
      <c r="F444" s="204"/>
      <c r="G444" s="68"/>
    </row>
    <row r="445" spans="1:255" s="66" customFormat="1" x14ac:dyDescent="0.3">
      <c r="A445" s="59" t="s">
        <v>222</v>
      </c>
      <c r="B445" s="43" t="s">
        <v>221</v>
      </c>
      <c r="C445" s="60">
        <v>77890</v>
      </c>
      <c r="E445" s="68"/>
      <c r="F445" s="204"/>
      <c r="H445" s="67"/>
    </row>
    <row r="446" spans="1:255" s="151" customFormat="1" ht="13.5" customHeight="1" x14ac:dyDescent="0.25">
      <c r="A446" s="72" t="s">
        <v>90</v>
      </c>
      <c r="B446" s="24" t="s">
        <v>7</v>
      </c>
      <c r="C446" s="60">
        <v>129620</v>
      </c>
      <c r="D446" s="23"/>
      <c r="E446" s="23"/>
      <c r="F446" s="9"/>
      <c r="G446" s="152"/>
      <c r="H446" s="152"/>
      <c r="I446" s="152"/>
      <c r="J446" s="152"/>
      <c r="K446" s="152"/>
    </row>
    <row r="447" spans="1:255" s="151" customFormat="1" ht="13.5" customHeight="1" thickBot="1" x14ac:dyDescent="0.3">
      <c r="A447" s="72"/>
      <c r="B447" s="72"/>
      <c r="C447" s="23"/>
      <c r="D447" s="23"/>
      <c r="E447" s="23"/>
      <c r="F447" s="9"/>
      <c r="G447" s="152"/>
      <c r="H447" s="152"/>
      <c r="I447" s="152"/>
      <c r="J447" s="152"/>
      <c r="K447" s="152"/>
    </row>
    <row r="448" spans="1:255" s="66" customFormat="1" ht="13.5" thickBot="1" x14ac:dyDescent="0.35">
      <c r="A448" s="1142" t="s">
        <v>5</v>
      </c>
      <c r="B448" s="1143"/>
      <c r="C448" s="726">
        <f>C449</f>
        <v>105000</v>
      </c>
      <c r="D448" s="67"/>
      <c r="E448" s="68"/>
      <c r="F448" s="204"/>
    </row>
    <row r="449" spans="1:11" s="239" customFormat="1" x14ac:dyDescent="0.3">
      <c r="A449" s="63" t="s">
        <v>128</v>
      </c>
      <c r="B449" s="211" t="s">
        <v>129</v>
      </c>
      <c r="C449" s="563">
        <f>SUM(C450:C451)</f>
        <v>105000</v>
      </c>
      <c r="D449" s="180"/>
      <c r="E449" s="95"/>
      <c r="F449" s="99"/>
    </row>
    <row r="450" spans="1:11" s="56" customFormat="1" x14ac:dyDescent="0.3">
      <c r="A450" s="59" t="s">
        <v>256</v>
      </c>
      <c r="B450" s="43" t="s">
        <v>257</v>
      </c>
      <c r="C450" s="60">
        <v>55000</v>
      </c>
      <c r="D450" s="180"/>
      <c r="E450" s="57"/>
      <c r="F450" s="99"/>
    </row>
    <row r="451" spans="1:11" s="56" customFormat="1" x14ac:dyDescent="0.3">
      <c r="A451" s="59" t="s">
        <v>144</v>
      </c>
      <c r="B451" s="43" t="s">
        <v>258</v>
      </c>
      <c r="C451" s="60">
        <v>50000</v>
      </c>
      <c r="D451" s="60"/>
      <c r="E451" s="57"/>
      <c r="F451" s="99"/>
    </row>
    <row r="452" spans="1:11" s="56" customFormat="1" ht="13.5" thickBot="1" x14ac:dyDescent="0.35">
      <c r="A452" s="59"/>
      <c r="B452" s="43"/>
      <c r="C452" s="60"/>
      <c r="D452" s="60"/>
      <c r="E452" s="57"/>
      <c r="F452" s="99"/>
    </row>
    <row r="453" spans="1:11" s="151" customFormat="1" ht="13.5" customHeight="1" thickBot="1" x14ac:dyDescent="0.3">
      <c r="A453" s="1148" t="s">
        <v>4</v>
      </c>
      <c r="B453" s="1149"/>
      <c r="C453" s="670">
        <f>+C454+C458</f>
        <v>134300</v>
      </c>
      <c r="D453" s="23"/>
      <c r="E453" s="23"/>
      <c r="F453" s="9"/>
      <c r="G453" s="152"/>
      <c r="H453" s="152"/>
      <c r="I453" s="152"/>
      <c r="J453" s="152"/>
      <c r="K453" s="152"/>
    </row>
    <row r="454" spans="1:11" s="151" customFormat="1" ht="13.5" customHeight="1" x14ac:dyDescent="0.25">
      <c r="A454" s="11" t="s">
        <v>116</v>
      </c>
      <c r="B454" s="25" t="s">
        <v>117</v>
      </c>
      <c r="C454" s="558">
        <f>SUM(C455:C457)</f>
        <v>115900</v>
      </c>
      <c r="D454" s="23"/>
      <c r="E454" s="23"/>
      <c r="F454" s="9"/>
      <c r="G454" s="152"/>
      <c r="H454" s="152"/>
      <c r="I454" s="152"/>
      <c r="J454" s="152"/>
      <c r="K454" s="152"/>
    </row>
    <row r="455" spans="1:11" s="151" customFormat="1" ht="13.5" customHeight="1" x14ac:dyDescent="0.25">
      <c r="A455" s="72" t="s">
        <v>91</v>
      </c>
      <c r="B455" s="23" t="s">
        <v>139</v>
      </c>
      <c r="C455" s="60">
        <v>35000</v>
      </c>
      <c r="D455" s="23"/>
      <c r="E455" s="23"/>
      <c r="F455" s="9"/>
      <c r="G455" s="152"/>
      <c r="H455" s="152"/>
      <c r="I455" s="152"/>
      <c r="J455" s="152"/>
      <c r="K455" s="152"/>
    </row>
    <row r="456" spans="1:11" s="151" customFormat="1" ht="13.5" customHeight="1" x14ac:dyDescent="0.25">
      <c r="A456" s="12" t="s">
        <v>162</v>
      </c>
      <c r="B456" s="24" t="s">
        <v>163</v>
      </c>
      <c r="C456" s="60">
        <f>40900+10000</f>
        <v>50900</v>
      </c>
      <c r="D456" s="23"/>
      <c r="E456" s="23"/>
      <c r="F456" s="9"/>
      <c r="G456" s="152"/>
      <c r="H456" s="152"/>
      <c r="I456" s="152"/>
      <c r="J456" s="152"/>
      <c r="K456" s="152"/>
    </row>
    <row r="457" spans="1:11" s="8" customFormat="1" ht="13.5" customHeight="1" x14ac:dyDescent="0.25">
      <c r="A457" s="72" t="s">
        <v>814</v>
      </c>
      <c r="B457" s="23" t="s">
        <v>815</v>
      </c>
      <c r="C457" s="24">
        <v>30000</v>
      </c>
      <c r="D457" s="78"/>
      <c r="E457" s="25"/>
      <c r="F457" s="99"/>
      <c r="G457" s="55"/>
      <c r="H457" s="43"/>
    </row>
    <row r="458" spans="1:11" s="151" customFormat="1" ht="13.5" customHeight="1" x14ac:dyDescent="0.25">
      <c r="A458" s="265" t="s">
        <v>166</v>
      </c>
      <c r="B458" s="25" t="s">
        <v>135</v>
      </c>
      <c r="C458" s="64">
        <f>SUM(C459)</f>
        <v>18400</v>
      </c>
      <c r="D458" s="23"/>
      <c r="E458" s="23"/>
      <c r="F458" s="9"/>
      <c r="G458" s="152"/>
      <c r="H458" s="152"/>
      <c r="I458" s="152"/>
      <c r="J458" s="152"/>
      <c r="K458" s="152"/>
    </row>
    <row r="459" spans="1:11" s="151" customFormat="1" ht="13.5" customHeight="1" x14ac:dyDescent="0.25">
      <c r="A459" s="72" t="s">
        <v>167</v>
      </c>
      <c r="B459" s="23" t="s">
        <v>51</v>
      </c>
      <c r="C459" s="60">
        <v>18400</v>
      </c>
      <c r="D459" s="23"/>
      <c r="E459" s="23"/>
      <c r="F459" s="9"/>
      <c r="G459" s="152"/>
      <c r="H459" s="152"/>
      <c r="I459" s="152"/>
      <c r="J459" s="152"/>
      <c r="K459" s="152"/>
    </row>
    <row r="460" spans="1:11" s="151" customFormat="1" ht="13.5" customHeight="1" x14ac:dyDescent="0.25">
      <c r="A460" s="72"/>
      <c r="B460" s="43"/>
      <c r="C460" s="23"/>
      <c r="D460" s="23"/>
      <c r="E460" s="23"/>
      <c r="F460" s="9"/>
      <c r="G460" s="152"/>
      <c r="H460" s="152"/>
      <c r="I460" s="152"/>
      <c r="J460" s="152"/>
      <c r="K460" s="152"/>
    </row>
    <row r="461" spans="1:11" s="6" customFormat="1" ht="13.5" customHeight="1" thickBot="1" x14ac:dyDescent="0.35">
      <c r="A461" s="12"/>
      <c r="B461" s="24"/>
      <c r="C461" s="24"/>
      <c r="D461" s="26"/>
      <c r="E461" s="33"/>
      <c r="F461" s="89"/>
    </row>
    <row r="462" spans="1:11" s="151" customFormat="1" ht="13.5" customHeight="1" x14ac:dyDescent="0.25">
      <c r="A462" s="1117" t="s">
        <v>998</v>
      </c>
      <c r="B462" s="1118"/>
      <c r="C462" s="1119"/>
      <c r="D462" s="719" t="s">
        <v>6</v>
      </c>
      <c r="E462" s="927">
        <v>1106</v>
      </c>
      <c r="F462" s="628"/>
      <c r="G462" s="629"/>
      <c r="H462" s="152"/>
      <c r="I462" s="152"/>
      <c r="J462" s="152"/>
      <c r="K462" s="152"/>
    </row>
    <row r="463" spans="1:11" s="151" customFormat="1" ht="13.5" customHeight="1" thickBot="1" x14ac:dyDescent="0.3">
      <c r="A463" s="1120"/>
      <c r="B463" s="1121"/>
      <c r="C463" s="1122"/>
      <c r="D463" s="729"/>
      <c r="E463" s="730"/>
      <c r="F463" s="9"/>
      <c r="G463" s="152"/>
      <c r="H463" s="152"/>
      <c r="I463" s="152"/>
      <c r="J463" s="152"/>
      <c r="K463" s="152"/>
    </row>
    <row r="464" spans="1:11" s="151" customFormat="1" ht="13.5" customHeight="1" x14ac:dyDescent="0.25">
      <c r="A464" s="1106" t="s">
        <v>999</v>
      </c>
      <c r="B464" s="1107"/>
      <c r="C464" s="1107"/>
      <c r="D464" s="1107"/>
      <c r="E464" s="1108"/>
      <c r="F464" s="9"/>
      <c r="G464" s="152"/>
      <c r="H464" s="152"/>
      <c r="I464" s="152"/>
      <c r="J464" s="152"/>
      <c r="K464" s="152"/>
    </row>
    <row r="465" spans="1:11" s="151" customFormat="1" ht="13.5" customHeight="1" x14ac:dyDescent="0.25">
      <c r="A465" s="1136"/>
      <c r="B465" s="1137"/>
      <c r="C465" s="1137"/>
      <c r="D465" s="1137"/>
      <c r="E465" s="1138"/>
      <c r="F465" s="9"/>
      <c r="G465" s="152"/>
      <c r="H465" s="152"/>
      <c r="I465" s="152"/>
      <c r="J465" s="152"/>
      <c r="K465" s="152"/>
    </row>
    <row r="466" spans="1:11" s="151" customFormat="1" ht="13.5" customHeight="1" x14ac:dyDescent="0.25">
      <c r="A466" s="1136"/>
      <c r="B466" s="1137"/>
      <c r="C466" s="1137"/>
      <c r="D466" s="1137"/>
      <c r="E466" s="1138"/>
      <c r="F466" s="9"/>
      <c r="G466" s="152"/>
      <c r="H466" s="152"/>
      <c r="I466" s="152"/>
      <c r="J466" s="152"/>
      <c r="K466" s="152"/>
    </row>
    <row r="467" spans="1:11" s="151" customFormat="1" ht="13.5" customHeight="1" x14ac:dyDescent="0.25">
      <c r="A467" s="1136"/>
      <c r="B467" s="1137"/>
      <c r="C467" s="1137"/>
      <c r="D467" s="1137"/>
      <c r="E467" s="1138"/>
      <c r="F467" s="9"/>
      <c r="G467" s="152"/>
      <c r="H467" s="152"/>
      <c r="I467" s="152"/>
      <c r="J467" s="152"/>
      <c r="K467" s="152"/>
    </row>
    <row r="468" spans="1:11" s="151" customFormat="1" ht="13.5" customHeight="1" x14ac:dyDescent="0.25">
      <c r="A468" s="1136"/>
      <c r="B468" s="1137"/>
      <c r="C468" s="1137"/>
      <c r="D468" s="1137"/>
      <c r="E468" s="1138"/>
      <c r="F468" s="9"/>
      <c r="G468" s="152"/>
      <c r="H468" s="152"/>
      <c r="I468" s="152"/>
      <c r="J468" s="152"/>
      <c r="K468" s="152"/>
    </row>
    <row r="469" spans="1:11" s="151" customFormat="1" ht="13.5" customHeight="1" x14ac:dyDescent="0.25">
      <c r="A469" s="1136"/>
      <c r="B469" s="1137"/>
      <c r="C469" s="1137"/>
      <c r="D469" s="1137"/>
      <c r="E469" s="1138"/>
      <c r="F469" s="9"/>
      <c r="G469" s="152"/>
      <c r="H469" s="152"/>
      <c r="I469" s="152"/>
      <c r="J469" s="152"/>
      <c r="K469" s="152"/>
    </row>
    <row r="470" spans="1:11" s="151" customFormat="1" ht="13.5" customHeight="1" x14ac:dyDescent="0.25">
      <c r="A470" s="1136"/>
      <c r="B470" s="1137"/>
      <c r="C470" s="1137"/>
      <c r="D470" s="1137"/>
      <c r="E470" s="1138"/>
      <c r="F470" s="9"/>
      <c r="G470" s="152"/>
      <c r="H470" s="152"/>
      <c r="I470" s="152"/>
      <c r="J470" s="152"/>
      <c r="K470" s="152"/>
    </row>
    <row r="471" spans="1:11" s="151" customFormat="1" ht="13.5" customHeight="1" x14ac:dyDescent="0.25">
      <c r="A471" s="1136"/>
      <c r="B471" s="1137"/>
      <c r="C471" s="1137"/>
      <c r="D471" s="1137"/>
      <c r="E471" s="1138"/>
      <c r="F471" s="9"/>
      <c r="G471" s="152"/>
      <c r="H471" s="152"/>
      <c r="I471" s="152"/>
      <c r="J471" s="152"/>
      <c r="K471" s="152"/>
    </row>
    <row r="472" spans="1:11" s="151" customFormat="1" ht="13.5" customHeight="1" x14ac:dyDescent="0.25">
      <c r="A472" s="1136"/>
      <c r="B472" s="1137"/>
      <c r="C472" s="1137"/>
      <c r="D472" s="1137"/>
      <c r="E472" s="1138"/>
      <c r="F472" s="9"/>
      <c r="G472" s="152"/>
      <c r="H472" s="152"/>
      <c r="I472" s="152"/>
      <c r="J472" s="152"/>
      <c r="K472" s="152"/>
    </row>
    <row r="473" spans="1:11" s="151" customFormat="1" ht="9" customHeight="1" thickBot="1" x14ac:dyDescent="0.3">
      <c r="A473" s="1139"/>
      <c r="B473" s="1140"/>
      <c r="C473" s="1140"/>
      <c r="D473" s="1140"/>
      <c r="E473" s="1141"/>
      <c r="F473" s="9"/>
      <c r="G473" s="152"/>
      <c r="H473" s="152"/>
      <c r="I473" s="152"/>
      <c r="J473" s="152"/>
      <c r="K473" s="152"/>
    </row>
    <row r="474" spans="1:11" s="151" customFormat="1" ht="13.5" customHeight="1" x14ac:dyDescent="0.25">
      <c r="A474" s="41" t="s">
        <v>1029</v>
      </c>
      <c r="B474" s="12"/>
      <c r="C474" s="143"/>
      <c r="D474" s="142"/>
      <c r="E474" s="141"/>
      <c r="F474" s="9"/>
      <c r="G474" s="152"/>
      <c r="H474" s="152"/>
      <c r="I474" s="152"/>
      <c r="J474" s="152"/>
      <c r="K474" s="152"/>
    </row>
    <row r="475" spans="1:11" s="151" customFormat="1" ht="13.5" customHeight="1" x14ac:dyDescent="0.25">
      <c r="A475" s="58" t="s">
        <v>201</v>
      </c>
      <c r="B475" s="12"/>
      <c r="C475" s="143"/>
      <c r="D475" s="142"/>
      <c r="E475" s="141"/>
      <c r="F475" s="9"/>
      <c r="G475" s="152"/>
      <c r="H475" s="152"/>
      <c r="I475" s="152"/>
      <c r="J475" s="152"/>
      <c r="K475" s="152"/>
    </row>
    <row r="476" spans="1:11" s="151" customFormat="1" ht="13.5" customHeight="1" x14ac:dyDescent="0.25">
      <c r="A476" s="58" t="s">
        <v>1040</v>
      </c>
      <c r="B476" s="12"/>
      <c r="C476" s="143"/>
      <c r="D476" s="142"/>
      <c r="E476" s="141"/>
      <c r="F476" s="9"/>
      <c r="G476" s="152"/>
      <c r="H476" s="152"/>
      <c r="I476" s="152"/>
      <c r="J476" s="152"/>
      <c r="K476" s="152"/>
    </row>
    <row r="477" spans="1:11" s="151" customFormat="1" ht="13.5" customHeight="1" thickBot="1" x14ac:dyDescent="0.3">
      <c r="A477" s="76" t="s">
        <v>11</v>
      </c>
      <c r="B477" s="140"/>
      <c r="C477" s="139"/>
      <c r="D477" s="138"/>
      <c r="E477" s="137"/>
      <c r="F477" s="9"/>
      <c r="G477" s="152"/>
      <c r="H477" s="152"/>
      <c r="I477" s="152"/>
      <c r="J477" s="152"/>
      <c r="K477" s="152"/>
    </row>
    <row r="478" spans="1:11" s="151" customFormat="1" ht="13.5" customHeight="1" thickBot="1" x14ac:dyDescent="0.3">
      <c r="A478" s="762" t="s">
        <v>0</v>
      </c>
      <c r="B478" s="763"/>
      <c r="C478" s="764" t="s">
        <v>200</v>
      </c>
      <c r="D478" s="766" t="s">
        <v>200</v>
      </c>
      <c r="E478" s="772">
        <f>(C480+C494+C517+C513)</f>
        <v>1547400</v>
      </c>
      <c r="F478" s="9"/>
      <c r="G478" s="152"/>
      <c r="H478" s="152"/>
      <c r="I478" s="152"/>
      <c r="J478" s="152"/>
      <c r="K478" s="152"/>
    </row>
    <row r="479" spans="1:11" s="151" customFormat="1" ht="13.5" customHeight="1" thickBot="1" x14ac:dyDescent="0.3">
      <c r="A479" s="72"/>
      <c r="B479" s="43"/>
      <c r="C479" s="23"/>
      <c r="D479" s="23"/>
      <c r="E479" s="23"/>
      <c r="F479" s="9"/>
      <c r="G479" s="152"/>
      <c r="H479" s="152"/>
      <c r="I479" s="152"/>
      <c r="J479" s="152"/>
      <c r="K479" s="152"/>
    </row>
    <row r="480" spans="1:11" s="151" customFormat="1" ht="13.5" customHeight="1" thickBot="1" x14ac:dyDescent="0.3">
      <c r="A480" s="1104" t="s">
        <v>2</v>
      </c>
      <c r="B480" s="1105"/>
      <c r="C480" s="667">
        <f>(C481+C483+C485+C487+C489)</f>
        <v>282300</v>
      </c>
      <c r="D480" s="23"/>
      <c r="E480" s="23"/>
      <c r="F480" s="9"/>
      <c r="G480" s="152"/>
      <c r="H480" s="152"/>
      <c r="I480" s="152"/>
      <c r="J480" s="152"/>
      <c r="K480" s="152"/>
    </row>
    <row r="481" spans="1:255" s="239" customFormat="1" x14ac:dyDescent="0.3">
      <c r="A481" s="11" t="s">
        <v>103</v>
      </c>
      <c r="B481" s="298" t="s">
        <v>104</v>
      </c>
      <c r="C481" s="563">
        <f>SUM(C482)</f>
        <v>28900</v>
      </c>
      <c r="D481" s="95"/>
      <c r="E481" s="238"/>
      <c r="F481" s="99"/>
    </row>
    <row r="482" spans="1:255" s="66" customFormat="1" x14ac:dyDescent="0.3">
      <c r="A482" s="12" t="s">
        <v>46</v>
      </c>
      <c r="B482" s="43" t="s">
        <v>161</v>
      </c>
      <c r="C482" s="60">
        <v>28900</v>
      </c>
      <c r="D482" s="70"/>
      <c r="E482" s="68"/>
      <c r="F482" s="204"/>
    </row>
    <row r="483" spans="1:255" s="66" customFormat="1" x14ac:dyDescent="0.3">
      <c r="A483" s="11" t="s">
        <v>105</v>
      </c>
      <c r="B483" s="556" t="s">
        <v>106</v>
      </c>
      <c r="C483" s="64">
        <f>SUM(C484:C484)</f>
        <v>46000</v>
      </c>
      <c r="D483" s="240"/>
      <c r="F483" s="204"/>
    </row>
    <row r="484" spans="1:255" s="66" customFormat="1" x14ac:dyDescent="0.3">
      <c r="A484" s="12" t="s">
        <v>86</v>
      </c>
      <c r="B484" s="43" t="s">
        <v>66</v>
      </c>
      <c r="C484" s="24">
        <v>46000</v>
      </c>
      <c r="F484" s="96"/>
      <c r="G484" s="31"/>
      <c r="H484" s="43"/>
      <c r="I484" s="43"/>
      <c r="J484" s="43"/>
      <c r="K484" s="43"/>
      <c r="L484" s="43"/>
      <c r="M484" s="43"/>
      <c r="N484" s="43"/>
      <c r="O484" s="43"/>
      <c r="P484" s="43"/>
      <c r="Q484" s="43"/>
      <c r="R484" s="43"/>
      <c r="S484" s="43"/>
      <c r="T484" s="43"/>
      <c r="U484" s="43"/>
      <c r="V484" s="43"/>
      <c r="W484" s="43"/>
      <c r="X484" s="43"/>
      <c r="Y484" s="43"/>
      <c r="Z484" s="43"/>
      <c r="AA484" s="43"/>
      <c r="AB484" s="43"/>
      <c r="AC484" s="43"/>
      <c r="AD484" s="43"/>
      <c r="AE484" s="43"/>
      <c r="AF484" s="43"/>
      <c r="AG484" s="43"/>
      <c r="AH484" s="43"/>
      <c r="AI484" s="43"/>
      <c r="AJ484" s="43"/>
      <c r="AK484" s="43"/>
      <c r="AL484" s="43"/>
      <c r="AM484" s="43"/>
      <c r="AN484" s="43"/>
      <c r="AO484" s="43"/>
      <c r="AP484" s="43"/>
      <c r="AQ484" s="43"/>
      <c r="AR484" s="43"/>
      <c r="AS484" s="43"/>
      <c r="AT484" s="43"/>
      <c r="AU484" s="43"/>
      <c r="AV484" s="43"/>
      <c r="AW484" s="43"/>
      <c r="AX484" s="43"/>
      <c r="AY484" s="43"/>
      <c r="AZ484" s="43"/>
      <c r="BA484" s="43"/>
      <c r="BB484" s="43"/>
      <c r="BC484" s="43"/>
      <c r="BD484" s="43"/>
      <c r="BE484" s="43"/>
      <c r="BF484" s="43"/>
      <c r="BG484" s="43"/>
      <c r="BH484" s="43"/>
      <c r="BI484" s="43"/>
      <c r="BJ484" s="43"/>
      <c r="BK484" s="43"/>
      <c r="BL484" s="43"/>
      <c r="BM484" s="43"/>
      <c r="BN484" s="43"/>
      <c r="BO484" s="43"/>
      <c r="BP484" s="43"/>
      <c r="BQ484" s="43"/>
      <c r="BR484" s="43"/>
      <c r="BS484" s="43"/>
      <c r="BT484" s="43"/>
      <c r="BU484" s="43"/>
      <c r="BV484" s="43"/>
      <c r="BW484" s="43"/>
      <c r="BX484" s="43"/>
      <c r="BY484" s="43"/>
      <c r="BZ484" s="43"/>
      <c r="CA484" s="43"/>
      <c r="CB484" s="43"/>
      <c r="CC484" s="43"/>
      <c r="CD484" s="43"/>
      <c r="CE484" s="43"/>
      <c r="CF484" s="43"/>
      <c r="CG484" s="43"/>
      <c r="CH484" s="43"/>
      <c r="CI484" s="43"/>
      <c r="CJ484" s="43"/>
      <c r="CK484" s="43"/>
      <c r="CL484" s="43"/>
      <c r="CM484" s="43"/>
      <c r="CN484" s="43"/>
      <c r="CO484" s="43"/>
      <c r="CP484" s="43"/>
      <c r="CQ484" s="43"/>
      <c r="CR484" s="43"/>
      <c r="CS484" s="43"/>
      <c r="CT484" s="43"/>
      <c r="CU484" s="43"/>
      <c r="CV484" s="43"/>
      <c r="CW484" s="43"/>
      <c r="CX484" s="43"/>
      <c r="CY484" s="43"/>
      <c r="CZ484" s="43"/>
      <c r="DA484" s="43"/>
      <c r="DB484" s="43"/>
      <c r="DC484" s="43"/>
      <c r="DD484" s="43"/>
      <c r="DE484" s="43"/>
      <c r="DF484" s="43"/>
      <c r="DG484" s="43"/>
      <c r="DH484" s="43"/>
      <c r="DI484" s="43"/>
      <c r="DJ484" s="43"/>
      <c r="DK484" s="43"/>
      <c r="DL484" s="43"/>
      <c r="DM484" s="43"/>
      <c r="DN484" s="43"/>
      <c r="DO484" s="43"/>
      <c r="DP484" s="43"/>
      <c r="DQ484" s="43"/>
      <c r="DR484" s="43"/>
      <c r="DS484" s="43"/>
      <c r="DT484" s="43"/>
      <c r="DU484" s="43"/>
      <c r="DV484" s="43"/>
      <c r="DW484" s="43"/>
      <c r="DX484" s="43"/>
      <c r="DY484" s="43"/>
      <c r="DZ484" s="43"/>
      <c r="EA484" s="43"/>
      <c r="EB484" s="43"/>
      <c r="EC484" s="43"/>
      <c r="ED484" s="43"/>
      <c r="EE484" s="43"/>
      <c r="EF484" s="43"/>
      <c r="EG484" s="43"/>
      <c r="EH484" s="43"/>
      <c r="EI484" s="43"/>
      <c r="EJ484" s="43"/>
      <c r="EK484" s="43"/>
      <c r="EL484" s="43"/>
      <c r="EM484" s="43"/>
      <c r="EN484" s="43"/>
      <c r="EO484" s="43"/>
      <c r="EP484" s="43"/>
      <c r="EQ484" s="43"/>
      <c r="ER484" s="43"/>
      <c r="ES484" s="43"/>
      <c r="ET484" s="43"/>
      <c r="EU484" s="43"/>
      <c r="EV484" s="43"/>
      <c r="EW484" s="43"/>
      <c r="EX484" s="43"/>
      <c r="EY484" s="43"/>
      <c r="EZ484" s="43"/>
      <c r="FA484" s="43"/>
      <c r="FB484" s="43"/>
      <c r="FC484" s="43"/>
      <c r="FD484" s="43"/>
      <c r="FE484" s="43"/>
      <c r="FF484" s="43"/>
      <c r="FG484" s="43"/>
      <c r="FH484" s="43"/>
      <c r="FI484" s="43"/>
      <c r="FJ484" s="43"/>
      <c r="FK484" s="43"/>
      <c r="FL484" s="43"/>
      <c r="FM484" s="43"/>
      <c r="FN484" s="43"/>
      <c r="FO484" s="43"/>
      <c r="FP484" s="43"/>
      <c r="FQ484" s="43"/>
      <c r="FR484" s="43"/>
      <c r="FS484" s="43"/>
      <c r="FT484" s="43"/>
      <c r="FU484" s="43"/>
      <c r="FV484" s="43"/>
      <c r="FW484" s="43"/>
      <c r="FX484" s="43"/>
      <c r="FY484" s="43"/>
      <c r="FZ484" s="43"/>
      <c r="GA484" s="43"/>
      <c r="GB484" s="43"/>
      <c r="GC484" s="43"/>
      <c r="GD484" s="43"/>
      <c r="GE484" s="43"/>
      <c r="GF484" s="43"/>
      <c r="GG484" s="43"/>
      <c r="GH484" s="43"/>
      <c r="GI484" s="43"/>
      <c r="GJ484" s="43"/>
      <c r="GK484" s="43"/>
      <c r="GL484" s="43"/>
      <c r="GM484" s="43"/>
      <c r="GN484" s="43"/>
      <c r="GO484" s="43"/>
      <c r="GP484" s="43"/>
      <c r="GQ484" s="43"/>
      <c r="GR484" s="43"/>
      <c r="GS484" s="43"/>
      <c r="GT484" s="43"/>
      <c r="GU484" s="43"/>
      <c r="GV484" s="43"/>
      <c r="GW484" s="43"/>
      <c r="GX484" s="43"/>
      <c r="GY484" s="43"/>
      <c r="GZ484" s="43"/>
      <c r="HA484" s="43"/>
      <c r="HB484" s="43"/>
      <c r="HC484" s="43"/>
      <c r="HD484" s="43"/>
      <c r="HE484" s="43"/>
      <c r="HF484" s="43"/>
      <c r="HG484" s="43"/>
      <c r="HH484" s="43"/>
      <c r="HI484" s="43"/>
      <c r="HJ484" s="43"/>
      <c r="HK484" s="43"/>
      <c r="HL484" s="43"/>
      <c r="HM484" s="43"/>
      <c r="HN484" s="43"/>
      <c r="HO484" s="43"/>
      <c r="HP484" s="43"/>
      <c r="HQ484" s="43"/>
      <c r="HR484" s="43"/>
      <c r="HS484" s="43"/>
      <c r="HT484" s="43"/>
      <c r="HU484" s="43"/>
      <c r="HV484" s="43"/>
      <c r="HW484" s="43"/>
      <c r="HX484" s="43"/>
      <c r="HY484" s="43"/>
      <c r="HZ484" s="43"/>
      <c r="IA484" s="43"/>
      <c r="IB484" s="43"/>
      <c r="IC484" s="43"/>
      <c r="ID484" s="43"/>
      <c r="IE484" s="43"/>
      <c r="IF484" s="43"/>
      <c r="IG484" s="43"/>
      <c r="IH484" s="43"/>
      <c r="II484" s="43"/>
      <c r="IJ484" s="43"/>
      <c r="IK484" s="43"/>
      <c r="IL484" s="43"/>
      <c r="IM484" s="43"/>
      <c r="IN484" s="43"/>
      <c r="IO484" s="43"/>
      <c r="IP484" s="43"/>
      <c r="IQ484" s="43"/>
      <c r="IR484" s="43"/>
      <c r="IS484" s="43"/>
      <c r="IT484" s="43"/>
      <c r="IU484" s="43"/>
    </row>
    <row r="485" spans="1:255" s="151" customFormat="1" ht="13.5" customHeight="1" x14ac:dyDescent="0.25">
      <c r="A485" s="11" t="s">
        <v>107</v>
      </c>
      <c r="B485" s="556" t="s">
        <v>108</v>
      </c>
      <c r="C485" s="64">
        <f>SUM(C486)</f>
        <v>29800</v>
      </c>
      <c r="D485" s="23"/>
      <c r="E485" s="23"/>
      <c r="F485" s="9"/>
      <c r="G485" s="152"/>
      <c r="H485" s="152"/>
      <c r="I485" s="152"/>
      <c r="J485" s="152"/>
      <c r="K485" s="152"/>
    </row>
    <row r="486" spans="1:255" s="151" customFormat="1" ht="13.5" customHeight="1" x14ac:dyDescent="0.25">
      <c r="A486" s="12" t="s">
        <v>47</v>
      </c>
      <c r="B486" s="24" t="s">
        <v>48</v>
      </c>
      <c r="C486" s="24">
        <v>29800</v>
      </c>
      <c r="D486" s="23"/>
      <c r="E486" s="23"/>
      <c r="F486" s="9"/>
      <c r="G486" s="152"/>
      <c r="H486" s="152"/>
      <c r="I486" s="152"/>
      <c r="J486" s="152"/>
      <c r="K486" s="152"/>
    </row>
    <row r="487" spans="1:255" s="151" customFormat="1" ht="13.5" customHeight="1" x14ac:dyDescent="0.25">
      <c r="A487" s="265" t="s">
        <v>124</v>
      </c>
      <c r="B487" s="25" t="s">
        <v>123</v>
      </c>
      <c r="C487" s="31">
        <f>SUM(C488:C488)</f>
        <v>24700</v>
      </c>
      <c r="D487" s="23"/>
      <c r="E487" s="23"/>
      <c r="F487" s="9"/>
      <c r="G487" s="152"/>
      <c r="H487" s="152"/>
      <c r="I487" s="152"/>
      <c r="J487" s="152"/>
      <c r="K487" s="152"/>
    </row>
    <row r="488" spans="1:255" s="151" customFormat="1" ht="13.5" customHeight="1" x14ac:dyDescent="0.25">
      <c r="A488" s="12" t="s">
        <v>93</v>
      </c>
      <c r="B488" s="24" t="s">
        <v>72</v>
      </c>
      <c r="C488" s="60">
        <v>24700</v>
      </c>
      <c r="D488" s="23"/>
      <c r="E488" s="23"/>
      <c r="F488" s="9"/>
      <c r="G488" s="152"/>
      <c r="H488" s="152"/>
      <c r="I488" s="152"/>
      <c r="J488" s="152"/>
      <c r="K488" s="152"/>
    </row>
    <row r="489" spans="1:255" s="151" customFormat="1" ht="13.5" customHeight="1" x14ac:dyDescent="0.25">
      <c r="A489" s="265" t="s">
        <v>513</v>
      </c>
      <c r="B489" s="31" t="s">
        <v>125</v>
      </c>
      <c r="C489" s="64">
        <f>SUM(C490:C492)</f>
        <v>152900</v>
      </c>
      <c r="D489" s="23"/>
      <c r="E489" s="23"/>
      <c r="F489" s="9"/>
      <c r="G489" s="152"/>
      <c r="H489" s="152"/>
      <c r="I489" s="152"/>
      <c r="J489" s="152"/>
      <c r="K489" s="152"/>
    </row>
    <row r="490" spans="1:255" s="151" customFormat="1" ht="13.5" customHeight="1" x14ac:dyDescent="0.25">
      <c r="A490" s="72" t="s">
        <v>152</v>
      </c>
      <c r="B490" s="24" t="s">
        <v>65</v>
      </c>
      <c r="C490" s="60">
        <v>12900</v>
      </c>
      <c r="D490" s="23"/>
      <c r="E490" s="23"/>
      <c r="F490" s="9"/>
      <c r="G490" s="152"/>
      <c r="H490" s="152"/>
      <c r="I490" s="152"/>
      <c r="J490" s="152"/>
      <c r="K490" s="152"/>
    </row>
    <row r="491" spans="1:255" s="151" customFormat="1" ht="13.5" customHeight="1" x14ac:dyDescent="0.25">
      <c r="A491" s="72" t="s">
        <v>155</v>
      </c>
      <c r="B491" s="24" t="s">
        <v>125</v>
      </c>
      <c r="C491" s="24">
        <v>32000</v>
      </c>
      <c r="D491" s="23"/>
      <c r="E491" s="23"/>
      <c r="F491" s="9"/>
      <c r="G491" s="152"/>
      <c r="H491" s="152"/>
      <c r="I491" s="152"/>
      <c r="J491" s="152"/>
      <c r="K491" s="152"/>
    </row>
    <row r="492" spans="1:255" s="151" customFormat="1" ht="13.5" customHeight="1" x14ac:dyDescent="0.25">
      <c r="A492" s="72" t="s">
        <v>714</v>
      </c>
      <c r="B492" s="43" t="s">
        <v>698</v>
      </c>
      <c r="C492" s="24">
        <v>108000</v>
      </c>
      <c r="D492" s="23"/>
      <c r="E492" s="23"/>
      <c r="F492" s="9"/>
      <c r="G492" s="152"/>
      <c r="H492" s="152"/>
      <c r="I492" s="152"/>
      <c r="J492" s="152"/>
      <c r="K492" s="152"/>
    </row>
    <row r="493" spans="1:255" s="151" customFormat="1" ht="13.5" customHeight="1" thickBot="1" x14ac:dyDescent="0.3">
      <c r="A493" s="72"/>
      <c r="B493" s="72"/>
      <c r="C493" s="23"/>
      <c r="D493" s="23"/>
      <c r="E493" s="23"/>
      <c r="F493" s="9"/>
      <c r="G493" s="152"/>
      <c r="H493" s="152"/>
      <c r="I493" s="152"/>
      <c r="J493" s="152"/>
      <c r="K493" s="152"/>
    </row>
    <row r="494" spans="1:255" s="151" customFormat="1" ht="13.5" customHeight="1" thickBot="1" x14ac:dyDescent="0.3">
      <c r="A494" s="1096" t="s">
        <v>3</v>
      </c>
      <c r="B494" s="1097"/>
      <c r="C494" s="668">
        <f>(C495+C497+C501+C503+C505+C507)</f>
        <v>1075800</v>
      </c>
      <c r="D494" s="23"/>
      <c r="E494" s="23"/>
      <c r="F494" s="9"/>
      <c r="G494" s="152"/>
      <c r="H494" s="152"/>
      <c r="I494" s="152"/>
      <c r="J494" s="152"/>
      <c r="K494" s="152"/>
    </row>
    <row r="495" spans="1:255" s="151" customFormat="1" ht="13.5" customHeight="1" x14ac:dyDescent="0.25">
      <c r="A495" s="63" t="s">
        <v>110</v>
      </c>
      <c r="B495" s="211" t="s">
        <v>111</v>
      </c>
      <c r="C495" s="32">
        <f>SUM(C496)</f>
        <v>35000</v>
      </c>
      <c r="D495" s="23"/>
      <c r="E495" s="23"/>
      <c r="F495" s="9"/>
      <c r="G495" s="152"/>
      <c r="H495" s="152"/>
      <c r="I495" s="152"/>
      <c r="J495" s="152"/>
      <c r="K495" s="152"/>
    </row>
    <row r="496" spans="1:255" s="151" customFormat="1" ht="13.5" customHeight="1" x14ac:dyDescent="0.25">
      <c r="A496" s="59" t="s">
        <v>52</v>
      </c>
      <c r="B496" s="59" t="s">
        <v>15</v>
      </c>
      <c r="C496" s="24">
        <v>35000</v>
      </c>
      <c r="D496" s="23"/>
      <c r="E496" s="23"/>
      <c r="F496" s="9"/>
      <c r="G496" s="152"/>
      <c r="H496" s="152"/>
      <c r="I496" s="152"/>
      <c r="J496" s="152"/>
      <c r="K496" s="152"/>
    </row>
    <row r="497" spans="1:255" s="151" customFormat="1" ht="13.5" customHeight="1" x14ac:dyDescent="0.25">
      <c r="A497" s="63" t="s">
        <v>120</v>
      </c>
      <c r="B497" s="63" t="s">
        <v>121</v>
      </c>
      <c r="C497" s="558">
        <f>SUM(C498:C500)</f>
        <v>97800</v>
      </c>
      <c r="D497" s="23"/>
      <c r="E497" s="23"/>
      <c r="F497" s="9"/>
      <c r="G497" s="152"/>
      <c r="H497" s="152"/>
      <c r="I497" s="152"/>
      <c r="J497" s="152"/>
      <c r="K497" s="152"/>
    </row>
    <row r="498" spans="1:255" s="151" customFormat="1" ht="13.5" customHeight="1" x14ac:dyDescent="0.25">
      <c r="A498" s="59" t="s">
        <v>246</v>
      </c>
      <c r="B498" s="43" t="s">
        <v>247</v>
      </c>
      <c r="C498" s="60">
        <v>35800</v>
      </c>
      <c r="D498" s="23"/>
      <c r="E498" s="23"/>
      <c r="F498" s="9"/>
      <c r="G498" s="152"/>
      <c r="H498" s="152"/>
      <c r="I498" s="152"/>
      <c r="J498" s="152"/>
      <c r="K498" s="152"/>
    </row>
    <row r="499" spans="1:255" s="151" customFormat="1" ht="13.5" customHeight="1" x14ac:dyDescent="0.25">
      <c r="A499" s="59" t="s">
        <v>140</v>
      </c>
      <c r="B499" s="43" t="s">
        <v>141</v>
      </c>
      <c r="C499" s="60">
        <v>27000</v>
      </c>
      <c r="D499" s="23"/>
      <c r="E499" s="23"/>
      <c r="F499" s="9"/>
      <c r="G499" s="152"/>
      <c r="H499" s="152"/>
      <c r="I499" s="152"/>
      <c r="J499" s="152"/>
      <c r="K499" s="152"/>
    </row>
    <row r="500" spans="1:255" s="151" customFormat="1" ht="13.5" customHeight="1" x14ac:dyDescent="0.25">
      <c r="A500" s="59" t="s">
        <v>136</v>
      </c>
      <c r="B500" s="59" t="s">
        <v>71</v>
      </c>
      <c r="C500" s="60">
        <v>35000</v>
      </c>
      <c r="D500" s="23"/>
      <c r="E500" s="23"/>
      <c r="F500" s="9"/>
      <c r="G500" s="152"/>
      <c r="H500" s="152"/>
      <c r="I500" s="152"/>
      <c r="J500" s="152"/>
      <c r="K500" s="152"/>
    </row>
    <row r="501" spans="1:255" s="151" customFormat="1" ht="13.5" customHeight="1" x14ac:dyDescent="0.25">
      <c r="A501" s="265" t="s">
        <v>112</v>
      </c>
      <c r="B501" s="63" t="s">
        <v>157</v>
      </c>
      <c r="C501" s="31">
        <f>SUM(C502)</f>
        <v>410000</v>
      </c>
      <c r="D501" s="23"/>
      <c r="E501" s="23"/>
      <c r="F501" s="9"/>
      <c r="G501" s="152"/>
      <c r="H501" s="152"/>
      <c r="I501" s="152"/>
      <c r="J501" s="152"/>
      <c r="K501" s="152"/>
    </row>
    <row r="502" spans="1:255" s="151" customFormat="1" ht="13.5" customHeight="1" x14ac:dyDescent="0.25">
      <c r="A502" s="72" t="s">
        <v>49</v>
      </c>
      <c r="B502" s="24" t="s">
        <v>87</v>
      </c>
      <c r="C502" s="60">
        <v>410000</v>
      </c>
      <c r="D502" s="23"/>
      <c r="E502" s="23"/>
      <c r="F502" s="9"/>
      <c r="G502" s="152"/>
      <c r="H502" s="152"/>
      <c r="I502" s="152"/>
      <c r="J502" s="152"/>
      <c r="K502" s="152"/>
    </row>
    <row r="503" spans="1:255" s="151" customFormat="1" ht="13.5" customHeight="1" x14ac:dyDescent="0.25">
      <c r="A503" s="265" t="s">
        <v>113</v>
      </c>
      <c r="B503" s="31" t="s">
        <v>114</v>
      </c>
      <c r="C503" s="64">
        <f>SUM(C504)</f>
        <v>25800</v>
      </c>
      <c r="D503" s="23"/>
      <c r="E503" s="23"/>
      <c r="F503" s="9"/>
      <c r="G503" s="152"/>
      <c r="H503" s="152"/>
      <c r="I503" s="152"/>
      <c r="J503" s="152"/>
      <c r="K503" s="152"/>
    </row>
    <row r="504" spans="1:255" s="151" customFormat="1" ht="13.5" customHeight="1" x14ac:dyDescent="0.25">
      <c r="A504" s="72" t="s">
        <v>164</v>
      </c>
      <c r="B504" s="59" t="s">
        <v>74</v>
      </c>
      <c r="C504" s="60">
        <v>25800</v>
      </c>
      <c r="D504" s="23"/>
      <c r="E504" s="23"/>
      <c r="F504" s="9"/>
      <c r="G504" s="152"/>
      <c r="H504" s="152"/>
      <c r="I504" s="152"/>
      <c r="J504" s="152"/>
      <c r="K504" s="152"/>
    </row>
    <row r="505" spans="1:255" s="56" customFormat="1" x14ac:dyDescent="0.3">
      <c r="A505" s="11" t="s">
        <v>132</v>
      </c>
      <c r="B505" s="31" t="s">
        <v>56</v>
      </c>
      <c r="C505" s="64">
        <f>SUM(C506)</f>
        <v>55000</v>
      </c>
      <c r="E505" s="57"/>
      <c r="F505" s="57"/>
    </row>
    <row r="506" spans="1:255" s="66" customFormat="1" x14ac:dyDescent="0.3">
      <c r="A506" s="72" t="s">
        <v>55</v>
      </c>
      <c r="B506" s="43" t="s">
        <v>56</v>
      </c>
      <c r="C506" s="60">
        <v>55000</v>
      </c>
      <c r="E506" s="57"/>
      <c r="F506" s="241"/>
      <c r="G506" s="463"/>
      <c r="H506" s="67"/>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c r="AS506" s="56"/>
      <c r="AT506" s="56"/>
      <c r="AU506" s="56"/>
      <c r="AV506" s="56"/>
      <c r="AW506" s="56"/>
      <c r="AX506" s="56"/>
      <c r="AY506" s="56"/>
      <c r="AZ506" s="56"/>
      <c r="BA506" s="56"/>
      <c r="BB506" s="56"/>
      <c r="BC506" s="56"/>
      <c r="BD506" s="56"/>
      <c r="BE506" s="56"/>
      <c r="BF506" s="56"/>
      <c r="BG506" s="56"/>
      <c r="BH506" s="56"/>
      <c r="BI506" s="56"/>
      <c r="BJ506" s="56"/>
      <c r="BK506" s="56"/>
      <c r="BL506" s="56"/>
      <c r="BM506" s="56"/>
      <c r="BN506" s="56"/>
      <c r="BO506" s="56"/>
      <c r="BP506" s="56"/>
      <c r="BQ506" s="56"/>
      <c r="BR506" s="56"/>
      <c r="BS506" s="56"/>
      <c r="BT506" s="56"/>
      <c r="BU506" s="56"/>
      <c r="BV506" s="56"/>
      <c r="BW506" s="56"/>
      <c r="BX506" s="56"/>
      <c r="BY506" s="56"/>
      <c r="BZ506" s="56"/>
      <c r="CA506" s="56"/>
      <c r="CB506" s="56"/>
      <c r="CC506" s="56"/>
      <c r="CD506" s="56"/>
      <c r="CE506" s="56"/>
      <c r="CF506" s="56"/>
      <c r="CG506" s="56"/>
      <c r="CH506" s="56"/>
      <c r="CI506" s="56"/>
      <c r="CJ506" s="56"/>
      <c r="CK506" s="56"/>
      <c r="CL506" s="56"/>
      <c r="CM506" s="56"/>
      <c r="CN506" s="56"/>
      <c r="CO506" s="56"/>
      <c r="CP506" s="56"/>
      <c r="CQ506" s="56"/>
      <c r="CR506" s="56"/>
      <c r="CS506" s="56"/>
      <c r="CT506" s="56"/>
      <c r="CU506" s="56"/>
      <c r="CV506" s="56"/>
      <c r="CW506" s="56"/>
      <c r="CX506" s="56"/>
      <c r="CY506" s="56"/>
      <c r="CZ506" s="56"/>
      <c r="DA506" s="56"/>
      <c r="DB506" s="56"/>
      <c r="DC506" s="56"/>
      <c r="DD506" s="56"/>
      <c r="DE506" s="56"/>
      <c r="DF506" s="56"/>
      <c r="DG506" s="56"/>
      <c r="DH506" s="56"/>
      <c r="DI506" s="56"/>
      <c r="DJ506" s="56"/>
      <c r="DK506" s="56"/>
      <c r="DL506" s="56"/>
      <c r="DM506" s="56"/>
      <c r="DN506" s="56"/>
      <c r="DO506" s="56"/>
      <c r="DP506" s="56"/>
      <c r="DQ506" s="56"/>
      <c r="DR506" s="56"/>
      <c r="DS506" s="56"/>
      <c r="DT506" s="56"/>
      <c r="DU506" s="56"/>
      <c r="DV506" s="56"/>
      <c r="DW506" s="56"/>
      <c r="DX506" s="56"/>
      <c r="DY506" s="56"/>
      <c r="DZ506" s="56"/>
      <c r="EA506" s="56"/>
      <c r="EB506" s="56"/>
      <c r="EC506" s="56"/>
      <c r="ED506" s="56"/>
      <c r="EE506" s="56"/>
      <c r="EF506" s="56"/>
      <c r="EG506" s="56"/>
      <c r="EH506" s="56"/>
      <c r="EI506" s="56"/>
      <c r="EJ506" s="56"/>
      <c r="EK506" s="56"/>
      <c r="EL506" s="56"/>
      <c r="EM506" s="56"/>
      <c r="EN506" s="56"/>
      <c r="EO506" s="56"/>
      <c r="EP506" s="56"/>
      <c r="EQ506" s="56"/>
      <c r="ER506" s="56"/>
      <c r="ES506" s="56"/>
      <c r="ET506" s="56"/>
      <c r="EU506" s="56"/>
      <c r="EV506" s="56"/>
      <c r="EW506" s="56"/>
      <c r="EX506" s="56"/>
      <c r="EY506" s="56"/>
      <c r="EZ506" s="56"/>
      <c r="FA506" s="56"/>
      <c r="FB506" s="56"/>
      <c r="FC506" s="56"/>
      <c r="FD506" s="56"/>
      <c r="FE506" s="56"/>
      <c r="FF506" s="56"/>
      <c r="FG506" s="56"/>
      <c r="FH506" s="56"/>
      <c r="FI506" s="56"/>
      <c r="FJ506" s="56"/>
      <c r="FK506" s="56"/>
      <c r="FL506" s="56"/>
      <c r="FM506" s="56"/>
      <c r="FN506" s="56"/>
      <c r="FO506" s="56"/>
      <c r="FP506" s="56"/>
      <c r="FQ506" s="56"/>
      <c r="FR506" s="56"/>
      <c r="FS506" s="56"/>
      <c r="FT506" s="56"/>
      <c r="FU506" s="56"/>
      <c r="FV506" s="56"/>
      <c r="FW506" s="56"/>
      <c r="FX506" s="56"/>
      <c r="FY506" s="56"/>
      <c r="FZ506" s="56"/>
      <c r="GA506" s="56"/>
      <c r="GB506" s="56"/>
      <c r="GC506" s="56"/>
      <c r="GD506" s="56"/>
      <c r="GE506" s="56"/>
      <c r="GF506" s="56"/>
      <c r="GG506" s="56"/>
      <c r="GH506" s="56"/>
      <c r="GI506" s="56"/>
      <c r="GJ506" s="56"/>
      <c r="GK506" s="56"/>
      <c r="GL506" s="56"/>
      <c r="GM506" s="56"/>
      <c r="GN506" s="56"/>
      <c r="GO506" s="56"/>
      <c r="GP506" s="56"/>
      <c r="GQ506" s="56"/>
      <c r="GR506" s="56"/>
      <c r="GS506" s="56"/>
      <c r="GT506" s="56"/>
      <c r="GU506" s="56"/>
      <c r="GV506" s="56"/>
      <c r="GW506" s="56"/>
      <c r="GX506" s="56"/>
      <c r="GY506" s="56"/>
      <c r="GZ506" s="56"/>
      <c r="HA506" s="56"/>
      <c r="HB506" s="56"/>
      <c r="HC506" s="56"/>
      <c r="HD506" s="56"/>
      <c r="HE506" s="56"/>
      <c r="HF506" s="56"/>
      <c r="HG506" s="56"/>
      <c r="HH506" s="56"/>
      <c r="HI506" s="56"/>
      <c r="HJ506" s="56"/>
      <c r="HK506" s="56"/>
      <c r="HL506" s="56"/>
      <c r="HM506" s="56"/>
      <c r="HN506" s="56"/>
      <c r="HO506" s="56"/>
      <c r="HP506" s="56"/>
      <c r="HQ506" s="56"/>
      <c r="HR506" s="56"/>
      <c r="HS506" s="56"/>
      <c r="HT506" s="56"/>
      <c r="HU506" s="56"/>
      <c r="HV506" s="56"/>
      <c r="HW506" s="56"/>
      <c r="HX506" s="56"/>
      <c r="HY506" s="56"/>
      <c r="HZ506" s="56"/>
      <c r="IA506" s="56"/>
      <c r="IB506" s="56"/>
      <c r="IC506" s="56"/>
      <c r="ID506" s="56"/>
      <c r="IE506" s="56"/>
      <c r="IF506" s="56"/>
      <c r="IG506" s="56"/>
      <c r="IH506" s="56"/>
      <c r="II506" s="56"/>
      <c r="IJ506" s="56"/>
      <c r="IK506" s="56"/>
      <c r="IL506" s="56"/>
      <c r="IM506" s="56"/>
      <c r="IN506" s="56"/>
      <c r="IO506" s="56"/>
      <c r="IP506" s="56"/>
      <c r="IQ506" s="56"/>
      <c r="IR506" s="56"/>
      <c r="IS506" s="56"/>
      <c r="IT506" s="56"/>
      <c r="IU506" s="56"/>
    </row>
    <row r="507" spans="1:255" s="151" customFormat="1" ht="13.5" customHeight="1" x14ac:dyDescent="0.25">
      <c r="A507" s="265" t="s">
        <v>115</v>
      </c>
      <c r="B507" s="31" t="s">
        <v>8</v>
      </c>
      <c r="C507" s="64">
        <f>SUM(C508:C511)</f>
        <v>452200</v>
      </c>
      <c r="D507" s="23"/>
      <c r="E507" s="23"/>
      <c r="F507" s="9"/>
      <c r="G507" s="152"/>
      <c r="H507" s="152"/>
      <c r="I507" s="152"/>
      <c r="J507" s="152"/>
      <c r="K507" s="152"/>
    </row>
    <row r="508" spans="1:255" s="151" customFormat="1" ht="13.5" customHeight="1" x14ac:dyDescent="0.25">
      <c r="A508" s="72" t="s">
        <v>92</v>
      </c>
      <c r="B508" s="24" t="s">
        <v>8</v>
      </c>
      <c r="C508" s="60">
        <v>358000</v>
      </c>
      <c r="D508" s="23"/>
      <c r="E508" s="23"/>
      <c r="F508" s="9"/>
      <c r="G508" s="152"/>
      <c r="H508" s="152"/>
      <c r="I508" s="152"/>
      <c r="J508" s="152"/>
      <c r="K508" s="152"/>
    </row>
    <row r="509" spans="1:255" s="66" customFormat="1" x14ac:dyDescent="0.3">
      <c r="A509" s="72" t="s">
        <v>181</v>
      </c>
      <c r="B509" s="43" t="s">
        <v>180</v>
      </c>
      <c r="C509" s="60">
        <v>10000</v>
      </c>
      <c r="D509" s="67"/>
      <c r="F509" s="204"/>
      <c r="G509" s="68"/>
    </row>
    <row r="510" spans="1:255" s="66" customFormat="1" x14ac:dyDescent="0.3">
      <c r="A510" s="59" t="s">
        <v>222</v>
      </c>
      <c r="B510" s="43" t="s">
        <v>221</v>
      </c>
      <c r="C510" s="60">
        <f>120000-60000-30000</f>
        <v>30000</v>
      </c>
      <c r="E510" s="68"/>
      <c r="F510" s="204"/>
      <c r="H510" s="67"/>
    </row>
    <row r="511" spans="1:255" s="151" customFormat="1" ht="13.5" customHeight="1" x14ac:dyDescent="0.25">
      <c r="A511" s="72" t="s">
        <v>90</v>
      </c>
      <c r="B511" s="24" t="s">
        <v>7</v>
      </c>
      <c r="C511" s="60">
        <v>54200</v>
      </c>
      <c r="D511" s="23"/>
      <c r="E511" s="23"/>
      <c r="F511" s="9"/>
      <c r="G511" s="152"/>
      <c r="H511" s="152"/>
      <c r="I511" s="152"/>
      <c r="J511" s="152"/>
      <c r="K511" s="152"/>
    </row>
    <row r="512" spans="1:255" s="151" customFormat="1" ht="13.5" customHeight="1" thickBot="1" x14ac:dyDescent="0.3">
      <c r="A512" s="72"/>
      <c r="B512" s="72"/>
      <c r="C512" s="23"/>
      <c r="D512" s="23"/>
      <c r="E512" s="23"/>
      <c r="F512" s="9"/>
      <c r="G512" s="152"/>
      <c r="H512" s="152"/>
      <c r="I512" s="152"/>
      <c r="J512" s="152"/>
      <c r="K512" s="152"/>
    </row>
    <row r="513" spans="1:11" s="66" customFormat="1" ht="13.5" thickBot="1" x14ac:dyDescent="0.35">
      <c r="A513" s="1142" t="s">
        <v>5</v>
      </c>
      <c r="B513" s="1143"/>
      <c r="C513" s="726">
        <f>C514</f>
        <v>85000</v>
      </c>
      <c r="D513" s="67"/>
      <c r="E513" s="68"/>
      <c r="F513" s="204"/>
    </row>
    <row r="514" spans="1:11" s="239" customFormat="1" x14ac:dyDescent="0.3">
      <c r="A514" s="63" t="s">
        <v>128</v>
      </c>
      <c r="B514" s="211" t="s">
        <v>129</v>
      </c>
      <c r="C514" s="563">
        <f>SUM(C515:C515)</f>
        <v>85000</v>
      </c>
      <c r="D514" s="180"/>
      <c r="E514" s="95"/>
      <c r="F514" s="99"/>
    </row>
    <row r="515" spans="1:11" s="56" customFormat="1" x14ac:dyDescent="0.3">
      <c r="A515" s="59" t="s">
        <v>144</v>
      </c>
      <c r="B515" s="43" t="s">
        <v>258</v>
      </c>
      <c r="C515" s="60">
        <v>85000</v>
      </c>
      <c r="D515" s="60"/>
      <c r="E515" s="57"/>
      <c r="F515" s="99"/>
    </row>
    <row r="516" spans="1:11" s="56" customFormat="1" ht="13.5" thickBot="1" x14ac:dyDescent="0.35">
      <c r="A516" s="59"/>
      <c r="B516" s="43"/>
      <c r="C516" s="60"/>
      <c r="D516" s="60"/>
      <c r="E516" s="57"/>
      <c r="F516" s="99"/>
    </row>
    <row r="517" spans="1:11" s="151" customFormat="1" ht="13.5" customHeight="1" thickBot="1" x14ac:dyDescent="0.3">
      <c r="A517" s="1148" t="s">
        <v>4</v>
      </c>
      <c r="B517" s="1149"/>
      <c r="C517" s="670">
        <f>(+C518+C521)</f>
        <v>104300</v>
      </c>
      <c r="D517" s="23"/>
      <c r="E517" s="23"/>
      <c r="F517" s="9"/>
      <c r="G517" s="152"/>
      <c r="H517" s="152"/>
      <c r="I517" s="152"/>
      <c r="J517" s="152"/>
      <c r="K517" s="152"/>
    </row>
    <row r="518" spans="1:11" s="151" customFormat="1" ht="13.5" customHeight="1" x14ac:dyDescent="0.25">
      <c r="A518" s="11" t="s">
        <v>116</v>
      </c>
      <c r="B518" s="25" t="s">
        <v>117</v>
      </c>
      <c r="C518" s="558">
        <f>SUM(C519:C520)</f>
        <v>85900</v>
      </c>
      <c r="D518" s="23"/>
      <c r="E518" s="23"/>
      <c r="F518" s="9"/>
      <c r="G518" s="152"/>
      <c r="H518" s="152"/>
      <c r="I518" s="152"/>
      <c r="J518" s="152"/>
      <c r="K518" s="152"/>
    </row>
    <row r="519" spans="1:11" s="151" customFormat="1" ht="13.5" customHeight="1" x14ac:dyDescent="0.25">
      <c r="A519" s="72" t="s">
        <v>91</v>
      </c>
      <c r="B519" s="23" t="s">
        <v>139</v>
      </c>
      <c r="C519" s="60">
        <v>35000</v>
      </c>
      <c r="D519" s="23"/>
      <c r="E519" s="23"/>
      <c r="F519" s="9"/>
      <c r="G519" s="152"/>
      <c r="H519" s="152"/>
      <c r="I519" s="152"/>
      <c r="J519" s="152"/>
      <c r="K519" s="152"/>
    </row>
    <row r="520" spans="1:11" s="151" customFormat="1" ht="13.5" customHeight="1" x14ac:dyDescent="0.25">
      <c r="A520" s="12" t="s">
        <v>57</v>
      </c>
      <c r="B520" s="43" t="s">
        <v>58</v>
      </c>
      <c r="C520" s="60">
        <f>40900+10000</f>
        <v>50900</v>
      </c>
      <c r="D520" s="23"/>
      <c r="E520" s="23"/>
      <c r="F520" s="9"/>
      <c r="G520" s="152"/>
      <c r="H520" s="152"/>
      <c r="I520" s="152"/>
      <c r="J520" s="152"/>
      <c r="K520" s="152"/>
    </row>
    <row r="521" spans="1:11" s="151" customFormat="1" ht="13.5" customHeight="1" x14ac:dyDescent="0.25">
      <c r="A521" s="265" t="s">
        <v>166</v>
      </c>
      <c r="B521" s="25" t="s">
        <v>135</v>
      </c>
      <c r="C521" s="64">
        <f>SUM(C522)</f>
        <v>18400</v>
      </c>
      <c r="D521" s="23"/>
      <c r="E521" s="23"/>
      <c r="F521" s="9"/>
      <c r="G521" s="152"/>
      <c r="H521" s="152"/>
      <c r="I521" s="152"/>
      <c r="J521" s="152"/>
      <c r="K521" s="152"/>
    </row>
    <row r="522" spans="1:11" s="151" customFormat="1" ht="13.5" customHeight="1" x14ac:dyDescent="0.25">
      <c r="A522" s="72" t="s">
        <v>167</v>
      </c>
      <c r="B522" s="23" t="s">
        <v>51</v>
      </c>
      <c r="C522" s="60">
        <v>18400</v>
      </c>
      <c r="D522" s="23"/>
      <c r="E522" s="23"/>
      <c r="F522" s="9"/>
      <c r="G522" s="152"/>
      <c r="H522" s="152"/>
      <c r="I522" s="152"/>
      <c r="J522" s="152"/>
      <c r="K522" s="152"/>
    </row>
    <row r="523" spans="1:11" s="151" customFormat="1" ht="13.5" customHeight="1" x14ac:dyDescent="0.25">
      <c r="A523" s="72"/>
      <c r="B523" s="23"/>
      <c r="C523" s="60"/>
      <c r="D523" s="23"/>
      <c r="E523" s="23"/>
      <c r="F523" s="9"/>
      <c r="G523" s="152"/>
      <c r="H523" s="152"/>
      <c r="I523" s="152"/>
      <c r="J523" s="152"/>
      <c r="K523" s="152"/>
    </row>
    <row r="524" spans="1:11" s="151" customFormat="1" ht="13.5" customHeight="1" thickBot="1" x14ac:dyDescent="0.3">
      <c r="A524" s="72"/>
      <c r="B524" s="23"/>
      <c r="C524" s="60"/>
      <c r="D524" s="23"/>
      <c r="E524" s="23"/>
      <c r="F524" s="9"/>
      <c r="G524" s="152"/>
      <c r="H524" s="152"/>
      <c r="I524" s="152"/>
      <c r="J524" s="152"/>
      <c r="K524" s="152"/>
    </row>
    <row r="525" spans="1:11" s="6" customFormat="1" x14ac:dyDescent="0.3">
      <c r="A525" s="1117" t="s">
        <v>711</v>
      </c>
      <c r="B525" s="1118"/>
      <c r="C525" s="1119"/>
      <c r="D525" s="692" t="s">
        <v>6</v>
      </c>
      <c r="E525" s="911">
        <v>1107</v>
      </c>
      <c r="F525" s="89"/>
    </row>
    <row r="526" spans="1:11" s="6" customFormat="1" ht="13.5" thickBot="1" x14ac:dyDescent="0.35">
      <c r="A526" s="1120"/>
      <c r="B526" s="1121"/>
      <c r="C526" s="1122"/>
      <c r="D526" s="695"/>
      <c r="E526" s="696"/>
      <c r="F526" s="89"/>
    </row>
    <row r="527" spans="1:11" s="6" customFormat="1" x14ac:dyDescent="0.3">
      <c r="A527" s="1106" t="s">
        <v>1000</v>
      </c>
      <c r="B527" s="1107"/>
      <c r="C527" s="1107"/>
      <c r="D527" s="1107"/>
      <c r="E527" s="1108"/>
      <c r="F527" s="89"/>
    </row>
    <row r="528" spans="1:11" s="6" customFormat="1" x14ac:dyDescent="0.3">
      <c r="A528" s="1136"/>
      <c r="B528" s="1137"/>
      <c r="C528" s="1137"/>
      <c r="D528" s="1137"/>
      <c r="E528" s="1138"/>
      <c r="F528" s="89"/>
    </row>
    <row r="529" spans="1:8" s="6" customFormat="1" ht="13.5" thickBot="1" x14ac:dyDescent="0.35">
      <c r="A529" s="1136"/>
      <c r="B529" s="1137"/>
      <c r="C529" s="1137"/>
      <c r="D529" s="1137"/>
      <c r="E529" s="1138"/>
      <c r="F529" s="89"/>
    </row>
    <row r="530" spans="1:8" s="6" customFormat="1" x14ac:dyDescent="0.3">
      <c r="A530" s="119" t="s">
        <v>1029</v>
      </c>
      <c r="B530" s="118"/>
      <c r="C530" s="117"/>
      <c r="D530" s="116"/>
      <c r="E530" s="115"/>
      <c r="F530" s="89"/>
    </row>
    <row r="531" spans="1:8" s="13" customFormat="1" x14ac:dyDescent="0.3">
      <c r="A531" s="41" t="s">
        <v>710</v>
      </c>
      <c r="B531" s="46"/>
      <c r="C531" s="55"/>
      <c r="D531" s="32"/>
      <c r="E531" s="42"/>
      <c r="F531" s="90"/>
    </row>
    <row r="532" spans="1:8" s="13" customFormat="1" ht="11.25" customHeight="1" x14ac:dyDescent="0.3">
      <c r="A532" s="41" t="s">
        <v>1040</v>
      </c>
      <c r="B532" s="31"/>
      <c r="C532" s="55"/>
      <c r="D532" s="32"/>
      <c r="E532" s="42"/>
      <c r="F532" s="90"/>
    </row>
    <row r="533" spans="1:8" s="6" customFormat="1" ht="13.5" customHeight="1" thickBot="1" x14ac:dyDescent="0.35">
      <c r="A533" s="41" t="s">
        <v>158</v>
      </c>
      <c r="B533" s="46"/>
      <c r="C533" s="55"/>
      <c r="D533" s="32"/>
      <c r="E533" s="42"/>
      <c r="F533" s="89"/>
    </row>
    <row r="534" spans="1:8" s="6" customFormat="1" ht="13.5" customHeight="1" thickBot="1" x14ac:dyDescent="0.35">
      <c r="A534" s="762" t="s">
        <v>0</v>
      </c>
      <c r="B534" s="781"/>
      <c r="C534" s="782"/>
      <c r="D534" s="783"/>
      <c r="E534" s="772">
        <f>+C536+C548+C563</f>
        <v>1928770</v>
      </c>
      <c r="F534" s="89"/>
    </row>
    <row r="535" spans="1:8" s="6" customFormat="1" ht="13.5" customHeight="1" thickBot="1" x14ac:dyDescent="0.35">
      <c r="B535" s="29"/>
      <c r="C535" s="29"/>
      <c r="D535" s="114"/>
      <c r="E535" s="45"/>
      <c r="F535" s="89"/>
    </row>
    <row r="536" spans="1:8" s="6" customFormat="1" ht="13.5" customHeight="1" thickBot="1" x14ac:dyDescent="0.35">
      <c r="A536" s="1104" t="s">
        <v>2</v>
      </c>
      <c r="B536" s="1105"/>
      <c r="C536" s="667">
        <f>C537+C539+C541+C543</f>
        <v>216720</v>
      </c>
      <c r="D536" s="114"/>
      <c r="E536" s="29"/>
      <c r="F536" s="89"/>
    </row>
    <row r="537" spans="1:8" s="6" customFormat="1" ht="13.5" customHeight="1" x14ac:dyDescent="0.3">
      <c r="A537" s="11" t="s">
        <v>103</v>
      </c>
      <c r="B537" s="298" t="s">
        <v>104</v>
      </c>
      <c r="C537" s="31">
        <f>SUM(C538)</f>
        <v>19510</v>
      </c>
      <c r="F537" s="114"/>
      <c r="G537" s="29"/>
      <c r="H537" s="89"/>
    </row>
    <row r="538" spans="1:8" s="6" customFormat="1" ht="13.5" customHeight="1" x14ac:dyDescent="0.3">
      <c r="A538" s="12" t="s">
        <v>46</v>
      </c>
      <c r="B538" s="43" t="s">
        <v>161</v>
      </c>
      <c r="C538" s="24">
        <v>19510</v>
      </c>
      <c r="F538" s="180"/>
      <c r="G538" s="29"/>
      <c r="H538" s="89"/>
    </row>
    <row r="539" spans="1:8" s="13" customFormat="1" x14ac:dyDescent="0.3">
      <c r="A539" s="11" t="s">
        <v>105</v>
      </c>
      <c r="B539" s="556" t="s">
        <v>106</v>
      </c>
      <c r="C539" s="31">
        <f>SUM(C540)</f>
        <v>28750</v>
      </c>
      <c r="F539" s="114"/>
      <c r="G539" s="100"/>
      <c r="H539" s="90"/>
    </row>
    <row r="540" spans="1:8" s="13" customFormat="1" x14ac:dyDescent="0.3">
      <c r="A540" s="12" t="s">
        <v>86</v>
      </c>
      <c r="B540" s="43" t="s">
        <v>66</v>
      </c>
      <c r="C540" s="24">
        <v>28750</v>
      </c>
      <c r="F540" s="114"/>
      <c r="G540" s="100"/>
      <c r="H540" s="90"/>
    </row>
    <row r="541" spans="1:8" s="13" customFormat="1" x14ac:dyDescent="0.3">
      <c r="A541" s="11" t="s">
        <v>107</v>
      </c>
      <c r="B541" s="556" t="s">
        <v>108</v>
      </c>
      <c r="C541" s="31">
        <f>SUM(C542)</f>
        <v>33880</v>
      </c>
      <c r="F541" s="114"/>
      <c r="G541" s="100"/>
      <c r="H541" s="90"/>
    </row>
    <row r="542" spans="1:8" s="8" customFormat="1" x14ac:dyDescent="0.3">
      <c r="A542" s="12" t="s">
        <v>47</v>
      </c>
      <c r="B542" s="23" t="s">
        <v>48</v>
      </c>
      <c r="C542" s="24">
        <v>33880</v>
      </c>
      <c r="F542" s="113"/>
      <c r="G542" s="86"/>
      <c r="H542" s="92"/>
    </row>
    <row r="543" spans="1:8" s="8" customFormat="1" x14ac:dyDescent="0.3">
      <c r="A543" s="265" t="s">
        <v>151</v>
      </c>
      <c r="B543" s="25" t="s">
        <v>125</v>
      </c>
      <c r="C543" s="31">
        <f>SUM(C544:C546)</f>
        <v>134580</v>
      </c>
      <c r="F543" s="113"/>
      <c r="G543" s="86"/>
      <c r="H543" s="92"/>
    </row>
    <row r="544" spans="1:8" s="8" customFormat="1" x14ac:dyDescent="0.3">
      <c r="A544" s="12" t="s">
        <v>153</v>
      </c>
      <c r="B544" s="43" t="s">
        <v>70</v>
      </c>
      <c r="C544" s="24">
        <v>23780</v>
      </c>
      <c r="F544" s="113"/>
      <c r="G544" s="86"/>
      <c r="H544" s="92"/>
    </row>
    <row r="545" spans="1:8" s="8" customFormat="1" x14ac:dyDescent="0.3">
      <c r="A545" s="72" t="s">
        <v>155</v>
      </c>
      <c r="B545" s="23" t="s">
        <v>125</v>
      </c>
      <c r="C545" s="24">
        <v>25800</v>
      </c>
      <c r="F545" s="113"/>
      <c r="G545" s="86"/>
      <c r="H545" s="92"/>
    </row>
    <row r="546" spans="1:8" s="8" customFormat="1" ht="13.5" customHeight="1" x14ac:dyDescent="0.25">
      <c r="A546" s="12" t="s">
        <v>699</v>
      </c>
      <c r="B546" s="43" t="s">
        <v>698</v>
      </c>
      <c r="C546" s="24">
        <v>85000</v>
      </c>
      <c r="F546" s="101"/>
      <c r="G546" s="9"/>
    </row>
    <row r="547" spans="1:8" s="8" customFormat="1" ht="13.5" customHeight="1" thickBot="1" x14ac:dyDescent="0.35">
      <c r="A547" s="72"/>
      <c r="B547" s="23"/>
      <c r="C547" s="23"/>
      <c r="F547" s="113"/>
      <c r="G547" s="86"/>
      <c r="H547" s="92"/>
    </row>
    <row r="548" spans="1:8" s="8" customFormat="1" ht="13.5" customHeight="1" thickBot="1" x14ac:dyDescent="0.35">
      <c r="A548" s="1096" t="s">
        <v>3</v>
      </c>
      <c r="B548" s="1097"/>
      <c r="C548" s="668">
        <f>C549+C551+C553+C555+C557</f>
        <v>1636550</v>
      </c>
      <c r="F548" s="113"/>
      <c r="G548" s="86"/>
      <c r="H548" s="92"/>
    </row>
    <row r="549" spans="1:8" s="8" customFormat="1" ht="13.5" customHeight="1" x14ac:dyDescent="0.3">
      <c r="A549" s="560" t="s">
        <v>110</v>
      </c>
      <c r="B549" s="298" t="s">
        <v>111</v>
      </c>
      <c r="C549" s="31">
        <f>C550</f>
        <v>62400</v>
      </c>
      <c r="F549" s="113"/>
      <c r="G549" s="86"/>
      <c r="H549" s="92"/>
    </row>
    <row r="550" spans="1:8" s="8" customFormat="1" ht="13.5" customHeight="1" x14ac:dyDescent="0.3">
      <c r="A550" s="70" t="s">
        <v>52</v>
      </c>
      <c r="B550" s="43" t="s">
        <v>15</v>
      </c>
      <c r="C550" s="24">
        <v>62400</v>
      </c>
      <c r="F550" s="84"/>
      <c r="G550" s="86"/>
      <c r="H550" s="92"/>
    </row>
    <row r="551" spans="1:8" s="8" customFormat="1" ht="13.5" customHeight="1" x14ac:dyDescent="0.3">
      <c r="A551" s="560" t="s">
        <v>120</v>
      </c>
      <c r="B551" s="559" t="s">
        <v>648</v>
      </c>
      <c r="C551" s="31">
        <f>SUM(C552)</f>
        <v>15300</v>
      </c>
      <c r="F551" s="84"/>
      <c r="G551" s="86"/>
      <c r="H551" s="92"/>
    </row>
    <row r="552" spans="1:8" s="8" customFormat="1" ht="13.5" customHeight="1" x14ac:dyDescent="0.3">
      <c r="A552" s="70" t="s">
        <v>136</v>
      </c>
      <c r="B552" s="43" t="s">
        <v>71</v>
      </c>
      <c r="C552" s="24">
        <v>15300</v>
      </c>
      <c r="F552" s="84"/>
      <c r="G552" s="86"/>
      <c r="H552" s="92"/>
    </row>
    <row r="553" spans="1:8" s="43" customFormat="1" x14ac:dyDescent="0.3">
      <c r="A553" s="560" t="s">
        <v>112</v>
      </c>
      <c r="B553" s="63" t="s">
        <v>157</v>
      </c>
      <c r="C553" s="31">
        <f>SUM(C554)</f>
        <v>1024400</v>
      </c>
      <c r="F553" s="114"/>
      <c r="G553" s="85"/>
      <c r="H553" s="95"/>
    </row>
    <row r="554" spans="1:8" s="8" customFormat="1" x14ac:dyDescent="0.3">
      <c r="A554" s="70" t="s">
        <v>156</v>
      </c>
      <c r="B554" s="70" t="s">
        <v>87</v>
      </c>
      <c r="C554" s="24">
        <v>1024400</v>
      </c>
      <c r="F554" s="23"/>
      <c r="G554" s="86"/>
      <c r="H554" s="92"/>
    </row>
    <row r="555" spans="1:8" s="8" customFormat="1" x14ac:dyDescent="0.3">
      <c r="A555" s="63" t="s">
        <v>113</v>
      </c>
      <c r="B555" s="559" t="s">
        <v>114</v>
      </c>
      <c r="C555" s="31">
        <f>SUM(C556)</f>
        <v>24700</v>
      </c>
      <c r="F555" s="113"/>
      <c r="G555" s="86"/>
      <c r="H555" s="92"/>
    </row>
    <row r="556" spans="1:8" s="8" customFormat="1" x14ac:dyDescent="0.3">
      <c r="A556" s="59" t="s">
        <v>88</v>
      </c>
      <c r="B556" s="43" t="s">
        <v>64</v>
      </c>
      <c r="C556" s="24">
        <v>24700</v>
      </c>
      <c r="F556" s="113"/>
      <c r="G556" s="86"/>
      <c r="H556" s="92"/>
    </row>
    <row r="557" spans="1:8" s="8" customFormat="1" x14ac:dyDescent="0.3">
      <c r="A557" s="560" t="s">
        <v>115</v>
      </c>
      <c r="B557" s="560" t="s">
        <v>8</v>
      </c>
      <c r="C557" s="31">
        <f>SUM(C558:C561)</f>
        <v>509750</v>
      </c>
      <c r="D557" s="113"/>
      <c r="E557" s="86"/>
      <c r="F557" s="92"/>
    </row>
    <row r="558" spans="1:8" s="8" customFormat="1" x14ac:dyDescent="0.3">
      <c r="A558" s="70" t="s">
        <v>89</v>
      </c>
      <c r="B558" s="70" t="s">
        <v>8</v>
      </c>
      <c r="C558" s="24">
        <v>280000</v>
      </c>
      <c r="D558" s="113"/>
      <c r="E558" s="86"/>
      <c r="F558" s="92"/>
    </row>
    <row r="559" spans="1:8" s="8" customFormat="1" x14ac:dyDescent="0.3">
      <c r="A559" s="70" t="s">
        <v>181</v>
      </c>
      <c r="B559" s="70" t="s">
        <v>50</v>
      </c>
      <c r="C559" s="24">
        <v>26250</v>
      </c>
      <c r="D559" s="113"/>
      <c r="E559" s="86"/>
      <c r="F559" s="92"/>
    </row>
    <row r="560" spans="1:8" s="66" customFormat="1" x14ac:dyDescent="0.3">
      <c r="A560" s="59" t="s">
        <v>222</v>
      </c>
      <c r="B560" s="43" t="s">
        <v>221</v>
      </c>
      <c r="C560" s="60">
        <v>104500</v>
      </c>
      <c r="E560" s="68"/>
      <c r="F560" s="204"/>
      <c r="H560" s="67"/>
    </row>
    <row r="561" spans="1:10" s="8" customFormat="1" x14ac:dyDescent="0.3">
      <c r="A561" s="70" t="s">
        <v>90</v>
      </c>
      <c r="B561" s="70" t="s">
        <v>7</v>
      </c>
      <c r="C561" s="24">
        <v>99000</v>
      </c>
      <c r="D561" s="113"/>
      <c r="E561" s="86"/>
      <c r="F561" s="92"/>
    </row>
    <row r="562" spans="1:10" s="8" customFormat="1" ht="13.5" customHeight="1" thickBot="1" x14ac:dyDescent="0.35">
      <c r="A562" s="70"/>
      <c r="B562" s="70"/>
      <c r="C562" s="23"/>
      <c r="D562" s="113"/>
      <c r="E562" s="86"/>
      <c r="F562" s="92"/>
    </row>
    <row r="563" spans="1:10" s="8" customFormat="1" ht="13.5" customHeight="1" thickBot="1" x14ac:dyDescent="0.35">
      <c r="A563" s="1100" t="s">
        <v>4</v>
      </c>
      <c r="B563" s="1101"/>
      <c r="C563" s="670">
        <f>C564+C568+C566</f>
        <v>75500</v>
      </c>
      <c r="D563" s="113"/>
      <c r="E563" s="86"/>
      <c r="F563" s="92"/>
    </row>
    <row r="564" spans="1:10" s="8" customFormat="1" ht="13.5" customHeight="1" x14ac:dyDescent="0.3">
      <c r="A564" s="265" t="s">
        <v>116</v>
      </c>
      <c r="B564" s="298" t="s">
        <v>117</v>
      </c>
      <c r="C564" s="32">
        <f>SUM(C565)</f>
        <v>60000</v>
      </c>
      <c r="D564" s="113"/>
      <c r="E564" s="86"/>
      <c r="F564" s="92"/>
    </row>
    <row r="565" spans="1:10" s="8" customFormat="1" ht="13.5" customHeight="1" x14ac:dyDescent="0.3">
      <c r="A565" s="72" t="s">
        <v>91</v>
      </c>
      <c r="B565" s="43" t="s">
        <v>139</v>
      </c>
      <c r="C565" s="24">
        <v>60000</v>
      </c>
      <c r="D565" s="113"/>
      <c r="E565" s="86"/>
      <c r="F565" s="92"/>
    </row>
    <row r="566" spans="1:10" s="8" customFormat="1" ht="13.5" hidden="1" customHeight="1" x14ac:dyDescent="0.3">
      <c r="A566" s="265" t="s">
        <v>131</v>
      </c>
      <c r="B566" s="265" t="s">
        <v>260</v>
      </c>
      <c r="C566" s="31">
        <f>SUM(C567)</f>
        <v>0</v>
      </c>
      <c r="D566" s="113"/>
      <c r="E566" s="86"/>
      <c r="F566" s="92"/>
    </row>
    <row r="567" spans="1:10" s="8" customFormat="1" ht="13.5" hidden="1" customHeight="1" x14ac:dyDescent="0.3">
      <c r="A567" s="72" t="s">
        <v>165</v>
      </c>
      <c r="B567" s="72" t="s">
        <v>260</v>
      </c>
      <c r="C567" s="24"/>
      <c r="D567" s="113"/>
      <c r="E567" s="86"/>
      <c r="F567" s="92"/>
    </row>
    <row r="568" spans="1:10" s="43" customFormat="1" x14ac:dyDescent="0.3">
      <c r="A568" s="265" t="s">
        <v>166</v>
      </c>
      <c r="B568" s="25" t="s">
        <v>134</v>
      </c>
      <c r="C568" s="31">
        <f>SUM(C569)</f>
        <v>15500</v>
      </c>
      <c r="D568" s="114"/>
      <c r="E568" s="85"/>
      <c r="F568" s="95"/>
    </row>
    <row r="569" spans="1:10" s="66" customFormat="1" x14ac:dyDescent="0.3">
      <c r="A569" s="72" t="s">
        <v>167</v>
      </c>
      <c r="B569" s="23" t="s">
        <v>51</v>
      </c>
      <c r="C569" s="24">
        <v>15500</v>
      </c>
      <c r="D569" s="113"/>
      <c r="E569" s="86"/>
      <c r="F569" s="92"/>
    </row>
    <row r="570" spans="1:10" s="66" customFormat="1" x14ac:dyDescent="0.3">
      <c r="A570" s="12"/>
      <c r="B570" s="24"/>
      <c r="C570" s="24"/>
      <c r="D570" s="113"/>
      <c r="E570" s="86"/>
      <c r="F570" s="95"/>
      <c r="G570" s="56"/>
      <c r="H570" s="56"/>
      <c r="I570" s="56"/>
      <c r="J570" s="56"/>
    </row>
    <row r="571" spans="1:10" s="5" customFormat="1" ht="13.5" thickBot="1" x14ac:dyDescent="0.3">
      <c r="A571" s="3"/>
      <c r="B571" s="3"/>
      <c r="C571" s="18"/>
      <c r="D571" s="18"/>
      <c r="E571" s="18"/>
      <c r="F571" s="1"/>
      <c r="G571" s="349"/>
      <c r="H571" s="147"/>
      <c r="I571" s="147"/>
      <c r="J571" s="147"/>
    </row>
    <row r="572" spans="1:10" s="5" customFormat="1" x14ac:dyDescent="0.25">
      <c r="A572" s="648" t="s">
        <v>712</v>
      </c>
      <c r="B572" s="649"/>
      <c r="C572" s="690"/>
      <c r="D572" s="692" t="s">
        <v>6</v>
      </c>
      <c r="E572" s="913" t="s">
        <v>713</v>
      </c>
      <c r="F572" s="1"/>
      <c r="G572" s="349"/>
      <c r="H572" s="147"/>
      <c r="I572" s="147"/>
      <c r="J572" s="147"/>
    </row>
    <row r="573" spans="1:10" s="5" customFormat="1" ht="13.5" thickBot="1" x14ac:dyDescent="0.3">
      <c r="A573" s="652"/>
      <c r="B573" s="653"/>
      <c r="C573" s="693"/>
      <c r="D573" s="695"/>
      <c r="E573" s="718"/>
      <c r="F573" s="1"/>
      <c r="G573" s="349"/>
      <c r="H573" s="147"/>
      <c r="I573" s="147"/>
      <c r="J573" s="147"/>
    </row>
    <row r="574" spans="1:10" s="1" customFormat="1" ht="12.75" customHeight="1" x14ac:dyDescent="0.25">
      <c r="A574" s="1123" t="s">
        <v>1001</v>
      </c>
      <c r="B574" s="1124"/>
      <c r="C574" s="1124"/>
      <c r="D574" s="1124"/>
      <c r="E574" s="1125"/>
      <c r="G574" s="349"/>
    </row>
    <row r="575" spans="1:10" s="1" customFormat="1" ht="12.75" customHeight="1" x14ac:dyDescent="0.25">
      <c r="A575" s="1126"/>
      <c r="B575" s="1127"/>
      <c r="C575" s="1127"/>
      <c r="D575" s="1127"/>
      <c r="E575" s="1128"/>
      <c r="G575" s="349"/>
    </row>
    <row r="576" spans="1:10" s="1" customFormat="1" ht="12.75" customHeight="1" x14ac:dyDescent="0.25">
      <c r="A576" s="1126"/>
      <c r="B576" s="1127"/>
      <c r="C576" s="1127"/>
      <c r="D576" s="1127"/>
      <c r="E576" s="1128"/>
      <c r="G576" s="349"/>
    </row>
    <row r="577" spans="1:10" s="1" customFormat="1" ht="12.75" customHeight="1" thickBot="1" x14ac:dyDescent="0.3">
      <c r="A577" s="1129"/>
      <c r="B577" s="1130"/>
      <c r="C577" s="1130"/>
      <c r="D577" s="1130"/>
      <c r="E577" s="1131"/>
      <c r="G577" s="349"/>
    </row>
    <row r="578" spans="1:10" s="3" customFormat="1" ht="12.75" customHeight="1" x14ac:dyDescent="0.25">
      <c r="A578" s="41" t="s">
        <v>1029</v>
      </c>
      <c r="B578" s="12"/>
      <c r="C578" s="24"/>
      <c r="D578" s="24"/>
      <c r="E578" s="320"/>
      <c r="F578" s="1"/>
      <c r="G578" s="349"/>
      <c r="H578" s="1"/>
      <c r="I578" s="1"/>
      <c r="J578" s="1"/>
    </row>
    <row r="579" spans="1:10" s="3" customFormat="1" ht="12.75" customHeight="1" x14ac:dyDescent="0.25">
      <c r="A579" s="41" t="s">
        <v>649</v>
      </c>
      <c r="B579" s="12"/>
      <c r="C579" s="24"/>
      <c r="D579" s="24"/>
      <c r="E579" s="320"/>
      <c r="F579" s="1"/>
      <c r="G579" s="349"/>
    </row>
    <row r="580" spans="1:10" s="3" customFormat="1" ht="13.5" customHeight="1" x14ac:dyDescent="0.25">
      <c r="A580" s="41" t="s">
        <v>1040</v>
      </c>
      <c r="B580" s="12"/>
      <c r="C580" s="24"/>
      <c r="D580" s="24"/>
      <c r="E580" s="320"/>
      <c r="G580" s="341"/>
    </row>
    <row r="581" spans="1:10" s="3" customFormat="1" ht="13.5" customHeight="1" thickBot="1" x14ac:dyDescent="0.3">
      <c r="A581" s="76" t="s">
        <v>13</v>
      </c>
      <c r="B581" s="140"/>
      <c r="C581" s="377"/>
      <c r="D581" s="377"/>
      <c r="E581" s="378"/>
      <c r="G581" s="341"/>
    </row>
    <row r="582" spans="1:10" s="3" customFormat="1" ht="13.5" customHeight="1" thickBot="1" x14ac:dyDescent="0.3">
      <c r="A582" s="762" t="s">
        <v>14</v>
      </c>
      <c r="B582" s="763"/>
      <c r="C582" s="764"/>
      <c r="D582" s="766"/>
      <c r="E582" s="772">
        <f>+C584+C598+C612</f>
        <v>4337210</v>
      </c>
      <c r="F582" s="88"/>
      <c r="G582" s="88"/>
    </row>
    <row r="583" spans="1:10" s="3" customFormat="1" ht="13.5" customHeight="1" thickBot="1" x14ac:dyDescent="0.3">
      <c r="A583" s="11"/>
      <c r="B583" s="11"/>
      <c r="C583" s="31"/>
      <c r="D583" s="31"/>
      <c r="F583" s="344"/>
      <c r="G583" s="341"/>
    </row>
    <row r="584" spans="1:10" s="3" customFormat="1" ht="14.25" customHeight="1" thickBot="1" x14ac:dyDescent="0.3">
      <c r="A584" s="1104" t="s">
        <v>2</v>
      </c>
      <c r="B584" s="1105"/>
      <c r="C584" s="667">
        <f>C585+C587+C589+C592+C595</f>
        <v>127120</v>
      </c>
      <c r="D584" s="18"/>
      <c r="F584" s="344"/>
      <c r="G584" s="341"/>
    </row>
    <row r="585" spans="1:10" s="349" customFormat="1" ht="14.25" customHeight="1" x14ac:dyDescent="0.25">
      <c r="A585" s="11" t="s">
        <v>107</v>
      </c>
      <c r="B585" s="265" t="s">
        <v>108</v>
      </c>
      <c r="C585" s="32">
        <f>SUM(C586)</f>
        <v>18500</v>
      </c>
      <c r="D585" s="348"/>
      <c r="F585" s="346"/>
    </row>
    <row r="586" spans="1:10" s="5" customFormat="1" ht="14.25" customHeight="1" x14ac:dyDescent="0.25">
      <c r="A586" s="12" t="s">
        <v>47</v>
      </c>
      <c r="B586" s="23" t="s">
        <v>48</v>
      </c>
      <c r="C586" s="24">
        <v>18500</v>
      </c>
      <c r="D586" s="21"/>
      <c r="E586" s="21"/>
      <c r="G586" s="350"/>
    </row>
    <row r="587" spans="1:10" s="5" customFormat="1" ht="14.25" customHeight="1" x14ac:dyDescent="0.25">
      <c r="A587" s="11" t="s">
        <v>195</v>
      </c>
      <c r="B587" s="31" t="s">
        <v>363</v>
      </c>
      <c r="C587" s="31">
        <f>SUM(C588)</f>
        <v>42600</v>
      </c>
      <c r="D587" s="21"/>
      <c r="E587" s="21"/>
      <c r="G587" s="350"/>
    </row>
    <row r="588" spans="1:10" s="5" customFormat="1" ht="14.25" customHeight="1" x14ac:dyDescent="0.25">
      <c r="A588" s="12" t="s">
        <v>193</v>
      </c>
      <c r="B588" s="24" t="s">
        <v>215</v>
      </c>
      <c r="C588" s="24">
        <v>42600</v>
      </c>
      <c r="D588" s="21"/>
      <c r="E588" s="21"/>
      <c r="G588" s="350"/>
    </row>
    <row r="589" spans="1:10" s="5" customFormat="1" ht="13.5" customHeight="1" x14ac:dyDescent="0.25">
      <c r="A589" s="265" t="s">
        <v>119</v>
      </c>
      <c r="B589" s="25" t="s">
        <v>109</v>
      </c>
      <c r="C589" s="31">
        <f>SUM(C590:C591)</f>
        <v>21800</v>
      </c>
      <c r="D589" s="21"/>
      <c r="E589" s="21"/>
      <c r="G589" s="350"/>
    </row>
    <row r="590" spans="1:10" s="5" customFormat="1" ht="14.25" customHeight="1" x14ac:dyDescent="0.25">
      <c r="A590" s="72" t="s">
        <v>150</v>
      </c>
      <c r="B590" s="23" t="s">
        <v>340</v>
      </c>
      <c r="C590" s="24">
        <v>15800</v>
      </c>
      <c r="D590" s="21"/>
      <c r="E590" s="21"/>
      <c r="G590" s="350"/>
    </row>
    <row r="591" spans="1:10" s="72" customFormat="1" ht="13.5" customHeight="1" x14ac:dyDescent="0.25">
      <c r="A591" s="12" t="s">
        <v>600</v>
      </c>
      <c r="B591" s="43" t="s">
        <v>613</v>
      </c>
      <c r="C591" s="24">
        <v>6000</v>
      </c>
      <c r="D591" s="78"/>
      <c r="E591" s="25"/>
      <c r="F591" s="101"/>
      <c r="G591" s="24"/>
      <c r="H591" s="12"/>
      <c r="I591" s="282"/>
    </row>
    <row r="592" spans="1:10" s="5" customFormat="1" ht="13.5" customHeight="1" x14ac:dyDescent="0.25">
      <c r="A592" s="265" t="s">
        <v>124</v>
      </c>
      <c r="B592" s="25" t="s">
        <v>123</v>
      </c>
      <c r="C592" s="31">
        <f>SUM(C593:C594)</f>
        <v>25700</v>
      </c>
      <c r="D592" s="21"/>
      <c r="E592" s="21"/>
      <c r="G592" s="350"/>
    </row>
    <row r="593" spans="1:10" s="5" customFormat="1" ht="13.5" customHeight="1" x14ac:dyDescent="0.25">
      <c r="A593" s="72" t="s">
        <v>242</v>
      </c>
      <c r="B593" s="23" t="s">
        <v>243</v>
      </c>
      <c r="C593" s="24">
        <v>8700</v>
      </c>
      <c r="D593" s="21"/>
      <c r="E593" s="21"/>
      <c r="G593" s="350"/>
    </row>
    <row r="594" spans="1:10" s="5" customFormat="1" ht="13.5" customHeight="1" x14ac:dyDescent="0.25">
      <c r="A594" s="72" t="s">
        <v>93</v>
      </c>
      <c r="B594" s="23" t="s">
        <v>383</v>
      </c>
      <c r="C594" s="24">
        <v>17000</v>
      </c>
      <c r="D594" s="21"/>
      <c r="E594" s="21"/>
      <c r="G594" s="350"/>
    </row>
    <row r="595" spans="1:10" s="5" customFormat="1" ht="13.5" customHeight="1" x14ac:dyDescent="0.25">
      <c r="A595" s="265" t="s">
        <v>151</v>
      </c>
      <c r="B595" s="25" t="s">
        <v>125</v>
      </c>
      <c r="C595" s="31">
        <f>SUM(C596:C596)</f>
        <v>18520</v>
      </c>
      <c r="D595" s="21"/>
      <c r="E595" s="21"/>
      <c r="G595" s="350"/>
    </row>
    <row r="596" spans="1:10" s="5" customFormat="1" ht="13.5" customHeight="1" x14ac:dyDescent="0.25">
      <c r="A596" s="72" t="s">
        <v>155</v>
      </c>
      <c r="B596" s="23" t="s">
        <v>133</v>
      </c>
      <c r="C596" s="24">
        <v>18520</v>
      </c>
      <c r="D596" s="21"/>
      <c r="E596" s="21"/>
      <c r="G596" s="350"/>
    </row>
    <row r="597" spans="1:10" s="5" customFormat="1" ht="13.5" customHeight="1" thickBot="1" x14ac:dyDescent="0.3">
      <c r="A597" s="72"/>
      <c r="B597" s="23"/>
      <c r="C597" s="23"/>
      <c r="D597" s="21"/>
      <c r="E597" s="21"/>
      <c r="G597" s="350"/>
    </row>
    <row r="598" spans="1:10" s="5" customFormat="1" ht="13.5" customHeight="1" thickBot="1" x14ac:dyDescent="0.3">
      <c r="A598" s="1096" t="s">
        <v>3</v>
      </c>
      <c r="B598" s="1097"/>
      <c r="C598" s="668">
        <f>(C601+C604+C607+C599)</f>
        <v>3773690</v>
      </c>
      <c r="D598" s="21"/>
      <c r="E598" s="21"/>
      <c r="G598" s="350"/>
    </row>
    <row r="599" spans="1:10" s="56" customFormat="1" x14ac:dyDescent="0.3">
      <c r="A599" s="265" t="s">
        <v>341</v>
      </c>
      <c r="B599" s="211" t="s">
        <v>342</v>
      </c>
      <c r="C599" s="64">
        <f>SUM(C600)</f>
        <v>2991840</v>
      </c>
      <c r="D599" s="57"/>
      <c r="E599" s="180"/>
    </row>
    <row r="600" spans="1:10" s="8" customFormat="1" ht="13.5" customHeight="1" x14ac:dyDescent="0.25">
      <c r="A600" s="72" t="s">
        <v>384</v>
      </c>
      <c r="B600" s="59" t="s">
        <v>565</v>
      </c>
      <c r="C600" s="24">
        <v>2991840</v>
      </c>
      <c r="D600" s="78"/>
      <c r="E600" s="25"/>
      <c r="F600" s="99"/>
      <c r="G600" s="55"/>
      <c r="H600" s="43"/>
      <c r="J600" s="83"/>
    </row>
    <row r="601" spans="1:10" s="72" customFormat="1" ht="13.5" customHeight="1" x14ac:dyDescent="0.25">
      <c r="A601" s="11" t="s">
        <v>120</v>
      </c>
      <c r="B601" s="25" t="s">
        <v>121</v>
      </c>
      <c r="C601" s="31">
        <f>SUM(C602:C603)</f>
        <v>267250</v>
      </c>
      <c r="D601" s="12"/>
      <c r="E601" s="12"/>
      <c r="F601" s="12"/>
      <c r="G601" s="101"/>
    </row>
    <row r="602" spans="1:10" s="72" customFormat="1" ht="13.5" customHeight="1" x14ac:dyDescent="0.25">
      <c r="A602" s="12" t="s">
        <v>236</v>
      </c>
      <c r="B602" s="12" t="s">
        <v>385</v>
      </c>
      <c r="C602" s="24">
        <f>225000+14000</f>
        <v>239000</v>
      </c>
      <c r="G602" s="12"/>
      <c r="H602" s="12"/>
      <c r="I602" s="12"/>
    </row>
    <row r="603" spans="1:10" s="72" customFormat="1" ht="13.5" customHeight="1" x14ac:dyDescent="0.25">
      <c r="A603" s="12" t="s">
        <v>136</v>
      </c>
      <c r="B603" s="12" t="s">
        <v>71</v>
      </c>
      <c r="C603" s="24">
        <f>23250+5000</f>
        <v>28250</v>
      </c>
      <c r="G603" s="12"/>
      <c r="H603" s="12"/>
      <c r="I603" s="101"/>
    </row>
    <row r="604" spans="1:10" s="72" customFormat="1" ht="13.5" customHeight="1" x14ac:dyDescent="0.25">
      <c r="A604" s="265" t="s">
        <v>112</v>
      </c>
      <c r="B604" s="11" t="s">
        <v>157</v>
      </c>
      <c r="C604" s="31">
        <f>SUM(C605:C606)</f>
        <v>251000</v>
      </c>
      <c r="G604" s="12"/>
      <c r="H604" s="12"/>
      <c r="I604" s="12"/>
    </row>
    <row r="605" spans="1:10" s="72" customFormat="1" ht="13.5" customHeight="1" x14ac:dyDescent="0.25">
      <c r="A605" s="12" t="s">
        <v>138</v>
      </c>
      <c r="B605" s="59" t="s">
        <v>878</v>
      </c>
      <c r="C605" s="24">
        <v>8000</v>
      </c>
      <c r="G605" s="24"/>
      <c r="H605" s="24"/>
    </row>
    <row r="606" spans="1:10" s="72" customFormat="1" ht="13.5" customHeight="1" x14ac:dyDescent="0.25">
      <c r="A606" s="72" t="s">
        <v>156</v>
      </c>
      <c r="B606" s="12" t="s">
        <v>87</v>
      </c>
      <c r="C606" s="24">
        <v>243000</v>
      </c>
      <c r="G606" s="24"/>
      <c r="H606" s="24"/>
    </row>
    <row r="607" spans="1:10" s="72" customFormat="1" ht="13.5" customHeight="1" x14ac:dyDescent="0.25">
      <c r="A607" s="265" t="s">
        <v>115</v>
      </c>
      <c r="B607" s="265" t="s">
        <v>8</v>
      </c>
      <c r="C607" s="31">
        <f>SUM(C608:C610)</f>
        <v>263600</v>
      </c>
      <c r="G607" s="24"/>
      <c r="H607" s="24"/>
    </row>
    <row r="608" spans="1:10" s="72" customFormat="1" ht="13.5" customHeight="1" x14ac:dyDescent="0.25">
      <c r="A608" s="72" t="s">
        <v>89</v>
      </c>
      <c r="B608" s="72" t="s">
        <v>8</v>
      </c>
      <c r="C608" s="24">
        <v>181600</v>
      </c>
      <c r="G608" s="23"/>
      <c r="H608" s="23"/>
      <c r="I608" s="12"/>
    </row>
    <row r="609" spans="1:11" s="72" customFormat="1" ht="13.5" customHeight="1" x14ac:dyDescent="0.25">
      <c r="A609" s="72" t="s">
        <v>181</v>
      </c>
      <c r="B609" s="72" t="s">
        <v>50</v>
      </c>
      <c r="C609" s="24">
        <v>22500</v>
      </c>
      <c r="G609" s="23"/>
      <c r="H609" s="23"/>
    </row>
    <row r="610" spans="1:11" s="72" customFormat="1" ht="13.5" customHeight="1" x14ac:dyDescent="0.25">
      <c r="A610" s="72" t="s">
        <v>90</v>
      </c>
      <c r="B610" s="72" t="s">
        <v>7</v>
      </c>
      <c r="C610" s="24">
        <v>59500</v>
      </c>
      <c r="D610" s="23"/>
      <c r="E610" s="379"/>
      <c r="G610" s="231"/>
    </row>
    <row r="611" spans="1:11" s="5" customFormat="1" ht="13.5" customHeight="1" thickBot="1" x14ac:dyDescent="0.3">
      <c r="A611" s="72"/>
      <c r="B611" s="72"/>
      <c r="C611" s="23"/>
      <c r="D611" s="21"/>
      <c r="E611" s="21"/>
      <c r="F611" s="147"/>
      <c r="G611" s="626"/>
    </row>
    <row r="612" spans="1:11" s="5" customFormat="1" ht="14.25" customHeight="1" thickBot="1" x14ac:dyDescent="0.3">
      <c r="A612" s="1100" t="s">
        <v>4</v>
      </c>
      <c r="B612" s="1101"/>
      <c r="C612" s="670">
        <f>(C613+C617)</f>
        <v>436400</v>
      </c>
      <c r="D612" s="21"/>
      <c r="E612" s="21"/>
      <c r="G612" s="626"/>
    </row>
    <row r="613" spans="1:11" s="351" customFormat="1" ht="14.25" customHeight="1" x14ac:dyDescent="0.25">
      <c r="A613" s="265" t="s">
        <v>116</v>
      </c>
      <c r="B613" s="265" t="s">
        <v>117</v>
      </c>
      <c r="C613" s="32">
        <f>SUM(C614:C616)</f>
        <v>407900</v>
      </c>
      <c r="D613" s="96"/>
      <c r="E613" s="96"/>
      <c r="G613" s="627"/>
    </row>
    <row r="614" spans="1:11" s="8" customFormat="1" ht="13.5" customHeight="1" x14ac:dyDescent="0.3">
      <c r="A614" s="72" t="s">
        <v>91</v>
      </c>
      <c r="B614" s="43" t="s">
        <v>139</v>
      </c>
      <c r="C614" s="24">
        <v>19700</v>
      </c>
      <c r="D614" s="113"/>
      <c r="E614" s="86"/>
      <c r="F614" s="92"/>
    </row>
    <row r="615" spans="1:11" s="5" customFormat="1" ht="14.25" customHeight="1" x14ac:dyDescent="0.25">
      <c r="A615" s="72" t="s">
        <v>386</v>
      </c>
      <c r="B615" s="72" t="s">
        <v>387</v>
      </c>
      <c r="C615" s="24">
        <v>360000</v>
      </c>
      <c r="E615" s="21"/>
      <c r="F615" s="21"/>
      <c r="G615" s="350"/>
    </row>
    <row r="616" spans="1:11" s="5" customFormat="1" ht="14.25" customHeight="1" x14ac:dyDescent="0.25">
      <c r="A616" s="72" t="s">
        <v>57</v>
      </c>
      <c r="B616" s="72" t="s">
        <v>58</v>
      </c>
      <c r="C616" s="24">
        <v>28200</v>
      </c>
      <c r="D616" s="21"/>
      <c r="E616" s="21"/>
      <c r="G616" s="626"/>
    </row>
    <row r="617" spans="1:11" s="43" customFormat="1" x14ac:dyDescent="0.3">
      <c r="A617" s="265" t="s">
        <v>166</v>
      </c>
      <c r="B617" s="25" t="s">
        <v>134</v>
      </c>
      <c r="C617" s="31">
        <f>SUM(C618)</f>
        <v>28500</v>
      </c>
      <c r="D617" s="114"/>
      <c r="E617" s="85"/>
      <c r="F617" s="95"/>
    </row>
    <row r="618" spans="1:11" s="66" customFormat="1" x14ac:dyDescent="0.3">
      <c r="A618" s="72" t="s">
        <v>167</v>
      </c>
      <c r="B618" s="23" t="s">
        <v>51</v>
      </c>
      <c r="C618" s="24">
        <v>28500</v>
      </c>
      <c r="D618" s="113"/>
      <c r="E618" s="86"/>
      <c r="F618" s="92"/>
    </row>
    <row r="619" spans="1:11" s="66" customFormat="1" x14ac:dyDescent="0.3">
      <c r="A619" s="72"/>
      <c r="B619" s="23"/>
      <c r="C619" s="24"/>
      <c r="D619" s="113"/>
      <c r="E619" s="86"/>
      <c r="F619" s="92"/>
    </row>
    <row r="620" spans="1:11" s="66" customFormat="1" ht="13.5" thickBot="1" x14ac:dyDescent="0.35">
      <c r="A620" s="72"/>
      <c r="B620" s="23"/>
      <c r="C620" s="24"/>
      <c r="D620" s="113"/>
      <c r="E620" s="86"/>
      <c r="F620" s="92"/>
    </row>
    <row r="621" spans="1:11" s="133" customFormat="1" ht="13.5" customHeight="1" x14ac:dyDescent="0.25">
      <c r="A621" s="648" t="s">
        <v>665</v>
      </c>
      <c r="B621" s="649"/>
      <c r="C621" s="650"/>
      <c r="D621" s="719" t="s">
        <v>6</v>
      </c>
      <c r="E621" s="927">
        <v>1109</v>
      </c>
      <c r="F621" s="135"/>
      <c r="G621" s="134"/>
      <c r="H621" s="134"/>
      <c r="I621" s="134"/>
      <c r="J621" s="134"/>
      <c r="K621" s="134"/>
    </row>
    <row r="622" spans="1:11" s="133" customFormat="1" ht="13.5" thickBot="1" x14ac:dyDescent="0.3">
      <c r="A622" s="652"/>
      <c r="B622" s="653"/>
      <c r="C622" s="654"/>
      <c r="D622" s="720"/>
      <c r="E622" s="721"/>
      <c r="F622" s="135"/>
      <c r="G622" s="134"/>
      <c r="H622" s="134"/>
      <c r="I622" s="134"/>
      <c r="J622" s="134"/>
      <c r="K622" s="134"/>
    </row>
    <row r="623" spans="1:11" s="133" customFormat="1" ht="13.5" customHeight="1" x14ac:dyDescent="0.25">
      <c r="A623" s="1150" t="s">
        <v>1002</v>
      </c>
      <c r="B623" s="1151"/>
      <c r="C623" s="1151"/>
      <c r="D623" s="1151"/>
      <c r="E623" s="1152"/>
      <c r="F623" s="135"/>
      <c r="G623" s="134"/>
      <c r="H623" s="134"/>
      <c r="I623" s="134"/>
      <c r="J623" s="134"/>
      <c r="K623" s="134"/>
    </row>
    <row r="624" spans="1:11" s="133" customFormat="1" ht="13.5" customHeight="1" x14ac:dyDescent="0.25">
      <c r="A624" s="1153"/>
      <c r="B624" s="1154"/>
      <c r="C624" s="1154"/>
      <c r="D624" s="1154"/>
      <c r="E624" s="1155"/>
      <c r="F624" s="135"/>
      <c r="G624" s="134"/>
      <c r="H624" s="134"/>
      <c r="I624" s="134"/>
      <c r="J624" s="134"/>
      <c r="K624" s="134"/>
    </row>
    <row r="625" spans="1:11" s="133" customFormat="1" ht="13.5" customHeight="1" x14ac:dyDescent="0.25">
      <c r="A625" s="1153"/>
      <c r="B625" s="1154"/>
      <c r="C625" s="1154"/>
      <c r="D625" s="1154"/>
      <c r="E625" s="1155"/>
      <c r="F625" s="135"/>
      <c r="G625" s="134"/>
      <c r="H625" s="134"/>
      <c r="I625" s="134"/>
      <c r="J625" s="134"/>
      <c r="K625" s="134"/>
    </row>
    <row r="626" spans="1:11" s="133" customFormat="1" ht="13.5" customHeight="1" x14ac:dyDescent="0.25">
      <c r="A626" s="1153"/>
      <c r="B626" s="1154"/>
      <c r="C626" s="1154"/>
      <c r="D626" s="1154"/>
      <c r="E626" s="1155"/>
      <c r="F626" s="135"/>
      <c r="G626" s="134"/>
      <c r="H626" s="134"/>
      <c r="I626" s="134"/>
      <c r="J626" s="134"/>
      <c r="K626" s="134"/>
    </row>
    <row r="627" spans="1:11" s="133" customFormat="1" ht="27" customHeight="1" thickBot="1" x14ac:dyDescent="0.3">
      <c r="A627" s="1156"/>
      <c r="B627" s="1157"/>
      <c r="C627" s="1157"/>
      <c r="D627" s="1157"/>
      <c r="E627" s="1158"/>
      <c r="F627" s="135"/>
      <c r="G627" s="134"/>
      <c r="H627" s="134"/>
      <c r="I627" s="134"/>
      <c r="J627" s="134"/>
      <c r="K627" s="134"/>
    </row>
    <row r="628" spans="1:11" s="133" customFormat="1" ht="12.5" x14ac:dyDescent="0.25">
      <c r="A628" s="41" t="s">
        <v>1029</v>
      </c>
      <c r="B628" s="12"/>
      <c r="C628" s="143"/>
      <c r="D628" s="142"/>
      <c r="E628" s="141"/>
      <c r="F628" s="135"/>
      <c r="G628" s="134"/>
      <c r="H628" s="134"/>
      <c r="I628" s="134"/>
      <c r="J628" s="134"/>
      <c r="K628" s="134"/>
    </row>
    <row r="629" spans="1:11" s="133" customFormat="1" ht="12.5" x14ac:dyDescent="0.25">
      <c r="A629" s="58" t="s">
        <v>667</v>
      </c>
      <c r="B629" s="12"/>
      <c r="C629" s="143"/>
      <c r="D629" s="142"/>
      <c r="E629" s="141"/>
      <c r="F629" s="135"/>
      <c r="G629" s="134"/>
      <c r="H629" s="134"/>
      <c r="I629" s="134"/>
      <c r="J629" s="134"/>
      <c r="K629" s="134"/>
    </row>
    <row r="630" spans="1:11" s="133" customFormat="1" ht="12.5" x14ac:dyDescent="0.25">
      <c r="A630" s="58" t="s">
        <v>1040</v>
      </c>
      <c r="B630" s="12"/>
      <c r="C630" s="143"/>
      <c r="D630" s="142"/>
      <c r="E630" s="141"/>
      <c r="F630" s="135"/>
      <c r="G630" s="134"/>
      <c r="H630" s="134"/>
      <c r="I630" s="134"/>
      <c r="J630" s="134"/>
      <c r="K630" s="134"/>
    </row>
    <row r="631" spans="1:11" s="133" customFormat="1" thickBot="1" x14ac:dyDescent="0.3">
      <c r="A631" s="76" t="s">
        <v>11</v>
      </c>
      <c r="B631" s="140"/>
      <c r="C631" s="139"/>
      <c r="D631" s="138"/>
      <c r="E631" s="137"/>
      <c r="F631" s="135"/>
      <c r="G631" s="134"/>
      <c r="H631" s="134"/>
      <c r="I631" s="134"/>
      <c r="J631" s="134"/>
      <c r="K631" s="134"/>
    </row>
    <row r="632" spans="1:11" s="133" customFormat="1" thickBot="1" x14ac:dyDescent="0.3">
      <c r="A632" s="762" t="s">
        <v>0</v>
      </c>
      <c r="B632" s="763"/>
      <c r="C632" s="764" t="s">
        <v>200</v>
      </c>
      <c r="D632" s="766" t="s">
        <v>200</v>
      </c>
      <c r="E632" s="772">
        <f>C634+C655+C671</f>
        <v>4677010</v>
      </c>
      <c r="F632" s="135"/>
      <c r="G632" s="134"/>
      <c r="H632" s="134"/>
      <c r="I632" s="134"/>
      <c r="J632" s="134"/>
      <c r="K632" s="134"/>
    </row>
    <row r="633" spans="1:11" s="133" customFormat="1" thickBot="1" x14ac:dyDescent="0.3">
      <c r="A633" s="136"/>
      <c r="B633" s="136"/>
      <c r="C633" s="28"/>
      <c r="D633" s="28"/>
      <c r="E633" s="568"/>
      <c r="F633" s="135"/>
      <c r="G633" s="134"/>
      <c r="H633" s="134"/>
      <c r="I633" s="134"/>
      <c r="J633" s="134"/>
      <c r="K633" s="134"/>
    </row>
    <row r="634" spans="1:11" s="122" customFormat="1" thickBot="1" x14ac:dyDescent="0.3">
      <c r="A634" s="1104" t="s">
        <v>2</v>
      </c>
      <c r="B634" s="1105"/>
      <c r="C634" s="667">
        <f>C635+C637+C639+C641+C643+C645+C649+C651</f>
        <v>565230</v>
      </c>
      <c r="D634" s="24"/>
      <c r="E634" s="132"/>
      <c r="F634" s="71"/>
      <c r="G634" s="123"/>
      <c r="H634" s="123"/>
      <c r="I634" s="123"/>
      <c r="J634" s="123"/>
      <c r="K634" s="123"/>
    </row>
    <row r="635" spans="1:11" s="124" customFormat="1" ht="12.5" x14ac:dyDescent="0.25">
      <c r="A635" s="11" t="s">
        <v>103</v>
      </c>
      <c r="B635" s="298" t="s">
        <v>104</v>
      </c>
      <c r="C635" s="32">
        <f>C636</f>
        <v>55000</v>
      </c>
      <c r="D635" s="96"/>
      <c r="E635" s="131"/>
      <c r="F635" s="126"/>
      <c r="G635" s="125"/>
      <c r="H635" s="125"/>
      <c r="I635" s="125"/>
      <c r="J635" s="125"/>
      <c r="K635" s="125"/>
    </row>
    <row r="636" spans="1:11" s="122" customFormat="1" ht="12.5" x14ac:dyDescent="0.25">
      <c r="A636" s="12" t="s">
        <v>46</v>
      </c>
      <c r="B636" s="12" t="s">
        <v>161</v>
      </c>
      <c r="C636" s="24">
        <v>55000</v>
      </c>
      <c r="D636" s="24"/>
      <c r="E636" s="24"/>
      <c r="F636" s="71"/>
      <c r="G636" s="123"/>
      <c r="H636" s="123"/>
      <c r="I636" s="123"/>
      <c r="J636" s="123"/>
      <c r="K636" s="123"/>
    </row>
    <row r="637" spans="1:11" s="122" customFormat="1" ht="12.5" x14ac:dyDescent="0.25">
      <c r="A637" s="11" t="s">
        <v>199</v>
      </c>
      <c r="B637" s="559" t="s">
        <v>198</v>
      </c>
      <c r="C637" s="31">
        <f>C638</f>
        <v>15840</v>
      </c>
      <c r="D637" s="24"/>
      <c r="E637" s="24"/>
      <c r="F637" s="71"/>
      <c r="G637" s="123"/>
      <c r="H637" s="123"/>
      <c r="I637" s="123"/>
      <c r="J637" s="123"/>
      <c r="K637" s="123"/>
    </row>
    <row r="638" spans="1:11" s="122" customFormat="1" ht="12.5" x14ac:dyDescent="0.25">
      <c r="A638" s="12" t="s">
        <v>197</v>
      </c>
      <c r="B638" s="43" t="s">
        <v>196</v>
      </c>
      <c r="C638" s="24">
        <v>15840</v>
      </c>
      <c r="D638" s="24"/>
      <c r="E638" s="24"/>
      <c r="F638" s="71"/>
      <c r="G638" s="123"/>
      <c r="H638" s="123"/>
      <c r="I638" s="123"/>
      <c r="J638" s="123"/>
      <c r="K638" s="123"/>
    </row>
    <row r="639" spans="1:11" s="122" customFormat="1" ht="12.5" x14ac:dyDescent="0.25">
      <c r="A639" s="11" t="s">
        <v>105</v>
      </c>
      <c r="B639" s="265" t="s">
        <v>106</v>
      </c>
      <c r="C639" s="31">
        <f>SUM(C640:C640)</f>
        <v>33400</v>
      </c>
      <c r="D639" s="24"/>
      <c r="E639" s="24"/>
      <c r="F639" s="71"/>
      <c r="G639" s="123"/>
      <c r="H639" s="123"/>
      <c r="I639" s="123"/>
      <c r="J639" s="123"/>
      <c r="K639" s="123"/>
    </row>
    <row r="640" spans="1:11" s="122" customFormat="1" ht="12.5" x14ac:dyDescent="0.25">
      <c r="A640" s="12" t="s">
        <v>86</v>
      </c>
      <c r="B640" s="12" t="s">
        <v>66</v>
      </c>
      <c r="C640" s="24">
        <v>33400</v>
      </c>
      <c r="D640" s="24"/>
      <c r="E640" s="24"/>
      <c r="F640" s="71"/>
      <c r="G640" s="123"/>
      <c r="H640" s="123"/>
      <c r="I640" s="123"/>
      <c r="J640" s="123"/>
      <c r="K640" s="123"/>
    </row>
    <row r="641" spans="1:11" s="122" customFormat="1" ht="12.5" x14ac:dyDescent="0.25">
      <c r="A641" s="11" t="s">
        <v>107</v>
      </c>
      <c r="B641" s="265" t="s">
        <v>108</v>
      </c>
      <c r="C641" s="31">
        <f>SUM(C642)</f>
        <v>45500</v>
      </c>
      <c r="D641" s="24"/>
      <c r="E641" s="24"/>
      <c r="F641" s="71"/>
      <c r="G641" s="123"/>
      <c r="H641" s="123"/>
      <c r="I641" s="123"/>
      <c r="J641" s="123"/>
      <c r="K641" s="123"/>
    </row>
    <row r="642" spans="1:11" s="122" customFormat="1" ht="12.5" x14ac:dyDescent="0.25">
      <c r="A642" s="12" t="s">
        <v>47</v>
      </c>
      <c r="B642" s="12" t="s">
        <v>48</v>
      </c>
      <c r="C642" s="24">
        <v>45500</v>
      </c>
      <c r="D642" s="24"/>
      <c r="E642" s="24"/>
      <c r="F642" s="71"/>
      <c r="G642" s="123"/>
      <c r="H642" s="123"/>
      <c r="I642" s="123"/>
      <c r="J642" s="123"/>
      <c r="K642" s="123"/>
    </row>
    <row r="643" spans="1:11" s="122" customFormat="1" ht="12.5" x14ac:dyDescent="0.25">
      <c r="A643" s="11" t="s">
        <v>195</v>
      </c>
      <c r="B643" s="559" t="s">
        <v>194</v>
      </c>
      <c r="C643" s="31">
        <f>SUM(C644)</f>
        <v>251810</v>
      </c>
      <c r="D643" s="24"/>
      <c r="E643" s="24"/>
      <c r="F643" s="71"/>
      <c r="G643" s="123"/>
      <c r="H643" s="123"/>
      <c r="I643" s="123"/>
      <c r="J643" s="123"/>
      <c r="K643" s="123"/>
    </row>
    <row r="644" spans="1:11" s="122" customFormat="1" ht="12.5" x14ac:dyDescent="0.25">
      <c r="A644" s="12" t="s">
        <v>193</v>
      </c>
      <c r="B644" s="43" t="s">
        <v>192</v>
      </c>
      <c r="C644" s="24">
        <v>251810</v>
      </c>
      <c r="D644" s="24"/>
      <c r="E644" s="24"/>
      <c r="F644" s="71"/>
      <c r="G644" s="123"/>
      <c r="H644" s="123"/>
      <c r="I644" s="123"/>
      <c r="J644" s="123"/>
      <c r="K644" s="123"/>
    </row>
    <row r="645" spans="1:11" s="122" customFormat="1" ht="12.5" x14ac:dyDescent="0.25">
      <c r="A645" s="265" t="s">
        <v>119</v>
      </c>
      <c r="B645" s="559" t="s">
        <v>191</v>
      </c>
      <c r="C645" s="31">
        <f>SUM(C646:C648)</f>
        <v>63980</v>
      </c>
      <c r="D645" s="24"/>
      <c r="E645" s="24"/>
      <c r="F645" s="71"/>
      <c r="G645" s="123"/>
      <c r="H645" s="123"/>
      <c r="I645" s="123"/>
      <c r="J645" s="123"/>
      <c r="K645" s="123"/>
    </row>
    <row r="646" spans="1:11" s="122" customFormat="1" ht="12.5" x14ac:dyDescent="0.25">
      <c r="A646" s="72" t="s">
        <v>190</v>
      </c>
      <c r="B646" s="43" t="s">
        <v>189</v>
      </c>
      <c r="C646" s="24">
        <v>14300</v>
      </c>
      <c r="D646" s="24"/>
      <c r="E646" s="24"/>
      <c r="F646" s="71"/>
      <c r="G646" s="123"/>
      <c r="H646" s="123"/>
      <c r="I646" s="123"/>
      <c r="J646" s="123"/>
      <c r="K646" s="123"/>
    </row>
    <row r="647" spans="1:11" s="122" customFormat="1" ht="12.5" x14ac:dyDescent="0.25">
      <c r="A647" s="72" t="s">
        <v>188</v>
      </c>
      <c r="B647" s="43" t="s">
        <v>187</v>
      </c>
      <c r="C647" s="24">
        <v>33480</v>
      </c>
      <c r="D647" s="24"/>
      <c r="E647" s="24"/>
      <c r="F647" s="71"/>
      <c r="G647" s="123"/>
      <c r="H647" s="123"/>
      <c r="I647" s="123"/>
      <c r="J647" s="123"/>
      <c r="K647" s="123"/>
    </row>
    <row r="648" spans="1:11" s="122" customFormat="1" ht="12.5" x14ac:dyDescent="0.25">
      <c r="A648" s="72" t="s">
        <v>186</v>
      </c>
      <c r="B648" s="43" t="s">
        <v>185</v>
      </c>
      <c r="C648" s="24">
        <v>16200</v>
      </c>
      <c r="D648" s="24"/>
      <c r="E648" s="24"/>
      <c r="F648" s="71"/>
      <c r="G648" s="123"/>
      <c r="H648" s="123"/>
      <c r="I648" s="123"/>
      <c r="J648" s="123"/>
      <c r="K648" s="123"/>
    </row>
    <row r="649" spans="1:11" s="122" customFormat="1" ht="12.5" x14ac:dyDescent="0.25">
      <c r="A649" s="265" t="s">
        <v>124</v>
      </c>
      <c r="B649" s="559" t="s">
        <v>123</v>
      </c>
      <c r="C649" s="31">
        <f>C650</f>
        <v>41700</v>
      </c>
      <c r="D649" s="24"/>
      <c r="E649" s="24"/>
      <c r="F649" s="71"/>
      <c r="G649" s="123"/>
      <c r="H649" s="123"/>
      <c r="I649" s="123"/>
      <c r="J649" s="123"/>
      <c r="K649" s="123"/>
    </row>
    <row r="650" spans="1:11" s="122" customFormat="1" ht="12.5" x14ac:dyDescent="0.25">
      <c r="A650" s="72" t="s">
        <v>93</v>
      </c>
      <c r="B650" s="43" t="s">
        <v>72</v>
      </c>
      <c r="C650" s="24">
        <v>41700</v>
      </c>
      <c r="D650" s="24"/>
      <c r="E650" s="24"/>
      <c r="F650" s="71"/>
      <c r="G650" s="123"/>
      <c r="H650" s="123"/>
      <c r="I650" s="123"/>
      <c r="J650" s="123"/>
      <c r="K650" s="123"/>
    </row>
    <row r="651" spans="1:11" s="122" customFormat="1" ht="12.5" x14ac:dyDescent="0.25">
      <c r="A651" s="265" t="s">
        <v>151</v>
      </c>
      <c r="B651" s="25" t="s">
        <v>133</v>
      </c>
      <c r="C651" s="31">
        <f>SUM(C652:C653)</f>
        <v>58000</v>
      </c>
      <c r="D651" s="24"/>
      <c r="E651" s="24"/>
      <c r="F651" s="71"/>
      <c r="G651" s="123"/>
      <c r="H651" s="123"/>
      <c r="I651" s="123"/>
      <c r="J651" s="123"/>
      <c r="K651" s="123"/>
    </row>
    <row r="652" spans="1:11" s="122" customFormat="1" ht="12.5" x14ac:dyDescent="0.25">
      <c r="A652" s="12" t="s">
        <v>152</v>
      </c>
      <c r="B652" s="12" t="s">
        <v>65</v>
      </c>
      <c r="C652" s="24">
        <v>40000</v>
      </c>
      <c r="D652" s="24"/>
      <c r="E652" s="24"/>
      <c r="F652" s="71"/>
      <c r="G652" s="123"/>
      <c r="H652" s="123"/>
      <c r="I652" s="123"/>
      <c r="J652" s="123"/>
      <c r="K652" s="123"/>
    </row>
    <row r="653" spans="1:11" s="122" customFormat="1" ht="12.5" x14ac:dyDescent="0.25">
      <c r="A653" s="12" t="s">
        <v>154</v>
      </c>
      <c r="B653" s="12" t="s">
        <v>125</v>
      </c>
      <c r="C653" s="24">
        <v>18000</v>
      </c>
      <c r="D653" s="24"/>
      <c r="E653" s="24"/>
      <c r="F653" s="71"/>
      <c r="G653" s="123"/>
      <c r="H653" s="123"/>
      <c r="I653" s="123"/>
      <c r="J653" s="123"/>
      <c r="K653" s="123"/>
    </row>
    <row r="654" spans="1:11" s="122" customFormat="1" thickBot="1" x14ac:dyDescent="0.3">
      <c r="A654" s="72"/>
      <c r="B654" s="72"/>
      <c r="C654" s="23"/>
      <c r="D654" s="24"/>
      <c r="E654" s="24"/>
      <c r="F654" s="71"/>
      <c r="G654" s="123"/>
      <c r="H654" s="123"/>
      <c r="I654" s="123"/>
      <c r="J654" s="123"/>
      <c r="K654" s="123"/>
    </row>
    <row r="655" spans="1:11" s="122" customFormat="1" thickBot="1" x14ac:dyDescent="0.3">
      <c r="A655" s="1096" t="s">
        <v>3</v>
      </c>
      <c r="B655" s="1097"/>
      <c r="C655" s="668">
        <f>C656+C659+C661+C664+C666</f>
        <v>4003980</v>
      </c>
      <c r="D655" s="24"/>
      <c r="E655" s="24"/>
      <c r="F655" s="71"/>
      <c r="G655" s="123"/>
      <c r="H655" s="123"/>
      <c r="I655" s="123"/>
      <c r="J655" s="123"/>
      <c r="K655" s="123"/>
    </row>
    <row r="656" spans="1:11" s="124" customFormat="1" ht="12.5" x14ac:dyDescent="0.25">
      <c r="A656" s="11" t="s">
        <v>110</v>
      </c>
      <c r="B656" s="298" t="s">
        <v>111</v>
      </c>
      <c r="C656" s="32">
        <f>SUM(C657:C658)</f>
        <v>316280</v>
      </c>
      <c r="D656" s="96"/>
      <c r="E656" s="96"/>
      <c r="F656" s="126"/>
      <c r="G656" s="125"/>
      <c r="H656" s="125"/>
      <c r="I656" s="125"/>
      <c r="J656" s="125"/>
      <c r="K656" s="125"/>
    </row>
    <row r="657" spans="1:255" s="124" customFormat="1" ht="12.5" x14ac:dyDescent="0.25">
      <c r="A657" s="12" t="s">
        <v>160</v>
      </c>
      <c r="B657" s="43" t="s">
        <v>159</v>
      </c>
      <c r="C657" s="22">
        <v>289000</v>
      </c>
      <c r="D657" s="96"/>
      <c r="E657" s="96"/>
      <c r="F657" s="126"/>
      <c r="G657" s="125"/>
      <c r="H657" s="125"/>
      <c r="I657" s="125"/>
      <c r="J657" s="125"/>
      <c r="K657" s="125"/>
    </row>
    <row r="658" spans="1:255" s="122" customFormat="1" ht="12.5" x14ac:dyDescent="0.25">
      <c r="A658" s="12" t="s">
        <v>52</v>
      </c>
      <c r="B658" s="12" t="s">
        <v>184</v>
      </c>
      <c r="C658" s="24">
        <v>27280</v>
      </c>
      <c r="D658" s="24"/>
      <c r="E658" s="24"/>
      <c r="F658" s="71"/>
      <c r="G658" s="123"/>
      <c r="H658" s="123"/>
      <c r="I658" s="123"/>
      <c r="J658" s="123"/>
      <c r="K658" s="123"/>
    </row>
    <row r="659" spans="1:255" s="122" customFormat="1" ht="12.5" x14ac:dyDescent="0.25">
      <c r="A659" s="11" t="s">
        <v>120</v>
      </c>
      <c r="B659" s="559" t="s">
        <v>121</v>
      </c>
      <c r="C659" s="31">
        <f>SUM(C660)</f>
        <v>24000</v>
      </c>
      <c r="D659" s="24"/>
      <c r="E659" s="24"/>
      <c r="F659" s="71"/>
      <c r="G659" s="123"/>
      <c r="H659" s="123"/>
      <c r="I659" s="123"/>
      <c r="J659" s="123"/>
      <c r="K659" s="123"/>
    </row>
    <row r="660" spans="1:255" s="122" customFormat="1" ht="12.5" x14ac:dyDescent="0.25">
      <c r="A660" s="12" t="s">
        <v>183</v>
      </c>
      <c r="B660" s="43" t="s">
        <v>182</v>
      </c>
      <c r="C660" s="24">
        <v>24000</v>
      </c>
      <c r="D660" s="24"/>
      <c r="E660" s="24"/>
      <c r="F660" s="71"/>
      <c r="G660" s="123"/>
      <c r="H660" s="123"/>
      <c r="I660" s="123"/>
      <c r="J660" s="123"/>
      <c r="K660" s="123"/>
    </row>
    <row r="661" spans="1:255" s="122" customFormat="1" ht="12.5" x14ac:dyDescent="0.25">
      <c r="A661" s="11" t="s">
        <v>112</v>
      </c>
      <c r="B661" s="11" t="s">
        <v>157</v>
      </c>
      <c r="C661" s="31">
        <f>SUM(C662:C663)</f>
        <v>348400</v>
      </c>
      <c r="D661" s="24"/>
      <c r="E661" s="24"/>
      <c r="F661" s="71"/>
      <c r="G661" s="123"/>
      <c r="H661" s="123"/>
      <c r="I661" s="123"/>
      <c r="J661" s="123"/>
      <c r="K661" s="123"/>
    </row>
    <row r="662" spans="1:255" s="128" customFormat="1" ht="12.5" x14ac:dyDescent="0.25">
      <c r="A662" s="12" t="s">
        <v>138</v>
      </c>
      <c r="B662" s="59" t="s">
        <v>878</v>
      </c>
      <c r="C662" s="24">
        <f>6500*1.2</f>
        <v>7800</v>
      </c>
      <c r="D662" s="24"/>
      <c r="E662" s="24"/>
      <c r="F662" s="71"/>
      <c r="G662" s="123"/>
      <c r="H662" s="123"/>
      <c r="I662" s="123"/>
      <c r="J662" s="123"/>
      <c r="K662" s="123"/>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c r="AN662" s="122"/>
      <c r="AO662" s="122"/>
      <c r="AP662" s="122"/>
      <c r="AQ662" s="122"/>
      <c r="AR662" s="122"/>
      <c r="AS662" s="122"/>
      <c r="AT662" s="122"/>
      <c r="AU662" s="122"/>
      <c r="AV662" s="122"/>
      <c r="AW662" s="122"/>
      <c r="AX662" s="122"/>
      <c r="AY662" s="122"/>
      <c r="AZ662" s="122"/>
      <c r="BA662" s="122"/>
      <c r="BB662" s="122"/>
      <c r="BC662" s="122"/>
      <c r="BD662" s="122"/>
      <c r="BE662" s="122"/>
      <c r="BF662" s="122"/>
      <c r="BG662" s="122"/>
      <c r="BH662" s="122"/>
      <c r="BI662" s="122"/>
      <c r="BJ662" s="122"/>
      <c r="BK662" s="122"/>
      <c r="BL662" s="122"/>
      <c r="BM662" s="122"/>
      <c r="BN662" s="122"/>
      <c r="BO662" s="122"/>
      <c r="BP662" s="122"/>
      <c r="BQ662" s="122"/>
      <c r="BR662" s="122"/>
      <c r="BS662" s="122"/>
      <c r="BT662" s="122"/>
      <c r="BU662" s="122"/>
      <c r="BV662" s="122"/>
      <c r="BW662" s="122"/>
      <c r="BX662" s="122"/>
      <c r="BY662" s="122"/>
      <c r="BZ662" s="122"/>
      <c r="CA662" s="122"/>
      <c r="CB662" s="122"/>
      <c r="CC662" s="122"/>
      <c r="CD662" s="122"/>
      <c r="CE662" s="122"/>
      <c r="CF662" s="122"/>
      <c r="CG662" s="122"/>
      <c r="CH662" s="122"/>
      <c r="CI662" s="122"/>
      <c r="CJ662" s="122"/>
      <c r="CK662" s="122"/>
      <c r="CL662" s="122"/>
      <c r="CM662" s="122"/>
      <c r="CN662" s="122"/>
      <c r="CO662" s="122"/>
      <c r="CP662" s="122"/>
      <c r="CQ662" s="122"/>
      <c r="CR662" s="122"/>
      <c r="CS662" s="122"/>
      <c r="CT662" s="122"/>
      <c r="CU662" s="122"/>
      <c r="CV662" s="122"/>
      <c r="CW662" s="122"/>
      <c r="CX662" s="122"/>
      <c r="CY662" s="122"/>
      <c r="CZ662" s="122"/>
      <c r="DA662" s="122"/>
      <c r="DB662" s="122"/>
      <c r="DC662" s="122"/>
      <c r="DD662" s="122"/>
      <c r="DE662" s="122"/>
      <c r="DF662" s="122"/>
      <c r="DG662" s="122"/>
      <c r="DH662" s="122"/>
      <c r="DI662" s="122"/>
      <c r="DJ662" s="122"/>
      <c r="DK662" s="122"/>
      <c r="DL662" s="122"/>
      <c r="DM662" s="122"/>
      <c r="DN662" s="122"/>
      <c r="DO662" s="122"/>
      <c r="DP662" s="122"/>
      <c r="DQ662" s="122"/>
      <c r="DR662" s="122"/>
      <c r="DS662" s="122"/>
      <c r="DT662" s="122"/>
      <c r="DU662" s="122"/>
      <c r="DV662" s="122"/>
      <c r="DW662" s="122"/>
      <c r="DX662" s="122"/>
      <c r="DY662" s="122"/>
      <c r="DZ662" s="122"/>
      <c r="EA662" s="122"/>
      <c r="EB662" s="122"/>
      <c r="EC662" s="122"/>
      <c r="ED662" s="122"/>
      <c r="EE662" s="122"/>
      <c r="EF662" s="122"/>
      <c r="EG662" s="122"/>
      <c r="EH662" s="122"/>
      <c r="EI662" s="122"/>
      <c r="EJ662" s="122"/>
      <c r="EK662" s="122"/>
      <c r="EL662" s="122"/>
      <c r="EM662" s="122"/>
      <c r="EN662" s="122"/>
      <c r="EO662" s="122"/>
      <c r="EP662" s="122"/>
      <c r="EQ662" s="122"/>
      <c r="ER662" s="122"/>
      <c r="ES662" s="122"/>
      <c r="ET662" s="122"/>
      <c r="EU662" s="122"/>
      <c r="EV662" s="122"/>
      <c r="EW662" s="122"/>
      <c r="EX662" s="122"/>
      <c r="EY662" s="122"/>
      <c r="EZ662" s="122"/>
      <c r="FA662" s="122"/>
      <c r="FB662" s="122"/>
      <c r="FC662" s="122"/>
      <c r="FD662" s="122"/>
      <c r="FE662" s="122"/>
      <c r="FF662" s="122"/>
      <c r="FG662" s="122"/>
      <c r="FH662" s="122"/>
      <c r="FI662" s="122"/>
      <c r="FJ662" s="122"/>
      <c r="FK662" s="122"/>
      <c r="FL662" s="122"/>
      <c r="FM662" s="122"/>
      <c r="FN662" s="122"/>
      <c r="FO662" s="122"/>
      <c r="FP662" s="122"/>
      <c r="FQ662" s="122"/>
      <c r="FR662" s="122"/>
      <c r="FS662" s="122"/>
      <c r="FT662" s="122"/>
      <c r="FU662" s="122"/>
      <c r="FV662" s="122"/>
      <c r="FW662" s="122"/>
      <c r="FX662" s="122"/>
      <c r="FY662" s="122"/>
      <c r="FZ662" s="122"/>
      <c r="GA662" s="122"/>
      <c r="GB662" s="122"/>
      <c r="GC662" s="122"/>
      <c r="GD662" s="122"/>
      <c r="GE662" s="122"/>
      <c r="GF662" s="122"/>
      <c r="GG662" s="122"/>
      <c r="GH662" s="122"/>
      <c r="GI662" s="122"/>
      <c r="GJ662" s="122"/>
      <c r="GK662" s="122"/>
      <c r="GL662" s="122"/>
      <c r="GM662" s="122"/>
      <c r="GN662" s="122"/>
      <c r="GO662" s="122"/>
      <c r="GP662" s="122"/>
      <c r="GQ662" s="122"/>
      <c r="GR662" s="122"/>
      <c r="GS662" s="122"/>
      <c r="GT662" s="122"/>
      <c r="GU662" s="122"/>
      <c r="GV662" s="122"/>
      <c r="GW662" s="122"/>
      <c r="GX662" s="122"/>
      <c r="GY662" s="122"/>
      <c r="GZ662" s="122"/>
      <c r="HA662" s="122"/>
      <c r="HB662" s="122"/>
      <c r="HC662" s="122"/>
      <c r="HD662" s="122"/>
      <c r="HE662" s="122"/>
      <c r="HF662" s="122"/>
      <c r="HG662" s="122"/>
      <c r="HH662" s="122"/>
      <c r="HI662" s="122"/>
      <c r="HJ662" s="122"/>
      <c r="HK662" s="122"/>
      <c r="HL662" s="122"/>
      <c r="HM662" s="122"/>
      <c r="HN662" s="122"/>
      <c r="HO662" s="122"/>
      <c r="HP662" s="122"/>
      <c r="HQ662" s="122"/>
      <c r="HR662" s="122"/>
      <c r="HS662" s="122"/>
      <c r="HT662" s="122"/>
      <c r="HU662" s="122"/>
      <c r="HV662" s="122"/>
      <c r="HW662" s="122"/>
      <c r="HX662" s="122"/>
      <c r="HY662" s="122"/>
      <c r="HZ662" s="122"/>
      <c r="IA662" s="122"/>
      <c r="IB662" s="122"/>
      <c r="IC662" s="122"/>
      <c r="ID662" s="122"/>
      <c r="IE662" s="122"/>
      <c r="IF662" s="122"/>
      <c r="IG662" s="122"/>
      <c r="IH662" s="122"/>
      <c r="II662" s="122"/>
      <c r="IJ662" s="122"/>
      <c r="IK662" s="122"/>
      <c r="IL662" s="122"/>
      <c r="IM662" s="122"/>
      <c r="IN662" s="122"/>
      <c r="IO662" s="122"/>
      <c r="IP662" s="122"/>
      <c r="IQ662" s="122"/>
      <c r="IR662" s="122"/>
      <c r="IS662" s="122"/>
      <c r="IT662" s="122"/>
      <c r="IU662" s="122"/>
    </row>
    <row r="663" spans="1:255" s="122" customFormat="1" ht="12.5" x14ac:dyDescent="0.25">
      <c r="A663" s="12" t="s">
        <v>156</v>
      </c>
      <c r="B663" s="12" t="s">
        <v>87</v>
      </c>
      <c r="C663" s="24">
        <v>340600</v>
      </c>
      <c r="D663" s="612"/>
      <c r="E663" s="24"/>
      <c r="G663" s="123"/>
      <c r="H663" s="123"/>
      <c r="I663" s="123"/>
      <c r="J663" s="123"/>
      <c r="K663" s="123"/>
    </row>
    <row r="664" spans="1:255" s="122" customFormat="1" ht="12.5" x14ac:dyDescent="0.25">
      <c r="A664" s="11" t="s">
        <v>132</v>
      </c>
      <c r="B664" s="31" t="s">
        <v>56</v>
      </c>
      <c r="C664" s="31">
        <f>SUM(C665)</f>
        <v>24400</v>
      </c>
      <c r="E664" s="24"/>
      <c r="F664" s="24"/>
      <c r="G664" s="123"/>
      <c r="H664" s="123"/>
      <c r="I664" s="123"/>
      <c r="J664" s="123"/>
      <c r="K664" s="123"/>
    </row>
    <row r="665" spans="1:255" s="122" customFormat="1" ht="12.5" x14ac:dyDescent="0.25">
      <c r="A665" s="12" t="s">
        <v>55</v>
      </c>
      <c r="B665" s="12" t="s">
        <v>56</v>
      </c>
      <c r="C665" s="24">
        <v>24400</v>
      </c>
      <c r="E665" s="24"/>
      <c r="F665" s="24"/>
      <c r="G665" s="123"/>
      <c r="H665" s="123"/>
      <c r="I665" s="123"/>
      <c r="J665" s="123"/>
      <c r="K665" s="123"/>
    </row>
    <row r="666" spans="1:255" s="122" customFormat="1" ht="12.5" x14ac:dyDescent="0.25">
      <c r="A666" s="11" t="s">
        <v>115</v>
      </c>
      <c r="B666" s="265" t="s">
        <v>8</v>
      </c>
      <c r="C666" s="31">
        <f>SUM(C667:C669)</f>
        <v>3290900</v>
      </c>
      <c r="E666" s="24"/>
      <c r="F666" s="24"/>
      <c r="G666" s="123"/>
      <c r="H666" s="123"/>
      <c r="I666" s="123"/>
      <c r="J666" s="123"/>
      <c r="K666" s="123"/>
    </row>
    <row r="667" spans="1:255" s="122" customFormat="1" ht="12.5" x14ac:dyDescent="0.25">
      <c r="A667" s="12" t="s">
        <v>89</v>
      </c>
      <c r="B667" s="12" t="s">
        <v>8</v>
      </c>
      <c r="C667" s="24">
        <v>908420</v>
      </c>
      <c r="D667" s="613"/>
      <c r="E667" s="24"/>
      <c r="F667" s="24"/>
      <c r="G667" s="123"/>
      <c r="H667" s="123"/>
      <c r="I667" s="123"/>
      <c r="J667" s="123"/>
      <c r="K667" s="123"/>
    </row>
    <row r="668" spans="1:255" s="122" customFormat="1" ht="12.5" x14ac:dyDescent="0.25">
      <c r="A668" s="12" t="s">
        <v>181</v>
      </c>
      <c r="B668" s="12" t="s">
        <v>180</v>
      </c>
      <c r="C668" s="24">
        <f>5400*1.2</f>
        <v>6480</v>
      </c>
      <c r="E668" s="24"/>
      <c r="F668" s="24"/>
      <c r="G668" s="123"/>
      <c r="H668" s="123"/>
      <c r="I668" s="123"/>
      <c r="J668" s="123"/>
      <c r="K668" s="123"/>
    </row>
    <row r="669" spans="1:255" s="122" customFormat="1" ht="12.5" x14ac:dyDescent="0.25">
      <c r="A669" s="12" t="s">
        <v>90</v>
      </c>
      <c r="B669" s="12" t="s">
        <v>7</v>
      </c>
      <c r="C669" s="24">
        <v>2376000</v>
      </c>
      <c r="D669" s="24"/>
      <c r="E669" s="24"/>
      <c r="F669" s="71"/>
      <c r="G669" s="123"/>
      <c r="H669" s="123"/>
      <c r="I669" s="123"/>
      <c r="J669" s="123"/>
      <c r="K669" s="123"/>
    </row>
    <row r="670" spans="1:255" s="122" customFormat="1" thickBot="1" x14ac:dyDescent="0.3">
      <c r="A670" s="72"/>
      <c r="B670" s="72"/>
      <c r="C670" s="23"/>
      <c r="D670" s="24"/>
      <c r="E670" s="24"/>
      <c r="F670" s="71"/>
      <c r="G670" s="123"/>
      <c r="H670" s="123"/>
      <c r="I670" s="123"/>
      <c r="J670" s="123"/>
      <c r="K670" s="123"/>
    </row>
    <row r="671" spans="1:255" s="122" customFormat="1" thickBot="1" x14ac:dyDescent="0.3">
      <c r="A671" s="1100" t="s">
        <v>4</v>
      </c>
      <c r="B671" s="1101"/>
      <c r="C671" s="670">
        <f>C672+C676+C679</f>
        <v>107800</v>
      </c>
      <c r="D671" s="24"/>
      <c r="E671" s="24"/>
      <c r="F671" s="71"/>
      <c r="G671" s="123"/>
      <c r="H671" s="123"/>
      <c r="I671" s="123"/>
      <c r="J671" s="123"/>
      <c r="K671" s="123"/>
    </row>
    <row r="672" spans="1:255" s="127" customFormat="1" ht="11.5" x14ac:dyDescent="0.25">
      <c r="A672" s="265" t="s">
        <v>179</v>
      </c>
      <c r="B672" s="559" t="s">
        <v>178</v>
      </c>
      <c r="C672" s="31">
        <f>SUM(C673:C675)</f>
        <v>66100</v>
      </c>
      <c r="D672" s="24"/>
      <c r="E672" s="24"/>
      <c r="F672" s="71"/>
    </row>
    <row r="673" spans="1:11" s="127" customFormat="1" ht="11.5" x14ac:dyDescent="0.25">
      <c r="A673" s="72" t="s">
        <v>177</v>
      </c>
      <c r="B673" s="43" t="s">
        <v>176</v>
      </c>
      <c r="C673" s="24">
        <v>10000</v>
      </c>
      <c r="D673" s="24"/>
      <c r="E673" s="24"/>
      <c r="F673" s="71"/>
    </row>
    <row r="674" spans="1:11" s="127" customFormat="1" ht="11.5" x14ac:dyDescent="0.25">
      <c r="A674" s="72" t="s">
        <v>175</v>
      </c>
      <c r="B674" s="43" t="s">
        <v>174</v>
      </c>
      <c r="C674" s="24">
        <v>40500</v>
      </c>
      <c r="D674" s="24"/>
      <c r="E674" s="24"/>
      <c r="F674" s="71"/>
    </row>
    <row r="675" spans="1:11" s="127" customFormat="1" ht="11.5" x14ac:dyDescent="0.25">
      <c r="A675" s="72" t="s">
        <v>173</v>
      </c>
      <c r="B675" s="43" t="s">
        <v>172</v>
      </c>
      <c r="C675" s="24">
        <f>12000*1.3</f>
        <v>15600</v>
      </c>
      <c r="D675" s="24"/>
      <c r="E675" s="24"/>
      <c r="F675" s="71"/>
    </row>
    <row r="676" spans="1:11" s="124" customFormat="1" ht="12.5" x14ac:dyDescent="0.25">
      <c r="A676" s="265" t="s">
        <v>116</v>
      </c>
      <c r="B676" s="298" t="s">
        <v>117</v>
      </c>
      <c r="C676" s="32">
        <f>SUM(C677:C678)</f>
        <v>34100</v>
      </c>
      <c r="D676" s="96"/>
      <c r="E676" s="96"/>
      <c r="F676" s="126"/>
      <c r="G676" s="125"/>
      <c r="H676" s="125"/>
      <c r="I676" s="125"/>
      <c r="J676" s="125"/>
      <c r="K676" s="125"/>
    </row>
    <row r="677" spans="1:11" s="122" customFormat="1" ht="12.5" x14ac:dyDescent="0.25">
      <c r="A677" s="72" t="s">
        <v>91</v>
      </c>
      <c r="B677" s="12" t="s">
        <v>139</v>
      </c>
      <c r="C677" s="24">
        <f>12350*1.3+45</f>
        <v>16100</v>
      </c>
      <c r="D677" s="24"/>
      <c r="E677" s="24"/>
      <c r="F677" s="71"/>
      <c r="G677" s="123"/>
      <c r="H677" s="123"/>
      <c r="I677" s="123"/>
      <c r="J677" s="123"/>
      <c r="K677" s="123"/>
    </row>
    <row r="678" spans="1:11" s="122" customFormat="1" ht="12.5" x14ac:dyDescent="0.25">
      <c r="A678" s="72" t="s">
        <v>57</v>
      </c>
      <c r="B678" s="12" t="s">
        <v>58</v>
      </c>
      <c r="C678" s="24">
        <v>18000</v>
      </c>
      <c r="D678" s="24"/>
      <c r="E678" s="24"/>
      <c r="F678" s="71"/>
      <c r="G678" s="123"/>
      <c r="H678" s="123"/>
      <c r="I678" s="123"/>
      <c r="J678" s="123"/>
      <c r="K678" s="123"/>
    </row>
    <row r="679" spans="1:11" s="122" customFormat="1" ht="12.5" x14ac:dyDescent="0.25">
      <c r="A679" s="265" t="s">
        <v>166</v>
      </c>
      <c r="B679" s="25" t="s">
        <v>135</v>
      </c>
      <c r="C679" s="31">
        <f>SUM(C680)</f>
        <v>7600</v>
      </c>
      <c r="D679" s="24"/>
      <c r="E679" s="24"/>
      <c r="F679" s="71"/>
      <c r="G679" s="123"/>
      <c r="H679" s="123"/>
      <c r="I679" s="123"/>
      <c r="J679" s="123"/>
      <c r="K679" s="123"/>
    </row>
    <row r="680" spans="1:11" s="122" customFormat="1" ht="12.5" x14ac:dyDescent="0.25">
      <c r="A680" s="72" t="s">
        <v>167</v>
      </c>
      <c r="B680" s="12" t="s">
        <v>51</v>
      </c>
      <c r="C680" s="24">
        <v>7600</v>
      </c>
      <c r="D680" s="24"/>
      <c r="E680" s="24"/>
      <c r="F680" s="71"/>
      <c r="G680" s="123"/>
      <c r="H680" s="123"/>
      <c r="I680" s="123"/>
      <c r="J680" s="123"/>
      <c r="K680" s="123"/>
    </row>
    <row r="681" spans="1:11" s="122" customFormat="1" ht="12.5" x14ac:dyDescent="0.25">
      <c r="A681" s="72"/>
      <c r="B681" s="12"/>
      <c r="C681" s="24"/>
      <c r="D681" s="24"/>
      <c r="E681" s="24"/>
      <c r="F681" s="71"/>
      <c r="G681" s="123"/>
      <c r="H681" s="123"/>
      <c r="I681" s="123"/>
      <c r="J681" s="123"/>
      <c r="K681" s="123"/>
    </row>
    <row r="682" spans="1:11" s="3" customFormat="1" ht="13.5" customHeight="1" thickBot="1" x14ac:dyDescent="0.3">
      <c r="C682" s="18"/>
      <c r="D682" s="18"/>
      <c r="E682" s="18"/>
      <c r="G682" s="341"/>
    </row>
    <row r="683" spans="1:11" s="5" customFormat="1" x14ac:dyDescent="0.3">
      <c r="A683" s="1117" t="s">
        <v>1003</v>
      </c>
      <c r="B683" s="1118"/>
      <c r="C683" s="1119"/>
      <c r="D683" s="704" t="s">
        <v>6</v>
      </c>
      <c r="E683" s="910" t="s">
        <v>857</v>
      </c>
      <c r="F683" s="616"/>
      <c r="G683" s="69"/>
      <c r="H683" s="69"/>
      <c r="I683" s="69"/>
    </row>
    <row r="684" spans="1:11" s="5" customFormat="1" ht="13.5" thickBot="1" x14ac:dyDescent="0.35">
      <c r="A684" s="1120"/>
      <c r="B684" s="1121"/>
      <c r="C684" s="1122"/>
      <c r="D684" s="708"/>
      <c r="E684" s="709"/>
      <c r="F684" s="224"/>
      <c r="G684" s="69"/>
      <c r="H684" s="69"/>
      <c r="I684" s="69"/>
    </row>
    <row r="685" spans="1:11" s="5" customFormat="1" x14ac:dyDescent="0.3">
      <c r="A685" s="1123" t="s">
        <v>1066</v>
      </c>
      <c r="B685" s="1124"/>
      <c r="C685" s="1124"/>
      <c r="D685" s="1124"/>
      <c r="E685" s="1125"/>
      <c r="F685" s="224"/>
      <c r="G685" s="69"/>
      <c r="H685" s="69"/>
      <c r="I685" s="69"/>
    </row>
    <row r="686" spans="1:11" s="5" customFormat="1" x14ac:dyDescent="0.3">
      <c r="A686" s="1126"/>
      <c r="B686" s="1127"/>
      <c r="C686" s="1127"/>
      <c r="D686" s="1127"/>
      <c r="E686" s="1128"/>
      <c r="F686" s="224"/>
      <c r="G686" s="69"/>
      <c r="H686" s="69"/>
      <c r="I686" s="69"/>
    </row>
    <row r="687" spans="1:11" s="5" customFormat="1" ht="13.5" thickBot="1" x14ac:dyDescent="0.35">
      <c r="A687" s="1126"/>
      <c r="B687" s="1127"/>
      <c r="C687" s="1127"/>
      <c r="D687" s="1127"/>
      <c r="E687" s="1128"/>
      <c r="F687" s="224"/>
      <c r="G687" s="69"/>
      <c r="H687" s="69"/>
      <c r="I687" s="69"/>
    </row>
    <row r="688" spans="1:11" s="5" customFormat="1" x14ac:dyDescent="0.25">
      <c r="A688" s="456" t="s">
        <v>1029</v>
      </c>
      <c r="B688" s="170"/>
      <c r="C688" s="169"/>
      <c r="D688" s="169"/>
      <c r="E688" s="168"/>
      <c r="F688" s="224"/>
      <c r="G688" s="234"/>
      <c r="H688" s="234"/>
      <c r="I688" s="234"/>
    </row>
    <row r="689" spans="1:9" s="5" customFormat="1" x14ac:dyDescent="0.25">
      <c r="A689" s="58" t="s">
        <v>703</v>
      </c>
      <c r="B689" s="59"/>
      <c r="C689" s="60"/>
      <c r="D689" s="60"/>
      <c r="E689" s="61"/>
      <c r="F689" s="224"/>
      <c r="G689" s="234"/>
      <c r="H689" s="234"/>
      <c r="I689" s="234"/>
    </row>
    <row r="690" spans="1:9" s="5" customFormat="1" x14ac:dyDescent="0.25">
      <c r="A690" s="41" t="s">
        <v>1040</v>
      </c>
      <c r="B690" s="59"/>
      <c r="C690" s="60"/>
      <c r="D690" s="60"/>
      <c r="E690" s="61"/>
      <c r="F690" s="224"/>
      <c r="G690" s="234"/>
      <c r="H690" s="234"/>
      <c r="I690" s="234"/>
    </row>
    <row r="691" spans="1:9" s="5" customFormat="1" ht="13.5" thickBot="1" x14ac:dyDescent="0.3">
      <c r="A691" s="167" t="s">
        <v>1004</v>
      </c>
      <c r="B691" s="166"/>
      <c r="C691" s="165"/>
      <c r="D691" s="165"/>
      <c r="E691" s="164"/>
      <c r="F691" s="224"/>
      <c r="G691" s="234"/>
      <c r="H691" s="234"/>
      <c r="I691" s="234"/>
    </row>
    <row r="692" spans="1:9" s="5" customFormat="1" ht="13.5" thickBot="1" x14ac:dyDescent="0.3">
      <c r="A692" s="743" t="s">
        <v>14</v>
      </c>
      <c r="B692" s="744"/>
      <c r="C692" s="750"/>
      <c r="D692" s="751"/>
      <c r="E692" s="747">
        <f>+C695+C715+C730+C735</f>
        <v>1549010</v>
      </c>
      <c r="F692" s="235"/>
      <c r="G692" s="235"/>
      <c r="H692" s="234"/>
      <c r="I692" s="234"/>
    </row>
    <row r="693" spans="1:9" s="5" customFormat="1" x14ac:dyDescent="0.25">
      <c r="A693" s="63"/>
      <c r="B693" s="63"/>
      <c r="C693" s="64"/>
      <c r="D693" s="64"/>
      <c r="E693" s="236"/>
      <c r="F693" s="224"/>
      <c r="G693" s="234"/>
      <c r="H693" s="234"/>
      <c r="I693" s="234"/>
    </row>
    <row r="694" spans="1:9" s="5" customFormat="1" ht="13.5" thickBot="1" x14ac:dyDescent="0.35">
      <c r="A694" s="59"/>
      <c r="B694" s="70"/>
      <c r="C694" s="67"/>
      <c r="D694" s="237"/>
      <c r="E694" s="68"/>
      <c r="F694" s="204"/>
      <c r="G694" s="66"/>
      <c r="H694" s="66"/>
      <c r="I694" s="66"/>
    </row>
    <row r="695" spans="1:9" s="5" customFormat="1" ht="13.5" thickBot="1" x14ac:dyDescent="0.35">
      <c r="A695" s="1102" t="s">
        <v>2</v>
      </c>
      <c r="B695" s="1103"/>
      <c r="C695" s="699">
        <f>(C696+C698+C700+C702+C709+C711)</f>
        <v>260020</v>
      </c>
      <c r="D695" s="92"/>
      <c r="E695" s="109"/>
      <c r="F695" s="204"/>
      <c r="G695" s="66"/>
      <c r="H695" s="66"/>
      <c r="I695" s="66"/>
    </row>
    <row r="696" spans="1:9" s="5" customFormat="1" x14ac:dyDescent="0.3">
      <c r="A696" s="11" t="s">
        <v>103</v>
      </c>
      <c r="B696" s="298" t="s">
        <v>104</v>
      </c>
      <c r="C696" s="563">
        <f>SUM(C697)</f>
        <v>35500</v>
      </c>
      <c r="D696" s="95"/>
      <c r="E696" s="238"/>
      <c r="F696" s="99"/>
      <c r="G696" s="239"/>
      <c r="H696" s="239"/>
      <c r="I696" s="239"/>
    </row>
    <row r="697" spans="1:9" s="5" customFormat="1" x14ac:dyDescent="0.3">
      <c r="A697" s="12" t="s">
        <v>46</v>
      </c>
      <c r="B697" s="43" t="s">
        <v>161</v>
      </c>
      <c r="C697" s="60">
        <v>35500</v>
      </c>
      <c r="D697" s="70"/>
      <c r="E697" s="68"/>
      <c r="F697" s="204"/>
      <c r="G697" s="66"/>
      <c r="H697" s="66"/>
      <c r="I697" s="66"/>
    </row>
    <row r="698" spans="1:9" s="5" customFormat="1" x14ac:dyDescent="0.3">
      <c r="A698" s="11" t="s">
        <v>105</v>
      </c>
      <c r="B698" s="556" t="s">
        <v>106</v>
      </c>
      <c r="C698" s="64">
        <f>SUM(C699:C699)</f>
        <v>45800</v>
      </c>
      <c r="D698" s="240"/>
      <c r="E698" s="66"/>
      <c r="F698" s="204"/>
      <c r="G698" s="66"/>
      <c r="H698" s="66"/>
      <c r="I698" s="66"/>
    </row>
    <row r="699" spans="1:9" s="5" customFormat="1" x14ac:dyDescent="0.3">
      <c r="A699" s="12" t="s">
        <v>86</v>
      </c>
      <c r="B699" s="43" t="s">
        <v>66</v>
      </c>
      <c r="C699" s="24">
        <v>45800</v>
      </c>
      <c r="D699" s="66"/>
      <c r="E699" s="66"/>
      <c r="F699" s="96"/>
      <c r="G699" s="31"/>
      <c r="H699" s="43"/>
      <c r="I699" s="43"/>
    </row>
    <row r="700" spans="1:9" s="5" customFormat="1" x14ac:dyDescent="0.3">
      <c r="A700" s="11" t="s">
        <v>107</v>
      </c>
      <c r="B700" s="556" t="s">
        <v>108</v>
      </c>
      <c r="C700" s="31">
        <f>SUM(C701)</f>
        <v>25680</v>
      </c>
      <c r="D700" s="66"/>
      <c r="E700" s="66"/>
      <c r="F700" s="96"/>
      <c r="G700" s="31"/>
      <c r="H700" s="43"/>
      <c r="I700" s="43"/>
    </row>
    <row r="701" spans="1:9" s="5" customFormat="1" x14ac:dyDescent="0.3">
      <c r="A701" s="12" t="s">
        <v>47</v>
      </c>
      <c r="B701" s="43" t="s">
        <v>48</v>
      </c>
      <c r="C701" s="60">
        <v>25680</v>
      </c>
      <c r="D701" s="43"/>
      <c r="E701" s="43"/>
      <c r="F701" s="67"/>
      <c r="G701" s="68"/>
      <c r="H701" s="66"/>
      <c r="I701" s="66"/>
    </row>
    <row r="702" spans="1:9" s="5" customFormat="1" x14ac:dyDescent="0.3">
      <c r="A702" s="11" t="s">
        <v>195</v>
      </c>
      <c r="B702" s="25" t="s">
        <v>194</v>
      </c>
      <c r="C702" s="64">
        <f>SUM(C703:C703)</f>
        <v>16000</v>
      </c>
      <c r="D702" s="43"/>
      <c r="E702" s="43"/>
      <c r="F702" s="67"/>
      <c r="G702" s="68"/>
      <c r="H702" s="66"/>
      <c r="I702" s="66"/>
    </row>
    <row r="703" spans="1:9" s="5" customFormat="1" x14ac:dyDescent="0.3">
      <c r="A703" s="12" t="s">
        <v>193</v>
      </c>
      <c r="B703" s="8" t="s">
        <v>215</v>
      </c>
      <c r="C703" s="60">
        <v>16000</v>
      </c>
      <c r="D703" s="43"/>
      <c r="E703" s="43"/>
      <c r="F703" s="67"/>
      <c r="G703" s="68"/>
      <c r="H703" s="66"/>
      <c r="I703" s="66"/>
    </row>
    <row r="704" spans="1:9" s="5" customFormat="1" hidden="1" x14ac:dyDescent="0.3">
      <c r="A704" s="11" t="s">
        <v>119</v>
      </c>
      <c r="B704" s="556" t="s">
        <v>109</v>
      </c>
      <c r="C704" s="64">
        <f>SUM(C705:C708)</f>
        <v>0</v>
      </c>
      <c r="D704" s="43"/>
      <c r="E704" s="43"/>
      <c r="F704" s="67"/>
      <c r="G704" s="68"/>
      <c r="H704" s="66"/>
      <c r="I704" s="66"/>
    </row>
    <row r="705" spans="1:9" s="5" customFormat="1" hidden="1" x14ac:dyDescent="0.3">
      <c r="A705" s="12" t="s">
        <v>190</v>
      </c>
      <c r="B705" s="43" t="s">
        <v>189</v>
      </c>
      <c r="C705" s="60">
        <v>0</v>
      </c>
      <c r="D705" s="43"/>
      <c r="E705" s="43"/>
      <c r="F705" s="67"/>
      <c r="G705" s="68"/>
      <c r="H705" s="66"/>
      <c r="I705" s="66"/>
    </row>
    <row r="706" spans="1:9" s="5" customFormat="1" hidden="1" x14ac:dyDescent="0.3">
      <c r="A706" s="12" t="s">
        <v>188</v>
      </c>
      <c r="B706" s="43" t="s">
        <v>187</v>
      </c>
      <c r="C706" s="60">
        <v>0</v>
      </c>
      <c r="D706" s="43"/>
      <c r="E706" s="604" t="s">
        <v>651</v>
      </c>
      <c r="F706" s="67"/>
      <c r="G706" s="68"/>
      <c r="H706" s="66"/>
      <c r="I706" s="66"/>
    </row>
    <row r="707" spans="1:9" s="5" customFormat="1" hidden="1" x14ac:dyDescent="0.3">
      <c r="A707" s="12" t="s">
        <v>186</v>
      </c>
      <c r="B707" s="43" t="s">
        <v>185</v>
      </c>
      <c r="C707" s="60">
        <v>0</v>
      </c>
      <c r="D707" s="43"/>
      <c r="E707" s="43"/>
      <c r="F707" s="67"/>
      <c r="G707" s="68"/>
      <c r="H707" s="66"/>
      <c r="I707" s="66"/>
    </row>
    <row r="708" spans="1:9" s="5" customFormat="1" hidden="1" x14ac:dyDescent="0.3">
      <c r="A708" s="12" t="s">
        <v>600</v>
      </c>
      <c r="B708" s="43" t="s">
        <v>598</v>
      </c>
      <c r="C708" s="60">
        <v>0</v>
      </c>
      <c r="D708" s="43"/>
      <c r="E708" s="43"/>
      <c r="F708" s="67"/>
      <c r="G708" s="68"/>
      <c r="H708" s="66"/>
      <c r="I708" s="66"/>
    </row>
    <row r="709" spans="1:9" s="5" customFormat="1" x14ac:dyDescent="0.3">
      <c r="A709" s="265" t="s">
        <v>124</v>
      </c>
      <c r="B709" s="556" t="s">
        <v>123</v>
      </c>
      <c r="C709" s="64">
        <f>SUM(C710:C710)</f>
        <v>25100</v>
      </c>
      <c r="D709" s="43"/>
      <c r="E709" s="43"/>
      <c r="F709" s="43"/>
      <c r="G709" s="68"/>
      <c r="H709" s="66"/>
      <c r="I709" s="66"/>
    </row>
    <row r="710" spans="1:9" s="5" customFormat="1" x14ac:dyDescent="0.3">
      <c r="A710" s="12" t="s">
        <v>93</v>
      </c>
      <c r="B710" s="43" t="s">
        <v>72</v>
      </c>
      <c r="C710" s="60">
        <v>25100</v>
      </c>
      <c r="D710" s="43"/>
      <c r="E710" s="68"/>
      <c r="F710" s="204"/>
      <c r="G710" s="66"/>
      <c r="H710" s="66"/>
      <c r="I710" s="66"/>
    </row>
    <row r="711" spans="1:9" s="5" customFormat="1" x14ac:dyDescent="0.3">
      <c r="A711" s="265" t="s">
        <v>151</v>
      </c>
      <c r="B711" s="25" t="s">
        <v>133</v>
      </c>
      <c r="C711" s="64">
        <f>SUM(C712:C713)</f>
        <v>111940</v>
      </c>
      <c r="D711" s="68"/>
      <c r="E711" s="68"/>
      <c r="F711" s="204"/>
      <c r="G711" s="66"/>
      <c r="H711" s="66"/>
      <c r="I711" s="66"/>
    </row>
    <row r="712" spans="1:9" s="5" customFormat="1" x14ac:dyDescent="0.3">
      <c r="A712" s="12" t="s">
        <v>154</v>
      </c>
      <c r="B712" s="43" t="s">
        <v>125</v>
      </c>
      <c r="C712" s="60">
        <v>11940</v>
      </c>
      <c r="D712" s="67"/>
      <c r="E712" s="68"/>
      <c r="F712" s="204"/>
      <c r="G712" s="66"/>
      <c r="H712" s="66"/>
      <c r="I712" s="66"/>
    </row>
    <row r="713" spans="1:9" s="5" customFormat="1" x14ac:dyDescent="0.25">
      <c r="A713" s="72" t="s">
        <v>704</v>
      </c>
      <c r="B713" s="43" t="s">
        <v>698</v>
      </c>
      <c r="C713" s="24">
        <v>100000</v>
      </c>
      <c r="E713" s="353"/>
      <c r="F713" s="353"/>
      <c r="G713" s="410"/>
    </row>
    <row r="714" spans="1:9" s="5" customFormat="1" ht="13.5" thickBot="1" x14ac:dyDescent="0.35">
      <c r="A714" s="12"/>
      <c r="B714" s="43"/>
      <c r="C714" s="60"/>
      <c r="D714" s="67"/>
      <c r="E714" s="68"/>
      <c r="F714" s="204"/>
      <c r="G714" s="66"/>
      <c r="H714" s="66"/>
      <c r="I714" s="66"/>
    </row>
    <row r="715" spans="1:9" s="5" customFormat="1" ht="13.5" thickBot="1" x14ac:dyDescent="0.35">
      <c r="A715" s="1098" t="s">
        <v>3</v>
      </c>
      <c r="B715" s="1099"/>
      <c r="C715" s="700">
        <f>C716+C718+C720+C723+C725</f>
        <v>815270</v>
      </c>
      <c r="D715" s="68"/>
      <c r="E715" s="68"/>
      <c r="F715" s="204"/>
      <c r="G715" s="66"/>
      <c r="H715" s="66"/>
      <c r="I715" s="66"/>
    </row>
    <row r="716" spans="1:9" s="5" customFormat="1" x14ac:dyDescent="0.3">
      <c r="A716" s="63" t="s">
        <v>110</v>
      </c>
      <c r="B716" s="298" t="s">
        <v>111</v>
      </c>
      <c r="C716" s="563">
        <f>SUM(C717:C717)</f>
        <v>31000</v>
      </c>
      <c r="D716" s="95"/>
      <c r="E716" s="95"/>
      <c r="F716" s="99"/>
      <c r="G716" s="239"/>
      <c r="H716" s="239"/>
      <c r="I716" s="239"/>
    </row>
    <row r="717" spans="1:9" s="5" customFormat="1" x14ac:dyDescent="0.3">
      <c r="A717" s="59" t="s">
        <v>52</v>
      </c>
      <c r="B717" s="43" t="s">
        <v>184</v>
      </c>
      <c r="C717" s="60">
        <v>31000</v>
      </c>
      <c r="D717" s="60"/>
      <c r="E717" s="57"/>
      <c r="F717" s="99"/>
      <c r="G717" s="56"/>
      <c r="H717" s="56"/>
      <c r="I717" s="56"/>
    </row>
    <row r="718" spans="1:9" s="5" customFormat="1" x14ac:dyDescent="0.25">
      <c r="A718" s="63" t="s">
        <v>120</v>
      </c>
      <c r="B718" s="63" t="s">
        <v>121</v>
      </c>
      <c r="C718" s="31">
        <f>SUM(C719:C719)</f>
        <v>30140</v>
      </c>
      <c r="D718" s="84"/>
      <c r="E718" s="25"/>
      <c r="F718" s="99"/>
      <c r="G718" s="55"/>
      <c r="H718" s="43"/>
      <c r="I718" s="8"/>
    </row>
    <row r="719" spans="1:9" s="5" customFormat="1" x14ac:dyDescent="0.25">
      <c r="A719" s="59" t="s">
        <v>136</v>
      </c>
      <c r="B719" s="59" t="s">
        <v>71</v>
      </c>
      <c r="C719" s="24">
        <v>30140</v>
      </c>
      <c r="D719" s="78"/>
      <c r="E719" s="25"/>
      <c r="F719" s="204"/>
      <c r="G719" s="55"/>
      <c r="H719" s="55"/>
      <c r="I719" s="8"/>
    </row>
    <row r="720" spans="1:9" s="5" customFormat="1" x14ac:dyDescent="0.3">
      <c r="A720" s="11" t="s">
        <v>112</v>
      </c>
      <c r="B720" s="63" t="s">
        <v>157</v>
      </c>
      <c r="C720" s="64">
        <f>SUM(C721:C722)</f>
        <v>136100</v>
      </c>
      <c r="D720" s="60"/>
      <c r="E720" s="57"/>
      <c r="F720" s="99"/>
      <c r="G720" s="56"/>
      <c r="H720" s="56"/>
      <c r="I720" s="56"/>
    </row>
    <row r="721" spans="1:9" s="5" customFormat="1" x14ac:dyDescent="0.3">
      <c r="A721" s="59" t="s">
        <v>138</v>
      </c>
      <c r="B721" s="59" t="s">
        <v>878</v>
      </c>
      <c r="C721" s="60">
        <v>16100</v>
      </c>
      <c r="D721" s="56"/>
      <c r="E721" s="57"/>
      <c r="F721" s="99"/>
      <c r="G721" s="56"/>
      <c r="H721" s="56"/>
      <c r="I721" s="56"/>
    </row>
    <row r="722" spans="1:9" s="5" customFormat="1" x14ac:dyDescent="0.3">
      <c r="A722" s="59" t="s">
        <v>156</v>
      </c>
      <c r="B722" s="43" t="s">
        <v>87</v>
      </c>
      <c r="C722" s="60">
        <v>120000</v>
      </c>
      <c r="D722" s="56"/>
      <c r="E722" s="57"/>
      <c r="F722" s="57"/>
      <c r="G722" s="56"/>
      <c r="H722" s="56"/>
      <c r="I722" s="56"/>
    </row>
    <row r="723" spans="1:9" s="5" customFormat="1" x14ac:dyDescent="0.3">
      <c r="A723" s="11" t="s">
        <v>132</v>
      </c>
      <c r="B723" s="31" t="s">
        <v>56</v>
      </c>
      <c r="C723" s="64">
        <f>SUM(C724)</f>
        <v>53480</v>
      </c>
      <c r="D723" s="56"/>
      <c r="E723" s="57"/>
      <c r="F723" s="57"/>
      <c r="G723" s="56"/>
      <c r="H723" s="56"/>
      <c r="I723" s="56"/>
    </row>
    <row r="724" spans="1:9" s="5" customFormat="1" x14ac:dyDescent="0.3">
      <c r="A724" s="72" t="s">
        <v>55</v>
      </c>
      <c r="B724" s="43" t="s">
        <v>56</v>
      </c>
      <c r="C724" s="60">
        <v>53480</v>
      </c>
      <c r="D724" s="66"/>
      <c r="E724" s="57"/>
      <c r="F724" s="241"/>
      <c r="G724" s="463"/>
      <c r="H724" s="67"/>
      <c r="I724" s="56"/>
    </row>
    <row r="725" spans="1:9" s="5" customFormat="1" x14ac:dyDescent="0.3">
      <c r="A725" s="11" t="s">
        <v>115</v>
      </c>
      <c r="B725" s="559" t="s">
        <v>8</v>
      </c>
      <c r="C725" s="64">
        <f>SUM(C726:C728)</f>
        <v>564550</v>
      </c>
      <c r="D725" s="66"/>
      <c r="E725" s="57"/>
      <c r="F725" s="57"/>
      <c r="G725" s="56"/>
      <c r="H725" s="204"/>
      <c r="I725" s="56"/>
    </row>
    <row r="726" spans="1:9" s="5" customFormat="1" x14ac:dyDescent="0.3">
      <c r="A726" s="72" t="s">
        <v>89</v>
      </c>
      <c r="B726" s="43" t="s">
        <v>8</v>
      </c>
      <c r="C726" s="60">
        <v>287000</v>
      </c>
      <c r="D726" s="56"/>
      <c r="E726" s="68"/>
      <c r="F726" s="56"/>
      <c r="G726" s="66"/>
      <c r="H726" s="66"/>
      <c r="I726" s="66"/>
    </row>
    <row r="727" spans="1:9" s="5" customFormat="1" x14ac:dyDescent="0.3">
      <c r="A727" s="72" t="s">
        <v>181</v>
      </c>
      <c r="B727" s="43" t="s">
        <v>180</v>
      </c>
      <c r="C727" s="60">
        <v>17550</v>
      </c>
      <c r="D727" s="67"/>
      <c r="E727" s="66"/>
      <c r="F727" s="204"/>
      <c r="G727" s="68"/>
      <c r="H727" s="66"/>
      <c r="I727" s="66"/>
    </row>
    <row r="728" spans="1:9" s="5" customFormat="1" x14ac:dyDescent="0.3">
      <c r="A728" s="59" t="s">
        <v>222</v>
      </c>
      <c r="B728" s="43" t="s">
        <v>221</v>
      </c>
      <c r="C728" s="60">
        <v>260000</v>
      </c>
      <c r="D728" s="66"/>
      <c r="E728" s="68"/>
      <c r="F728" s="204"/>
      <c r="G728" s="66"/>
      <c r="H728" s="67"/>
      <c r="I728" s="66"/>
    </row>
    <row r="729" spans="1:9" s="5" customFormat="1" ht="13.5" thickBot="1" x14ac:dyDescent="0.35">
      <c r="A729" s="59"/>
      <c r="B729" s="101"/>
      <c r="C729" s="60"/>
      <c r="D729" s="67"/>
      <c r="E729" s="68"/>
      <c r="F729" s="204"/>
      <c r="G729" s="66"/>
      <c r="H729" s="66"/>
      <c r="I729" s="66"/>
    </row>
    <row r="730" spans="1:9" s="5" customFormat="1" ht="13.5" thickBot="1" x14ac:dyDescent="0.35">
      <c r="A730" s="1142" t="s">
        <v>5</v>
      </c>
      <c r="B730" s="1143"/>
      <c r="C730" s="726">
        <f>C731</f>
        <v>400000</v>
      </c>
      <c r="D730" s="67"/>
      <c r="E730" s="68"/>
      <c r="F730" s="204"/>
      <c r="G730" s="66"/>
      <c r="H730" s="66"/>
      <c r="I730" s="66"/>
    </row>
    <row r="731" spans="1:9" s="5" customFormat="1" x14ac:dyDescent="0.3">
      <c r="A731" s="63" t="s">
        <v>128</v>
      </c>
      <c r="B731" s="211" t="s">
        <v>129</v>
      </c>
      <c r="C731" s="563">
        <f>SUM(C732:C733)</f>
        <v>400000</v>
      </c>
      <c r="D731" s="180"/>
      <c r="E731" s="95"/>
      <c r="F731" s="99"/>
      <c r="G731" s="239"/>
      <c r="H731" s="239"/>
      <c r="I731" s="239"/>
    </row>
    <row r="732" spans="1:9" s="5" customFormat="1" x14ac:dyDescent="0.3">
      <c r="A732" s="59" t="s">
        <v>254</v>
      </c>
      <c r="B732" s="99" t="s">
        <v>255</v>
      </c>
      <c r="C732" s="60">
        <v>260000</v>
      </c>
      <c r="D732" s="180"/>
      <c r="E732" s="95"/>
      <c r="F732" s="99"/>
      <c r="G732" s="239"/>
      <c r="H732" s="239"/>
      <c r="I732" s="239"/>
    </row>
    <row r="733" spans="1:9" s="5" customFormat="1" x14ac:dyDescent="0.3">
      <c r="A733" s="59" t="s">
        <v>144</v>
      </c>
      <c r="B733" s="43" t="s">
        <v>258</v>
      </c>
      <c r="C733" s="60">
        <v>140000</v>
      </c>
      <c r="D733" s="60"/>
      <c r="E733" s="57"/>
      <c r="F733" s="99"/>
      <c r="G733" s="56"/>
      <c r="H733" s="56"/>
      <c r="I733" s="56"/>
    </row>
    <row r="734" spans="1:9" s="5" customFormat="1" ht="13.5" thickBot="1" x14ac:dyDescent="0.35">
      <c r="A734" s="70"/>
      <c r="B734" s="70"/>
      <c r="C734" s="60"/>
      <c r="D734" s="67"/>
      <c r="E734" s="68"/>
      <c r="F734" s="204"/>
      <c r="G734" s="66"/>
      <c r="H734" s="66"/>
      <c r="I734" s="66"/>
    </row>
    <row r="735" spans="1:9" s="5" customFormat="1" ht="13.5" thickBot="1" x14ac:dyDescent="0.35">
      <c r="A735" s="1094" t="s">
        <v>4</v>
      </c>
      <c r="B735" s="1095"/>
      <c r="C735" s="702">
        <f>(C736+C740)</f>
        <v>73720</v>
      </c>
      <c r="D735" s="67"/>
      <c r="E735" s="68"/>
      <c r="F735" s="204"/>
      <c r="G735" s="66"/>
      <c r="H735" s="66"/>
      <c r="I735" s="66"/>
    </row>
    <row r="736" spans="1:9" s="5" customFormat="1" x14ac:dyDescent="0.3">
      <c r="A736" s="265" t="s">
        <v>116</v>
      </c>
      <c r="B736" s="298" t="s">
        <v>117</v>
      </c>
      <c r="C736" s="64">
        <f>SUM(C737:C739)</f>
        <v>63600</v>
      </c>
      <c r="D736" s="242"/>
      <c r="E736" s="62"/>
      <c r="F736" s="223"/>
      <c r="G736" s="52"/>
      <c r="H736" s="52"/>
      <c r="I736" s="52"/>
    </row>
    <row r="737" spans="1:11" s="5" customFormat="1" x14ac:dyDescent="0.3">
      <c r="A737" s="72" t="s">
        <v>91</v>
      </c>
      <c r="B737" s="43" t="s">
        <v>139</v>
      </c>
      <c r="C737" s="60">
        <v>23100</v>
      </c>
      <c r="D737" s="67"/>
      <c r="E737" s="68"/>
      <c r="F737" s="204"/>
      <c r="G737" s="66"/>
      <c r="H737" s="66"/>
      <c r="I737" s="66"/>
    </row>
    <row r="738" spans="1:11" s="5" customFormat="1" x14ac:dyDescent="0.3">
      <c r="A738" s="72" t="s">
        <v>57</v>
      </c>
      <c r="B738" s="43" t="s">
        <v>58</v>
      </c>
      <c r="C738" s="60">
        <v>10500</v>
      </c>
      <c r="D738" s="67"/>
      <c r="E738" s="68"/>
      <c r="F738" s="204"/>
      <c r="G738" s="66"/>
      <c r="H738" s="66"/>
      <c r="I738" s="66"/>
    </row>
    <row r="739" spans="1:11" s="8" customFormat="1" ht="13.5" customHeight="1" x14ac:dyDescent="0.25">
      <c r="A739" s="72" t="s">
        <v>814</v>
      </c>
      <c r="B739" s="23" t="s">
        <v>815</v>
      </c>
      <c r="C739" s="24">
        <v>30000</v>
      </c>
      <c r="D739" s="78"/>
      <c r="E739" s="25"/>
      <c r="F739" s="99"/>
      <c r="G739" s="55"/>
      <c r="H739" s="43"/>
    </row>
    <row r="740" spans="1:11" s="5" customFormat="1" x14ac:dyDescent="0.3">
      <c r="A740" s="265" t="s">
        <v>166</v>
      </c>
      <c r="B740" s="25" t="s">
        <v>135</v>
      </c>
      <c r="C740" s="64">
        <f>SUM(C741)</f>
        <v>10120</v>
      </c>
      <c r="D740" s="67"/>
      <c r="E740" s="68"/>
      <c r="F740" s="204"/>
      <c r="G740" s="66"/>
      <c r="H740" s="66"/>
      <c r="I740" s="66"/>
    </row>
    <row r="741" spans="1:11" s="5" customFormat="1" x14ac:dyDescent="0.3">
      <c r="A741" s="72" t="s">
        <v>167</v>
      </c>
      <c r="B741" s="43" t="s">
        <v>51</v>
      </c>
      <c r="C741" s="60">
        <v>10120</v>
      </c>
      <c r="D741" s="67"/>
      <c r="E741" s="68"/>
      <c r="F741" s="204"/>
      <c r="G741" s="66"/>
      <c r="H741" s="66"/>
      <c r="I741" s="66"/>
    </row>
    <row r="742" spans="1:11" s="5" customFormat="1" x14ac:dyDescent="0.3">
      <c r="A742" s="72"/>
      <c r="B742" s="43"/>
      <c r="C742" s="60"/>
      <c r="D742" s="67"/>
      <c r="E742" s="68"/>
      <c r="F742" s="204"/>
      <c r="G742" s="66"/>
      <c r="H742" s="66"/>
      <c r="I742" s="66"/>
    </row>
    <row r="743" spans="1:11" s="5" customFormat="1" ht="13.5" thickBot="1" x14ac:dyDescent="0.35">
      <c r="A743" s="72"/>
      <c r="B743" s="43"/>
      <c r="C743" s="60"/>
      <c r="D743" s="67"/>
      <c r="E743" s="68"/>
      <c r="F743" s="204"/>
      <c r="G743" s="66"/>
      <c r="H743" s="66"/>
      <c r="I743" s="66"/>
    </row>
    <row r="744" spans="1:11" s="5" customFormat="1" x14ac:dyDescent="0.3">
      <c r="A744" s="1117" t="s">
        <v>1005</v>
      </c>
      <c r="B744" s="1118"/>
      <c r="C744" s="1119"/>
      <c r="D744" s="704" t="s">
        <v>6</v>
      </c>
      <c r="E744" s="910" t="s">
        <v>1006</v>
      </c>
      <c r="F744" s="616"/>
      <c r="G744" s="69"/>
      <c r="H744" s="69"/>
      <c r="I744" s="69"/>
    </row>
    <row r="745" spans="1:11" s="5" customFormat="1" ht="13.5" thickBot="1" x14ac:dyDescent="0.35">
      <c r="A745" s="1120"/>
      <c r="B745" s="1121"/>
      <c r="C745" s="1122"/>
      <c r="D745" s="708"/>
      <c r="E745" s="709"/>
      <c r="F745" s="224"/>
      <c r="G745" s="69"/>
      <c r="H745" s="69"/>
      <c r="I745" s="69"/>
    </row>
    <row r="746" spans="1:11" s="5" customFormat="1" x14ac:dyDescent="0.3">
      <c r="A746" s="1123" t="s">
        <v>1067</v>
      </c>
      <c r="B746" s="1124"/>
      <c r="C746" s="1124"/>
      <c r="D746" s="1124"/>
      <c r="E746" s="1125"/>
      <c r="F746" s="224"/>
      <c r="G746" s="69"/>
      <c r="H746" s="69"/>
      <c r="I746" s="69"/>
    </row>
    <row r="747" spans="1:11" s="5" customFormat="1" x14ac:dyDescent="0.3">
      <c r="A747" s="1126"/>
      <c r="B747" s="1127"/>
      <c r="C747" s="1127"/>
      <c r="D747" s="1127"/>
      <c r="E747" s="1128"/>
      <c r="F747" s="224"/>
      <c r="G747" s="69"/>
      <c r="H747" s="69"/>
      <c r="I747" s="69"/>
    </row>
    <row r="748" spans="1:11" s="5" customFormat="1" ht="13.5" thickBot="1" x14ac:dyDescent="0.35">
      <c r="A748" s="1126"/>
      <c r="B748" s="1127"/>
      <c r="C748" s="1127"/>
      <c r="D748" s="1127"/>
      <c r="E748" s="1128"/>
      <c r="F748" s="224"/>
      <c r="G748" s="69"/>
      <c r="H748" s="69"/>
      <c r="I748" s="69"/>
    </row>
    <row r="749" spans="1:11" s="5" customFormat="1" x14ac:dyDescent="0.25">
      <c r="A749" s="456" t="s">
        <v>1029</v>
      </c>
      <c r="B749" s="170"/>
      <c r="C749" s="169"/>
      <c r="D749" s="169"/>
      <c r="E749" s="168"/>
      <c r="F749" s="224"/>
      <c r="G749" s="234"/>
      <c r="H749" s="234"/>
      <c r="I749" s="234"/>
    </row>
    <row r="750" spans="1:11" s="5" customFormat="1" x14ac:dyDescent="0.25">
      <c r="A750" s="58" t="s">
        <v>703</v>
      </c>
      <c r="B750" s="59"/>
      <c r="C750" s="60"/>
      <c r="D750" s="60"/>
      <c r="E750" s="61"/>
      <c r="F750" s="224"/>
      <c r="G750" s="234"/>
      <c r="H750" s="234"/>
      <c r="I750" s="234"/>
    </row>
    <row r="751" spans="1:11" s="133" customFormat="1" ht="12.5" x14ac:dyDescent="0.25">
      <c r="A751" s="58" t="s">
        <v>1040</v>
      </c>
      <c r="B751" s="12"/>
      <c r="C751" s="143"/>
      <c r="D751" s="142"/>
      <c r="E751" s="141"/>
      <c r="F751" s="135"/>
      <c r="G751" s="134"/>
      <c r="H751" s="134"/>
      <c r="I751" s="134"/>
      <c r="J751" s="134"/>
      <c r="K751" s="134"/>
    </row>
    <row r="752" spans="1:11" s="5" customFormat="1" ht="13.5" thickBot="1" x14ac:dyDescent="0.3">
      <c r="A752" s="167" t="s">
        <v>1004</v>
      </c>
      <c r="B752" s="166"/>
      <c r="C752" s="165"/>
      <c r="D752" s="165"/>
      <c r="E752" s="164"/>
      <c r="F752" s="224"/>
      <c r="G752" s="234"/>
      <c r="H752" s="234"/>
      <c r="I752" s="234"/>
    </row>
    <row r="753" spans="1:9" s="5" customFormat="1" ht="13.5" thickBot="1" x14ac:dyDescent="0.3">
      <c r="A753" s="743" t="s">
        <v>14</v>
      </c>
      <c r="B753" s="744"/>
      <c r="C753" s="750"/>
      <c r="D753" s="751"/>
      <c r="E753" s="747">
        <f>+C756+C774+C789</f>
        <v>1490180</v>
      </c>
      <c r="F753" s="235"/>
      <c r="G753" s="235"/>
      <c r="H753" s="234"/>
      <c r="I753" s="234"/>
    </row>
    <row r="754" spans="1:9" s="5" customFormat="1" x14ac:dyDescent="0.25">
      <c r="A754" s="63"/>
      <c r="B754" s="63"/>
      <c r="C754" s="64"/>
      <c r="D754" s="64"/>
      <c r="E754" s="236"/>
      <c r="F754" s="224"/>
      <c r="G754" s="234"/>
      <c r="H754" s="234"/>
      <c r="I754" s="234"/>
    </row>
    <row r="755" spans="1:9" s="5" customFormat="1" ht="13.5" thickBot="1" x14ac:dyDescent="0.35">
      <c r="A755" s="59"/>
      <c r="B755" s="70"/>
      <c r="C755" s="67"/>
      <c r="D755" s="237"/>
      <c r="E755" s="68"/>
      <c r="F755" s="204"/>
      <c r="G755" s="66"/>
      <c r="H755" s="66"/>
      <c r="I755" s="66"/>
    </row>
    <row r="756" spans="1:9" s="5" customFormat="1" ht="13.5" thickBot="1" x14ac:dyDescent="0.35">
      <c r="A756" s="1102" t="s">
        <v>2</v>
      </c>
      <c r="B756" s="1103"/>
      <c r="C756" s="699">
        <f>(C757+C759+C761+C768+C770)</f>
        <v>292540</v>
      </c>
      <c r="D756" s="92"/>
      <c r="E756" s="109"/>
      <c r="F756" s="204"/>
      <c r="G756" s="66"/>
      <c r="H756" s="66"/>
      <c r="I756" s="66"/>
    </row>
    <row r="757" spans="1:9" s="5" customFormat="1" x14ac:dyDescent="0.3">
      <c r="A757" s="11" t="s">
        <v>103</v>
      </c>
      <c r="B757" s="298" t="s">
        <v>104</v>
      </c>
      <c r="C757" s="563">
        <f>SUM(C758)</f>
        <v>25500</v>
      </c>
      <c r="D757" s="95"/>
      <c r="E757" s="238"/>
      <c r="F757" s="99"/>
      <c r="G757" s="239"/>
      <c r="H757" s="239"/>
      <c r="I757" s="239"/>
    </row>
    <row r="758" spans="1:9" s="5" customFormat="1" x14ac:dyDescent="0.3">
      <c r="A758" s="12" t="s">
        <v>46</v>
      </c>
      <c r="B758" s="43" t="s">
        <v>161</v>
      </c>
      <c r="C758" s="60">
        <v>25500</v>
      </c>
      <c r="D758" s="70"/>
      <c r="E758" s="68"/>
      <c r="F758" s="204"/>
      <c r="G758" s="66"/>
      <c r="H758" s="66"/>
      <c r="I758" s="66"/>
    </row>
    <row r="759" spans="1:9" s="5" customFormat="1" x14ac:dyDescent="0.3">
      <c r="A759" s="11" t="s">
        <v>105</v>
      </c>
      <c r="B759" s="556" t="s">
        <v>106</v>
      </c>
      <c r="C759" s="64">
        <f>SUM(C760:C760)</f>
        <v>56000</v>
      </c>
      <c r="D759" s="240"/>
      <c r="E759" s="66"/>
      <c r="F759" s="204"/>
      <c r="G759" s="66"/>
      <c r="H759" s="66"/>
      <c r="I759" s="66"/>
    </row>
    <row r="760" spans="1:9" s="5" customFormat="1" x14ac:dyDescent="0.3">
      <c r="A760" s="12" t="s">
        <v>86</v>
      </c>
      <c r="B760" s="43" t="s">
        <v>66</v>
      </c>
      <c r="C760" s="24">
        <v>56000</v>
      </c>
      <c r="D760" s="66"/>
      <c r="E760" s="66"/>
      <c r="F760" s="96"/>
      <c r="G760" s="31"/>
      <c r="H760" s="43"/>
      <c r="I760" s="43"/>
    </row>
    <row r="761" spans="1:9" s="5" customFormat="1" x14ac:dyDescent="0.3">
      <c r="A761" s="11" t="s">
        <v>107</v>
      </c>
      <c r="B761" s="556" t="s">
        <v>108</v>
      </c>
      <c r="C761" s="31">
        <f>SUM(C762)</f>
        <v>54000</v>
      </c>
      <c r="D761" s="66"/>
      <c r="E761" s="66"/>
      <c r="F761" s="96"/>
      <c r="G761" s="31"/>
      <c r="H761" s="43"/>
      <c r="I761" s="43"/>
    </row>
    <row r="762" spans="1:9" s="5" customFormat="1" x14ac:dyDescent="0.3">
      <c r="A762" s="12" t="s">
        <v>47</v>
      </c>
      <c r="B762" s="43" t="s">
        <v>48</v>
      </c>
      <c r="C762" s="60">
        <v>54000</v>
      </c>
      <c r="D762" s="43"/>
      <c r="E762" s="43"/>
      <c r="F762" s="67"/>
      <c r="G762" s="68"/>
      <c r="H762" s="66"/>
      <c r="I762" s="66"/>
    </row>
    <row r="763" spans="1:9" s="5" customFormat="1" hidden="1" x14ac:dyDescent="0.3">
      <c r="A763" s="11" t="s">
        <v>119</v>
      </c>
      <c r="B763" s="556" t="s">
        <v>109</v>
      </c>
      <c r="C763" s="64">
        <f>SUM(C764:C767)</f>
        <v>0</v>
      </c>
      <c r="D763" s="43"/>
      <c r="E763" s="43"/>
      <c r="F763" s="67"/>
      <c r="G763" s="68"/>
      <c r="H763" s="66"/>
      <c r="I763" s="66"/>
    </row>
    <row r="764" spans="1:9" s="5" customFormat="1" hidden="1" x14ac:dyDescent="0.3">
      <c r="A764" s="12" t="s">
        <v>190</v>
      </c>
      <c r="B764" s="43" t="s">
        <v>189</v>
      </c>
      <c r="C764" s="60">
        <v>0</v>
      </c>
      <c r="D764" s="43"/>
      <c r="E764" s="43"/>
      <c r="F764" s="67"/>
      <c r="G764" s="68"/>
      <c r="H764" s="66"/>
      <c r="I764" s="66"/>
    </row>
    <row r="765" spans="1:9" s="5" customFormat="1" hidden="1" x14ac:dyDescent="0.3">
      <c r="A765" s="12" t="s">
        <v>188</v>
      </c>
      <c r="B765" s="43" t="s">
        <v>187</v>
      </c>
      <c r="C765" s="60">
        <v>0</v>
      </c>
      <c r="D765" s="43"/>
      <c r="E765" s="604" t="s">
        <v>651</v>
      </c>
      <c r="F765" s="67"/>
      <c r="G765" s="68"/>
      <c r="H765" s="66"/>
      <c r="I765" s="66"/>
    </row>
    <row r="766" spans="1:9" s="5" customFormat="1" hidden="1" x14ac:dyDescent="0.3">
      <c r="A766" s="12" t="s">
        <v>186</v>
      </c>
      <c r="B766" s="43" t="s">
        <v>185</v>
      </c>
      <c r="C766" s="60">
        <v>0</v>
      </c>
      <c r="D766" s="43"/>
      <c r="E766" s="43"/>
      <c r="F766" s="67"/>
      <c r="G766" s="68"/>
      <c r="H766" s="66"/>
      <c r="I766" s="66"/>
    </row>
    <row r="767" spans="1:9" s="5" customFormat="1" hidden="1" x14ac:dyDescent="0.3">
      <c r="A767" s="12" t="s">
        <v>600</v>
      </c>
      <c r="B767" s="43" t="s">
        <v>598</v>
      </c>
      <c r="C767" s="60">
        <v>0</v>
      </c>
      <c r="D767" s="43"/>
      <c r="E767" s="43"/>
      <c r="F767" s="67"/>
      <c r="G767" s="68"/>
      <c r="H767" s="66"/>
      <c r="I767" s="66"/>
    </row>
    <row r="768" spans="1:9" s="5" customFormat="1" x14ac:dyDescent="0.3">
      <c r="A768" s="265" t="s">
        <v>124</v>
      </c>
      <c r="B768" s="556" t="s">
        <v>123</v>
      </c>
      <c r="C768" s="64">
        <f>SUM(C769:C769)</f>
        <v>25100</v>
      </c>
      <c r="D768" s="43"/>
      <c r="E768" s="43"/>
      <c r="F768" s="43"/>
      <c r="G768" s="68"/>
      <c r="H768" s="66"/>
      <c r="I768" s="66"/>
    </row>
    <row r="769" spans="1:9" s="5" customFormat="1" x14ac:dyDescent="0.3">
      <c r="A769" s="12" t="s">
        <v>93</v>
      </c>
      <c r="B769" s="43" t="s">
        <v>72</v>
      </c>
      <c r="C769" s="60">
        <v>25100</v>
      </c>
      <c r="D769" s="43"/>
      <c r="E769" s="68"/>
      <c r="F769" s="204"/>
      <c r="G769" s="66"/>
      <c r="H769" s="66"/>
      <c r="I769" s="66"/>
    </row>
    <row r="770" spans="1:9" s="5" customFormat="1" x14ac:dyDescent="0.3">
      <c r="A770" s="265" t="s">
        <v>151</v>
      </c>
      <c r="B770" s="25" t="s">
        <v>133</v>
      </c>
      <c r="C770" s="64">
        <f>SUM(C771:C772)</f>
        <v>131940</v>
      </c>
      <c r="D770" s="68"/>
      <c r="E770" s="68"/>
      <c r="F770" s="204"/>
      <c r="G770" s="66"/>
      <c r="H770" s="66"/>
      <c r="I770" s="66"/>
    </row>
    <row r="771" spans="1:9" s="5" customFormat="1" x14ac:dyDescent="0.3">
      <c r="A771" s="12" t="s">
        <v>154</v>
      </c>
      <c r="B771" s="43" t="s">
        <v>125</v>
      </c>
      <c r="C771" s="60">
        <v>11940</v>
      </c>
      <c r="D771" s="67"/>
      <c r="E771" s="68"/>
      <c r="F771" s="204"/>
      <c r="G771" s="66"/>
      <c r="H771" s="66"/>
      <c r="I771" s="66"/>
    </row>
    <row r="772" spans="1:9" s="5" customFormat="1" x14ac:dyDescent="0.25">
      <c r="A772" s="72" t="s">
        <v>704</v>
      </c>
      <c r="B772" s="43" t="s">
        <v>698</v>
      </c>
      <c r="C772" s="24">
        <v>120000</v>
      </c>
      <c r="E772" s="353"/>
      <c r="F772" s="353"/>
      <c r="G772" s="410"/>
    </row>
    <row r="773" spans="1:9" s="5" customFormat="1" ht="13.5" thickBot="1" x14ac:dyDescent="0.35">
      <c r="A773" s="12"/>
      <c r="B773" s="43"/>
      <c r="C773" s="60"/>
      <c r="D773" s="67"/>
      <c r="E773" s="68"/>
      <c r="F773" s="204"/>
      <c r="G773" s="66"/>
      <c r="H773" s="66"/>
      <c r="I773" s="66"/>
    </row>
    <row r="774" spans="1:9" s="5" customFormat="1" ht="13.5" thickBot="1" x14ac:dyDescent="0.35">
      <c r="A774" s="1098" t="s">
        <v>3</v>
      </c>
      <c r="B774" s="1099"/>
      <c r="C774" s="700">
        <f>C775+C777+C779+C782+C784</f>
        <v>1063920</v>
      </c>
      <c r="D774" s="68"/>
      <c r="E774" s="68"/>
      <c r="F774" s="204"/>
      <c r="G774" s="66"/>
      <c r="H774" s="66"/>
      <c r="I774" s="66"/>
    </row>
    <row r="775" spans="1:9" s="5" customFormat="1" x14ac:dyDescent="0.3">
      <c r="A775" s="63" t="s">
        <v>110</v>
      </c>
      <c r="B775" s="298" t="s">
        <v>111</v>
      </c>
      <c r="C775" s="563">
        <f>SUM(C776:C776)</f>
        <v>31000</v>
      </c>
      <c r="D775" s="95"/>
      <c r="E775" s="95"/>
      <c r="F775" s="99"/>
      <c r="G775" s="239"/>
      <c r="H775" s="239"/>
      <c r="I775" s="239"/>
    </row>
    <row r="776" spans="1:9" s="5" customFormat="1" x14ac:dyDescent="0.3">
      <c r="A776" s="59" t="s">
        <v>52</v>
      </c>
      <c r="B776" s="43" t="s">
        <v>184</v>
      </c>
      <c r="C776" s="60">
        <v>31000</v>
      </c>
      <c r="D776" s="60"/>
      <c r="E776" s="57"/>
      <c r="F776" s="99"/>
      <c r="G776" s="56"/>
      <c r="H776" s="56"/>
      <c r="I776" s="56"/>
    </row>
    <row r="777" spans="1:9" s="5" customFormat="1" x14ac:dyDescent="0.25">
      <c r="A777" s="63" t="s">
        <v>120</v>
      </c>
      <c r="B777" s="63" t="s">
        <v>121</v>
      </c>
      <c r="C777" s="31">
        <f>SUM(C778:C778)</f>
        <v>30140</v>
      </c>
      <c r="D777" s="84"/>
      <c r="E777" s="25"/>
      <c r="F777" s="99"/>
      <c r="G777" s="55"/>
      <c r="H777" s="43"/>
      <c r="I777" s="8"/>
    </row>
    <row r="778" spans="1:9" s="5" customFormat="1" x14ac:dyDescent="0.25">
      <c r="A778" s="59" t="s">
        <v>136</v>
      </c>
      <c r="B778" s="59" t="s">
        <v>71</v>
      </c>
      <c r="C778" s="24">
        <v>30140</v>
      </c>
      <c r="D778" s="78"/>
      <c r="E778" s="25"/>
      <c r="F778" s="204"/>
      <c r="G778" s="55"/>
      <c r="H778" s="55"/>
      <c r="I778" s="8"/>
    </row>
    <row r="779" spans="1:9" s="5" customFormat="1" x14ac:dyDescent="0.3">
      <c r="A779" s="11" t="s">
        <v>112</v>
      </c>
      <c r="B779" s="63" t="s">
        <v>157</v>
      </c>
      <c r="C779" s="64">
        <f>SUM(C780:C781)</f>
        <v>307700</v>
      </c>
      <c r="D779" s="60"/>
      <c r="E779" s="57"/>
      <c r="F779" s="99"/>
      <c r="G779" s="56"/>
      <c r="H779" s="56"/>
      <c r="I779" s="56"/>
    </row>
    <row r="780" spans="1:9" s="5" customFormat="1" x14ac:dyDescent="0.3">
      <c r="A780" s="59" t="s">
        <v>138</v>
      </c>
      <c r="B780" s="59" t="s">
        <v>878</v>
      </c>
      <c r="C780" s="60">
        <v>16100</v>
      </c>
      <c r="D780" s="56"/>
      <c r="E780" s="57"/>
      <c r="F780" s="99"/>
      <c r="G780" s="56"/>
      <c r="H780" s="56"/>
      <c r="I780" s="56"/>
    </row>
    <row r="781" spans="1:9" s="5" customFormat="1" x14ac:dyDescent="0.3">
      <c r="A781" s="59" t="s">
        <v>156</v>
      </c>
      <c r="B781" s="43" t="s">
        <v>87</v>
      </c>
      <c r="C781" s="60">
        <v>291600</v>
      </c>
      <c r="D781" s="56"/>
      <c r="E781" s="57"/>
      <c r="F781" s="57"/>
      <c r="G781" s="56"/>
      <c r="H781" s="56"/>
      <c r="I781" s="56"/>
    </row>
    <row r="782" spans="1:9" s="5" customFormat="1" x14ac:dyDescent="0.3">
      <c r="A782" s="11" t="s">
        <v>132</v>
      </c>
      <c r="B782" s="31" t="s">
        <v>56</v>
      </c>
      <c r="C782" s="64">
        <f>SUM(C783)</f>
        <v>53480</v>
      </c>
      <c r="D782" s="56"/>
      <c r="E782" s="57"/>
      <c r="F782" s="57"/>
      <c r="G782" s="56"/>
      <c r="H782" s="56"/>
      <c r="I782" s="56"/>
    </row>
    <row r="783" spans="1:9" s="5" customFormat="1" x14ac:dyDescent="0.3">
      <c r="A783" s="72" t="s">
        <v>55</v>
      </c>
      <c r="B783" s="43" t="s">
        <v>56</v>
      </c>
      <c r="C783" s="60">
        <v>53480</v>
      </c>
      <c r="D783" s="66"/>
      <c r="E783" s="57"/>
      <c r="F783" s="241"/>
      <c r="G783" s="463"/>
      <c r="H783" s="67"/>
      <c r="I783" s="56"/>
    </row>
    <row r="784" spans="1:9" s="5" customFormat="1" x14ac:dyDescent="0.3">
      <c r="A784" s="11" t="s">
        <v>115</v>
      </c>
      <c r="B784" s="559" t="s">
        <v>8</v>
      </c>
      <c r="C784" s="64">
        <f>SUM(C785:C787)</f>
        <v>641600</v>
      </c>
      <c r="D784" s="66"/>
      <c r="E784" s="57"/>
      <c r="F784" s="57"/>
      <c r="G784" s="56"/>
      <c r="H784" s="204"/>
      <c r="I784" s="56"/>
    </row>
    <row r="785" spans="1:9" s="5" customFormat="1" x14ac:dyDescent="0.3">
      <c r="A785" s="72" t="s">
        <v>89</v>
      </c>
      <c r="B785" s="43" t="s">
        <v>8</v>
      </c>
      <c r="C785" s="60">
        <v>453600</v>
      </c>
      <c r="D785" s="56"/>
      <c r="E785" s="68"/>
      <c r="F785" s="56"/>
      <c r="G785" s="66"/>
      <c r="H785" s="66"/>
      <c r="I785" s="66"/>
    </row>
    <row r="786" spans="1:9" s="5" customFormat="1" x14ac:dyDescent="0.3">
      <c r="A786" s="72" t="s">
        <v>181</v>
      </c>
      <c r="B786" s="43" t="s">
        <v>180</v>
      </c>
      <c r="C786" s="60">
        <v>18000</v>
      </c>
      <c r="D786" s="67"/>
      <c r="E786" s="66"/>
      <c r="F786" s="204"/>
      <c r="G786" s="68"/>
      <c r="H786" s="66"/>
      <c r="I786" s="66"/>
    </row>
    <row r="787" spans="1:9" s="5" customFormat="1" x14ac:dyDescent="0.3">
      <c r="A787" s="59" t="s">
        <v>222</v>
      </c>
      <c r="B787" s="43" t="s">
        <v>221</v>
      </c>
      <c r="C787" s="60">
        <v>170000</v>
      </c>
      <c r="D787" s="66"/>
      <c r="E787" s="68"/>
      <c r="F787" s="204"/>
      <c r="G787" s="66"/>
      <c r="H787" s="67"/>
      <c r="I787" s="66"/>
    </row>
    <row r="788" spans="1:9" s="5" customFormat="1" ht="13.5" thickBot="1" x14ac:dyDescent="0.35">
      <c r="A788" s="59"/>
      <c r="B788" s="101"/>
      <c r="C788" s="60"/>
      <c r="D788" s="67"/>
      <c r="E788" s="68"/>
      <c r="F788" s="204"/>
      <c r="G788" s="66"/>
      <c r="H788" s="66"/>
      <c r="I788" s="66"/>
    </row>
    <row r="789" spans="1:9" s="5" customFormat="1" ht="13.5" thickBot="1" x14ac:dyDescent="0.35">
      <c r="A789" s="1094" t="s">
        <v>4</v>
      </c>
      <c r="B789" s="1095"/>
      <c r="C789" s="702">
        <f>(C790+C794)</f>
        <v>133720</v>
      </c>
      <c r="D789" s="67"/>
      <c r="E789" s="68"/>
      <c r="F789" s="204"/>
      <c r="G789" s="66"/>
      <c r="H789" s="66"/>
      <c r="I789" s="66"/>
    </row>
    <row r="790" spans="1:9" s="5" customFormat="1" x14ac:dyDescent="0.3">
      <c r="A790" s="265" t="s">
        <v>116</v>
      </c>
      <c r="B790" s="298" t="s">
        <v>117</v>
      </c>
      <c r="C790" s="64">
        <f>SUM(C791:C793)</f>
        <v>123600</v>
      </c>
      <c r="D790" s="242"/>
      <c r="E790" s="62"/>
      <c r="F790" s="223"/>
      <c r="G790" s="52"/>
      <c r="H790" s="52"/>
      <c r="I790" s="52"/>
    </row>
    <row r="791" spans="1:9" s="5" customFormat="1" x14ac:dyDescent="0.3">
      <c r="A791" s="72" t="s">
        <v>91</v>
      </c>
      <c r="B791" s="43" t="s">
        <v>139</v>
      </c>
      <c r="C791" s="60">
        <v>53100</v>
      </c>
      <c r="D791" s="67"/>
      <c r="E791" s="68"/>
      <c r="F791" s="204"/>
      <c r="G791" s="66"/>
      <c r="H791" s="66"/>
      <c r="I791" s="66"/>
    </row>
    <row r="792" spans="1:9" s="5" customFormat="1" x14ac:dyDescent="0.3">
      <c r="A792" s="72" t="s">
        <v>57</v>
      </c>
      <c r="B792" s="43" t="s">
        <v>58</v>
      </c>
      <c r="C792" s="60">
        <v>10500</v>
      </c>
      <c r="D792" s="67"/>
      <c r="E792" s="68"/>
      <c r="F792" s="204"/>
      <c r="G792" s="66"/>
      <c r="H792" s="66"/>
      <c r="I792" s="66"/>
    </row>
    <row r="793" spans="1:9" s="8" customFormat="1" ht="13.5" customHeight="1" x14ac:dyDescent="0.25">
      <c r="A793" s="72" t="s">
        <v>814</v>
      </c>
      <c r="B793" s="23" t="s">
        <v>815</v>
      </c>
      <c r="C793" s="24">
        <v>60000</v>
      </c>
      <c r="D793" s="78"/>
      <c r="E793" s="25"/>
      <c r="F793" s="99"/>
      <c r="G793" s="55"/>
      <c r="H793" s="43"/>
    </row>
    <row r="794" spans="1:9" s="5" customFormat="1" x14ac:dyDescent="0.3">
      <c r="A794" s="265" t="s">
        <v>166</v>
      </c>
      <c r="B794" s="25" t="s">
        <v>135</v>
      </c>
      <c r="C794" s="64">
        <f>SUM(C795)</f>
        <v>10120</v>
      </c>
      <c r="D794" s="67"/>
      <c r="E794" s="68"/>
      <c r="F794" s="204"/>
      <c r="G794" s="66"/>
      <c r="H794" s="66"/>
      <c r="I794" s="66"/>
    </row>
    <row r="795" spans="1:9" s="5" customFormat="1" x14ac:dyDescent="0.3">
      <c r="A795" s="72" t="s">
        <v>167</v>
      </c>
      <c r="B795" s="43" t="s">
        <v>51</v>
      </c>
      <c r="C795" s="60">
        <v>10120</v>
      </c>
      <c r="D795" s="67"/>
      <c r="E795" s="68"/>
      <c r="F795" s="204"/>
      <c r="G795" s="66"/>
      <c r="H795" s="66"/>
      <c r="I795" s="66"/>
    </row>
    <row r="796" spans="1:9" s="6" customFormat="1" x14ac:dyDescent="0.3">
      <c r="B796" s="29"/>
      <c r="C796" s="29"/>
      <c r="D796" s="30"/>
      <c r="E796" s="33"/>
      <c r="F796" s="89"/>
    </row>
    <row r="797" spans="1:9" s="6" customFormat="1" x14ac:dyDescent="0.3">
      <c r="B797" s="29"/>
      <c r="C797" s="29"/>
      <c r="D797" s="30"/>
      <c r="E797" s="33">
        <f>+E753+E692+E632+E582+E534+E478+E409+E252+E201+E117+E17</f>
        <v>225902667</v>
      </c>
      <c r="F797" s="89"/>
    </row>
    <row r="798" spans="1:9" s="6" customFormat="1" x14ac:dyDescent="0.3">
      <c r="B798" s="29"/>
      <c r="C798" s="29"/>
      <c r="D798" s="30"/>
      <c r="E798" s="33"/>
      <c r="F798" s="89"/>
    </row>
    <row r="799" spans="1:9" s="6" customFormat="1" x14ac:dyDescent="0.3">
      <c r="B799" s="29"/>
      <c r="C799" s="29"/>
      <c r="D799" s="30"/>
      <c r="E799" s="33"/>
      <c r="F799" s="89"/>
    </row>
    <row r="800" spans="1:9" s="6" customFormat="1" x14ac:dyDescent="0.3">
      <c r="B800" s="29"/>
      <c r="C800" s="29"/>
      <c r="D800" s="30"/>
      <c r="E800" s="33"/>
      <c r="F800" s="89"/>
    </row>
    <row r="801" spans="2:6" s="6" customFormat="1" x14ac:dyDescent="0.3">
      <c r="B801" s="29"/>
      <c r="C801" s="29"/>
      <c r="D801" s="30"/>
      <c r="E801" s="33"/>
      <c r="F801" s="89"/>
    </row>
    <row r="802" spans="2:6" s="6" customFormat="1" x14ac:dyDescent="0.3">
      <c r="B802" s="29"/>
      <c r="C802" s="29"/>
      <c r="D802" s="30"/>
      <c r="E802" s="33"/>
      <c r="F802" s="89"/>
    </row>
    <row r="803" spans="2:6" s="6" customFormat="1" x14ac:dyDescent="0.3">
      <c r="B803" s="29"/>
      <c r="C803" s="29"/>
      <c r="D803" s="30"/>
      <c r="E803" s="33"/>
      <c r="F803" s="89"/>
    </row>
    <row r="804" spans="2:6" s="6" customFormat="1" x14ac:dyDescent="0.3">
      <c r="B804" s="29"/>
      <c r="C804" s="29"/>
      <c r="D804" s="30"/>
      <c r="E804" s="33"/>
      <c r="F804" s="89"/>
    </row>
    <row r="805" spans="2:6" s="6" customFormat="1" x14ac:dyDescent="0.3">
      <c r="B805" s="29"/>
      <c r="C805" s="29"/>
      <c r="D805" s="30"/>
      <c r="E805" s="33"/>
      <c r="F805" s="89"/>
    </row>
    <row r="806" spans="2:6" s="6" customFormat="1" x14ac:dyDescent="0.3">
      <c r="B806" s="29"/>
      <c r="C806" s="29"/>
      <c r="D806" s="30"/>
      <c r="E806" s="33"/>
      <c r="F806" s="89"/>
    </row>
    <row r="807" spans="2:6" s="6" customFormat="1" x14ac:dyDescent="0.3">
      <c r="B807" s="29"/>
      <c r="C807" s="29"/>
      <c r="D807" s="30"/>
      <c r="E807" s="33"/>
      <c r="F807" s="89"/>
    </row>
    <row r="808" spans="2:6" s="6" customFormat="1" x14ac:dyDescent="0.3">
      <c r="B808" s="29"/>
      <c r="C808" s="29"/>
      <c r="D808" s="30"/>
      <c r="E808" s="33"/>
      <c r="F808" s="89"/>
    </row>
    <row r="809" spans="2:6" s="6" customFormat="1" x14ac:dyDescent="0.3">
      <c r="B809" s="29"/>
      <c r="C809" s="29"/>
      <c r="D809" s="30"/>
      <c r="E809" s="33"/>
      <c r="F809" s="89"/>
    </row>
    <row r="810" spans="2:6" s="6" customFormat="1" x14ac:dyDescent="0.3">
      <c r="B810" s="29"/>
      <c r="C810" s="29"/>
      <c r="D810" s="30"/>
      <c r="E810" s="33"/>
      <c r="F810" s="89"/>
    </row>
    <row r="811" spans="2:6" s="6" customFormat="1" x14ac:dyDescent="0.3">
      <c r="B811" s="29"/>
      <c r="C811" s="29"/>
      <c r="D811" s="30"/>
      <c r="E811" s="33"/>
      <c r="F811" s="89"/>
    </row>
    <row r="812" spans="2:6" s="6" customFormat="1" x14ac:dyDescent="0.3">
      <c r="B812" s="29"/>
      <c r="C812" s="29"/>
      <c r="D812" s="30"/>
      <c r="E812" s="33"/>
      <c r="F812" s="89"/>
    </row>
    <row r="813" spans="2:6" s="6" customFormat="1" x14ac:dyDescent="0.3">
      <c r="B813" s="29"/>
      <c r="C813" s="29"/>
      <c r="D813" s="30"/>
      <c r="E813" s="33"/>
      <c r="F813" s="89"/>
    </row>
    <row r="814" spans="2:6" s="6" customFormat="1" x14ac:dyDescent="0.3">
      <c r="B814" s="29"/>
      <c r="C814" s="29"/>
      <c r="D814" s="30"/>
      <c r="E814" s="33"/>
      <c r="F814" s="89"/>
    </row>
    <row r="815" spans="2:6" s="6" customFormat="1" x14ac:dyDescent="0.3">
      <c r="B815" s="29"/>
      <c r="C815" s="29"/>
      <c r="D815" s="30"/>
      <c r="E815" s="33"/>
      <c r="F815" s="89"/>
    </row>
    <row r="816" spans="2:6" s="6" customFormat="1" x14ac:dyDescent="0.3">
      <c r="B816" s="29"/>
      <c r="C816" s="29"/>
      <c r="D816" s="30"/>
      <c r="E816" s="33"/>
      <c r="F816" s="89"/>
    </row>
    <row r="817" spans="2:6" s="6" customFormat="1" x14ac:dyDescent="0.3">
      <c r="B817" s="29"/>
      <c r="C817" s="29"/>
      <c r="D817" s="30"/>
      <c r="E817" s="33"/>
      <c r="F817" s="89"/>
    </row>
    <row r="818" spans="2:6" s="6" customFormat="1" x14ac:dyDescent="0.3">
      <c r="B818" s="29"/>
      <c r="C818" s="29"/>
      <c r="D818" s="30"/>
      <c r="E818" s="33"/>
      <c r="F818" s="89"/>
    </row>
    <row r="819" spans="2:6" s="6" customFormat="1" x14ac:dyDescent="0.3">
      <c r="B819" s="29"/>
      <c r="C819" s="29"/>
      <c r="D819" s="30"/>
      <c r="E819" s="33"/>
      <c r="F819" s="89"/>
    </row>
    <row r="820" spans="2:6" s="6" customFormat="1" x14ac:dyDescent="0.3">
      <c r="B820" s="29"/>
      <c r="C820" s="29"/>
      <c r="D820" s="30"/>
      <c r="E820" s="33"/>
      <c r="F820" s="89"/>
    </row>
    <row r="821" spans="2:6" s="6" customFormat="1" x14ac:dyDescent="0.3">
      <c r="B821" s="29"/>
      <c r="C821" s="29"/>
      <c r="D821" s="30"/>
      <c r="E821" s="33"/>
      <c r="F821" s="89"/>
    </row>
    <row r="822" spans="2:6" s="6" customFormat="1" x14ac:dyDescent="0.3">
      <c r="B822" s="29"/>
      <c r="C822" s="29"/>
      <c r="D822" s="30"/>
      <c r="E822" s="33"/>
      <c r="F822" s="89"/>
    </row>
    <row r="823" spans="2:6" s="6" customFormat="1" x14ac:dyDescent="0.3">
      <c r="B823" s="29"/>
      <c r="C823" s="29"/>
      <c r="D823" s="30"/>
      <c r="E823" s="33"/>
      <c r="F823" s="89"/>
    </row>
    <row r="824" spans="2:6" s="6" customFormat="1" x14ac:dyDescent="0.3">
      <c r="B824" s="29"/>
      <c r="C824" s="29"/>
      <c r="D824" s="30"/>
      <c r="E824" s="33"/>
      <c r="F824" s="89"/>
    </row>
    <row r="825" spans="2:6" s="6" customFormat="1" x14ac:dyDescent="0.3">
      <c r="B825" s="29"/>
      <c r="C825" s="29"/>
      <c r="D825" s="30"/>
      <c r="E825" s="33"/>
      <c r="F825" s="89"/>
    </row>
    <row r="826" spans="2:6" s="6" customFormat="1" x14ac:dyDescent="0.3">
      <c r="B826" s="29"/>
      <c r="C826" s="29"/>
      <c r="D826" s="30"/>
      <c r="E826" s="33"/>
      <c r="F826" s="89"/>
    </row>
    <row r="827" spans="2:6" s="6" customFormat="1" x14ac:dyDescent="0.3">
      <c r="B827" s="29"/>
      <c r="C827" s="29"/>
      <c r="D827" s="30"/>
      <c r="E827" s="33"/>
      <c r="F827" s="89"/>
    </row>
    <row r="828" spans="2:6" s="6" customFormat="1" x14ac:dyDescent="0.3">
      <c r="B828" s="29"/>
      <c r="C828" s="29"/>
      <c r="D828" s="30"/>
      <c r="E828" s="33"/>
      <c r="F828" s="89"/>
    </row>
    <row r="829" spans="2:6" s="6" customFormat="1" x14ac:dyDescent="0.3">
      <c r="B829" s="29"/>
      <c r="C829" s="29"/>
      <c r="D829" s="30"/>
      <c r="E829" s="33"/>
      <c r="F829" s="89"/>
    </row>
    <row r="830" spans="2:6" s="6" customFormat="1" x14ac:dyDescent="0.3">
      <c r="B830" s="29"/>
      <c r="C830" s="29"/>
      <c r="D830" s="30"/>
      <c r="E830" s="33"/>
      <c r="F830" s="89"/>
    </row>
    <row r="831" spans="2:6" s="6" customFormat="1" x14ac:dyDescent="0.3">
      <c r="B831" s="29"/>
      <c r="C831" s="29"/>
      <c r="D831" s="30"/>
      <c r="E831" s="33"/>
      <c r="F831" s="89"/>
    </row>
    <row r="832" spans="2:6" s="6" customFormat="1" x14ac:dyDescent="0.3">
      <c r="B832" s="29"/>
      <c r="C832" s="29"/>
      <c r="D832" s="30"/>
      <c r="E832" s="33"/>
      <c r="F832" s="89"/>
    </row>
    <row r="833" spans="2:6" s="6" customFormat="1" x14ac:dyDescent="0.3">
      <c r="B833" s="29"/>
      <c r="C833" s="29"/>
      <c r="D833" s="30"/>
      <c r="E833" s="33"/>
      <c r="F833" s="89"/>
    </row>
    <row r="834" spans="2:6" s="6" customFormat="1" x14ac:dyDescent="0.3">
      <c r="B834" s="29"/>
      <c r="C834" s="29"/>
      <c r="D834" s="30"/>
      <c r="E834" s="33"/>
      <c r="F834" s="89"/>
    </row>
    <row r="835" spans="2:6" s="6" customFormat="1" x14ac:dyDescent="0.3">
      <c r="B835" s="29"/>
      <c r="C835" s="29"/>
      <c r="D835" s="30"/>
      <c r="E835" s="33"/>
      <c r="F835" s="89"/>
    </row>
    <row r="836" spans="2:6" s="6" customFormat="1" x14ac:dyDescent="0.3">
      <c r="B836" s="29"/>
      <c r="C836" s="29"/>
      <c r="D836" s="30"/>
      <c r="E836" s="33"/>
      <c r="F836" s="89"/>
    </row>
    <row r="837" spans="2:6" s="6" customFormat="1" x14ac:dyDescent="0.3">
      <c r="B837" s="29"/>
      <c r="C837" s="29"/>
      <c r="D837" s="30"/>
      <c r="E837" s="33"/>
      <c r="F837" s="89"/>
    </row>
    <row r="838" spans="2:6" s="6" customFormat="1" x14ac:dyDescent="0.3">
      <c r="B838" s="29"/>
      <c r="C838" s="29"/>
      <c r="D838" s="30"/>
      <c r="E838" s="33"/>
      <c r="F838" s="89"/>
    </row>
    <row r="839" spans="2:6" s="6" customFormat="1" x14ac:dyDescent="0.3">
      <c r="B839" s="29"/>
      <c r="C839" s="29"/>
      <c r="D839" s="30"/>
      <c r="E839" s="33"/>
      <c r="F839" s="89"/>
    </row>
    <row r="840" spans="2:6" s="6" customFormat="1" x14ac:dyDescent="0.3">
      <c r="B840" s="29"/>
      <c r="C840" s="29"/>
      <c r="D840" s="30"/>
      <c r="E840" s="33"/>
      <c r="F840" s="89"/>
    </row>
    <row r="841" spans="2:6" s="6" customFormat="1" x14ac:dyDescent="0.3">
      <c r="B841" s="29"/>
      <c r="C841" s="29"/>
      <c r="D841" s="30"/>
      <c r="E841" s="33"/>
      <c r="F841" s="89"/>
    </row>
    <row r="842" spans="2:6" s="6" customFormat="1" x14ac:dyDescent="0.3">
      <c r="B842" s="29"/>
      <c r="C842" s="29"/>
      <c r="D842" s="30"/>
      <c r="E842" s="33"/>
      <c r="F842" s="89"/>
    </row>
    <row r="843" spans="2:6" s="6" customFormat="1" x14ac:dyDescent="0.3">
      <c r="B843" s="29"/>
      <c r="C843" s="29"/>
      <c r="D843" s="30"/>
      <c r="E843" s="33"/>
      <c r="F843" s="89"/>
    </row>
    <row r="844" spans="2:6" s="6" customFormat="1" x14ac:dyDescent="0.3">
      <c r="B844" s="29"/>
      <c r="C844" s="29"/>
      <c r="D844" s="30"/>
      <c r="E844" s="33"/>
      <c r="F844" s="89"/>
    </row>
    <row r="845" spans="2:6" s="6" customFormat="1" x14ac:dyDescent="0.3">
      <c r="B845" s="29"/>
      <c r="C845" s="29"/>
      <c r="D845" s="30"/>
      <c r="E845" s="33"/>
      <c r="F845" s="89"/>
    </row>
    <row r="846" spans="2:6" s="6" customFormat="1" x14ac:dyDescent="0.3">
      <c r="B846" s="29"/>
      <c r="C846" s="29"/>
      <c r="D846" s="30"/>
      <c r="E846" s="33"/>
      <c r="F846" s="89"/>
    </row>
    <row r="847" spans="2:6" s="6" customFormat="1" x14ac:dyDescent="0.3">
      <c r="B847" s="29"/>
      <c r="C847" s="29"/>
      <c r="D847" s="30"/>
      <c r="E847" s="33"/>
      <c r="F847" s="89"/>
    </row>
    <row r="848" spans="2:6" s="6" customFormat="1" x14ac:dyDescent="0.3">
      <c r="B848" s="29"/>
      <c r="C848" s="29"/>
      <c r="D848" s="30"/>
      <c r="E848" s="33"/>
      <c r="F848" s="89"/>
    </row>
    <row r="849" spans="2:6" s="6" customFormat="1" x14ac:dyDescent="0.3">
      <c r="B849" s="29"/>
      <c r="C849" s="29"/>
      <c r="D849" s="30"/>
      <c r="E849" s="33"/>
      <c r="F849" s="89"/>
    </row>
    <row r="850" spans="2:6" s="6" customFormat="1" x14ac:dyDescent="0.3">
      <c r="B850" s="29"/>
      <c r="C850" s="29"/>
      <c r="D850" s="30"/>
      <c r="E850" s="33"/>
      <c r="F850" s="89"/>
    </row>
    <row r="851" spans="2:6" s="6" customFormat="1" x14ac:dyDescent="0.3">
      <c r="B851" s="29"/>
      <c r="C851" s="29"/>
      <c r="D851" s="30"/>
      <c r="E851" s="33"/>
      <c r="F851" s="89"/>
    </row>
    <row r="852" spans="2:6" s="6" customFormat="1" x14ac:dyDescent="0.3">
      <c r="B852" s="29"/>
      <c r="C852" s="29"/>
      <c r="D852" s="30"/>
      <c r="E852" s="33"/>
      <c r="F852" s="89"/>
    </row>
    <row r="853" spans="2:6" s="6" customFormat="1" x14ac:dyDescent="0.3">
      <c r="B853" s="29"/>
      <c r="C853" s="29"/>
      <c r="D853" s="30"/>
      <c r="E853" s="33"/>
      <c r="F853" s="89"/>
    </row>
    <row r="854" spans="2:6" s="6" customFormat="1" x14ac:dyDescent="0.3">
      <c r="B854" s="29"/>
      <c r="C854" s="29"/>
      <c r="D854" s="30"/>
      <c r="E854" s="33"/>
      <c r="F854" s="89"/>
    </row>
    <row r="855" spans="2:6" s="6" customFormat="1" x14ac:dyDescent="0.3">
      <c r="B855" s="29"/>
      <c r="C855" s="29"/>
      <c r="D855" s="30"/>
      <c r="E855" s="33"/>
      <c r="F855" s="89"/>
    </row>
    <row r="856" spans="2:6" s="6" customFormat="1" x14ac:dyDescent="0.3">
      <c r="B856" s="29"/>
      <c r="C856" s="29"/>
      <c r="D856" s="30"/>
      <c r="E856" s="33"/>
      <c r="F856" s="89"/>
    </row>
    <row r="857" spans="2:6" s="6" customFormat="1" x14ac:dyDescent="0.3">
      <c r="B857" s="29"/>
      <c r="C857" s="29"/>
      <c r="D857" s="30"/>
      <c r="E857" s="33"/>
      <c r="F857" s="89"/>
    </row>
    <row r="858" spans="2:6" s="6" customFormat="1" x14ac:dyDescent="0.3">
      <c r="B858" s="29"/>
      <c r="C858" s="29"/>
      <c r="D858" s="30"/>
      <c r="E858" s="33"/>
      <c r="F858" s="89"/>
    </row>
    <row r="859" spans="2:6" s="6" customFormat="1" x14ac:dyDescent="0.3">
      <c r="B859" s="29"/>
      <c r="C859" s="29"/>
      <c r="D859" s="30"/>
      <c r="E859" s="33"/>
      <c r="F859" s="89"/>
    </row>
    <row r="860" spans="2:6" s="6" customFormat="1" x14ac:dyDescent="0.3">
      <c r="B860" s="29"/>
      <c r="C860" s="29"/>
      <c r="D860" s="30"/>
      <c r="E860" s="33"/>
      <c r="F860" s="89"/>
    </row>
    <row r="861" spans="2:6" s="6" customFormat="1" x14ac:dyDescent="0.3">
      <c r="B861" s="29"/>
      <c r="C861" s="29"/>
      <c r="D861" s="30"/>
      <c r="E861" s="33"/>
      <c r="F861" s="89"/>
    </row>
    <row r="862" spans="2:6" s="6" customFormat="1" x14ac:dyDescent="0.3">
      <c r="B862" s="29"/>
      <c r="C862" s="29"/>
      <c r="D862" s="30"/>
      <c r="E862" s="33"/>
      <c r="F862" s="89"/>
    </row>
    <row r="863" spans="2:6" s="6" customFormat="1" x14ac:dyDescent="0.3">
      <c r="B863" s="29"/>
      <c r="C863" s="29"/>
      <c r="D863" s="30"/>
      <c r="E863" s="33"/>
      <c r="F863" s="89"/>
    </row>
    <row r="864" spans="2:6" s="6" customFormat="1" x14ac:dyDescent="0.3">
      <c r="B864" s="29"/>
      <c r="C864" s="29"/>
      <c r="D864" s="30"/>
      <c r="E864" s="33"/>
      <c r="F864" s="89"/>
    </row>
    <row r="865" spans="2:6" s="6" customFormat="1" x14ac:dyDescent="0.3">
      <c r="B865" s="29"/>
      <c r="C865" s="29"/>
      <c r="D865" s="30"/>
      <c r="E865" s="33"/>
      <c r="F865" s="89"/>
    </row>
    <row r="866" spans="2:6" s="6" customFormat="1" x14ac:dyDescent="0.3">
      <c r="B866" s="29"/>
      <c r="C866" s="29"/>
      <c r="D866" s="30"/>
      <c r="E866" s="33"/>
      <c r="F866" s="89"/>
    </row>
    <row r="867" spans="2:6" s="6" customFormat="1" x14ac:dyDescent="0.3">
      <c r="B867" s="29"/>
      <c r="C867" s="29"/>
      <c r="D867" s="30"/>
      <c r="E867" s="33"/>
      <c r="F867" s="89"/>
    </row>
    <row r="868" spans="2:6" s="6" customFormat="1" x14ac:dyDescent="0.3">
      <c r="B868" s="29"/>
      <c r="C868" s="29"/>
      <c r="D868" s="30"/>
      <c r="E868" s="33"/>
      <c r="F868" s="89"/>
    </row>
    <row r="869" spans="2:6" s="6" customFormat="1" x14ac:dyDescent="0.3">
      <c r="B869" s="29"/>
      <c r="C869" s="29"/>
      <c r="D869" s="30"/>
      <c r="E869" s="33"/>
      <c r="F869" s="89"/>
    </row>
    <row r="870" spans="2:6" s="6" customFormat="1" x14ac:dyDescent="0.3">
      <c r="B870" s="29"/>
      <c r="C870" s="29"/>
      <c r="D870" s="30"/>
      <c r="E870" s="33"/>
      <c r="F870" s="89"/>
    </row>
    <row r="871" spans="2:6" s="6" customFormat="1" x14ac:dyDescent="0.3">
      <c r="B871" s="29"/>
      <c r="C871" s="29"/>
      <c r="D871" s="30"/>
      <c r="E871" s="33"/>
      <c r="F871" s="89"/>
    </row>
    <row r="872" spans="2:6" s="6" customFormat="1" x14ac:dyDescent="0.3">
      <c r="B872" s="29"/>
      <c r="C872" s="29"/>
      <c r="D872" s="30"/>
      <c r="E872" s="33"/>
      <c r="F872" s="89"/>
    </row>
    <row r="873" spans="2:6" s="6" customFormat="1" x14ac:dyDescent="0.3">
      <c r="B873" s="29"/>
      <c r="C873" s="29"/>
      <c r="D873" s="30"/>
      <c r="E873" s="33"/>
      <c r="F873" s="89"/>
    </row>
    <row r="874" spans="2:6" s="6" customFormat="1" x14ac:dyDescent="0.3">
      <c r="B874" s="29"/>
      <c r="C874" s="29"/>
      <c r="D874" s="30"/>
      <c r="E874" s="33"/>
      <c r="F874" s="89"/>
    </row>
    <row r="875" spans="2:6" s="6" customFormat="1" x14ac:dyDescent="0.3">
      <c r="B875" s="29"/>
      <c r="C875" s="29"/>
      <c r="D875" s="30"/>
      <c r="E875" s="33"/>
      <c r="F875" s="89"/>
    </row>
    <row r="876" spans="2:6" s="6" customFormat="1" x14ac:dyDescent="0.3">
      <c r="B876" s="29"/>
      <c r="C876" s="29"/>
      <c r="D876" s="30"/>
      <c r="E876" s="33"/>
      <c r="F876" s="89"/>
    </row>
    <row r="877" spans="2:6" s="6" customFormat="1" x14ac:dyDescent="0.3">
      <c r="B877" s="29"/>
      <c r="C877" s="29"/>
      <c r="D877" s="30"/>
      <c r="E877" s="33"/>
      <c r="F877" s="89"/>
    </row>
    <row r="878" spans="2:6" s="6" customFormat="1" x14ac:dyDescent="0.3">
      <c r="B878" s="29"/>
      <c r="C878" s="29"/>
      <c r="D878" s="30"/>
      <c r="E878" s="33"/>
      <c r="F878" s="89"/>
    </row>
    <row r="879" spans="2:6" s="6" customFormat="1" x14ac:dyDescent="0.3">
      <c r="B879" s="29"/>
      <c r="C879" s="29"/>
      <c r="D879" s="30"/>
      <c r="E879" s="33"/>
      <c r="F879" s="89"/>
    </row>
    <row r="880" spans="2:6" s="6" customFormat="1" x14ac:dyDescent="0.3">
      <c r="B880" s="29"/>
      <c r="C880" s="29"/>
      <c r="D880" s="30"/>
      <c r="E880" s="33"/>
      <c r="F880" s="89"/>
    </row>
    <row r="881" spans="2:6" s="6" customFormat="1" x14ac:dyDescent="0.3">
      <c r="B881" s="29"/>
      <c r="C881" s="29"/>
      <c r="D881" s="30"/>
      <c r="E881" s="33"/>
      <c r="F881" s="89"/>
    </row>
    <row r="882" spans="2:6" s="6" customFormat="1" x14ac:dyDescent="0.3">
      <c r="B882" s="29"/>
      <c r="C882" s="29"/>
      <c r="D882" s="30"/>
      <c r="E882" s="33"/>
      <c r="F882" s="89"/>
    </row>
    <row r="883" spans="2:6" s="6" customFormat="1" x14ac:dyDescent="0.3">
      <c r="B883" s="29"/>
      <c r="C883" s="29"/>
      <c r="D883" s="30"/>
      <c r="E883" s="33"/>
      <c r="F883" s="89"/>
    </row>
    <row r="884" spans="2:6" s="6" customFormat="1" x14ac:dyDescent="0.3">
      <c r="B884" s="29"/>
      <c r="C884" s="29"/>
      <c r="D884" s="30"/>
      <c r="E884" s="33"/>
      <c r="F884" s="89"/>
    </row>
    <row r="885" spans="2:6" s="6" customFormat="1" x14ac:dyDescent="0.3">
      <c r="B885" s="29"/>
      <c r="C885" s="29"/>
      <c r="D885" s="30"/>
      <c r="E885" s="33"/>
      <c r="F885" s="89"/>
    </row>
    <row r="886" spans="2:6" s="6" customFormat="1" x14ac:dyDescent="0.3">
      <c r="B886" s="29"/>
      <c r="C886" s="29"/>
      <c r="D886" s="30"/>
      <c r="E886" s="33"/>
      <c r="F886" s="89"/>
    </row>
    <row r="887" spans="2:6" s="6" customFormat="1" x14ac:dyDescent="0.3">
      <c r="B887" s="29"/>
      <c r="C887" s="29"/>
      <c r="D887" s="30"/>
      <c r="E887" s="33"/>
      <c r="F887" s="89"/>
    </row>
    <row r="888" spans="2:6" s="6" customFormat="1" x14ac:dyDescent="0.3">
      <c r="B888" s="29"/>
      <c r="C888" s="29"/>
      <c r="D888" s="30"/>
      <c r="E888" s="33"/>
      <c r="F888" s="89"/>
    </row>
    <row r="889" spans="2:6" s="6" customFormat="1" x14ac:dyDescent="0.3">
      <c r="B889" s="29"/>
      <c r="C889" s="29"/>
      <c r="D889" s="30"/>
      <c r="E889" s="33"/>
      <c r="F889" s="89"/>
    </row>
    <row r="890" spans="2:6" s="6" customFormat="1" x14ac:dyDescent="0.3">
      <c r="B890" s="29"/>
      <c r="C890" s="29"/>
      <c r="D890" s="30"/>
      <c r="E890" s="33"/>
      <c r="F890" s="89"/>
    </row>
    <row r="891" spans="2:6" s="6" customFormat="1" x14ac:dyDescent="0.3">
      <c r="B891" s="29"/>
      <c r="C891" s="29"/>
      <c r="D891" s="30"/>
      <c r="E891" s="33"/>
      <c r="F891" s="89"/>
    </row>
    <row r="892" spans="2:6" s="6" customFormat="1" x14ac:dyDescent="0.3">
      <c r="B892" s="29"/>
      <c r="C892" s="29"/>
      <c r="D892" s="30"/>
      <c r="E892" s="33"/>
      <c r="F892" s="89"/>
    </row>
    <row r="893" spans="2:6" s="6" customFormat="1" x14ac:dyDescent="0.3">
      <c r="B893" s="29"/>
      <c r="C893" s="29"/>
      <c r="D893" s="30"/>
      <c r="E893" s="33"/>
      <c r="F893" s="89"/>
    </row>
    <row r="894" spans="2:6" s="6" customFormat="1" x14ac:dyDescent="0.3">
      <c r="B894" s="29"/>
      <c r="C894" s="29"/>
      <c r="D894" s="30"/>
      <c r="E894" s="33"/>
      <c r="F894" s="89"/>
    </row>
    <row r="895" spans="2:6" s="6" customFormat="1" x14ac:dyDescent="0.3">
      <c r="B895" s="29"/>
      <c r="C895" s="29"/>
      <c r="D895" s="30"/>
      <c r="E895" s="33"/>
      <c r="F895" s="89"/>
    </row>
    <row r="896" spans="2:6" s="6" customFormat="1" x14ac:dyDescent="0.3">
      <c r="B896" s="29"/>
      <c r="C896" s="29"/>
      <c r="D896" s="30"/>
      <c r="E896" s="33"/>
      <c r="F896" s="89"/>
    </row>
    <row r="897" spans="2:6" s="6" customFormat="1" x14ac:dyDescent="0.3">
      <c r="B897" s="29"/>
      <c r="C897" s="29"/>
      <c r="D897" s="30"/>
      <c r="E897" s="33"/>
      <c r="F897" s="89"/>
    </row>
    <row r="898" spans="2:6" s="6" customFormat="1" x14ac:dyDescent="0.3">
      <c r="B898" s="29"/>
      <c r="C898" s="29"/>
      <c r="D898" s="30"/>
      <c r="E898" s="33"/>
      <c r="F898" s="89"/>
    </row>
    <row r="899" spans="2:6" s="6" customFormat="1" x14ac:dyDescent="0.3">
      <c r="B899" s="29"/>
      <c r="C899" s="29"/>
      <c r="D899" s="30"/>
      <c r="E899" s="33"/>
      <c r="F899" s="89"/>
    </row>
    <row r="900" spans="2:6" s="6" customFormat="1" x14ac:dyDescent="0.3">
      <c r="B900" s="29"/>
      <c r="C900" s="29"/>
      <c r="D900" s="30"/>
      <c r="E900" s="33"/>
      <c r="F900" s="89"/>
    </row>
    <row r="901" spans="2:6" s="6" customFormat="1" x14ac:dyDescent="0.3">
      <c r="B901" s="29"/>
      <c r="C901" s="29"/>
      <c r="D901" s="30"/>
      <c r="E901" s="33"/>
      <c r="F901" s="89"/>
    </row>
    <row r="902" spans="2:6" s="6" customFormat="1" x14ac:dyDescent="0.3">
      <c r="B902" s="29"/>
      <c r="C902" s="29"/>
      <c r="D902" s="30"/>
      <c r="E902" s="33"/>
      <c r="F902" s="89"/>
    </row>
    <row r="903" spans="2:6" s="6" customFormat="1" x14ac:dyDescent="0.3">
      <c r="B903" s="29"/>
      <c r="C903" s="29"/>
      <c r="D903" s="30"/>
      <c r="E903" s="33"/>
      <c r="F903" s="89"/>
    </row>
    <row r="904" spans="2:6" s="6" customFormat="1" x14ac:dyDescent="0.3">
      <c r="B904" s="29"/>
      <c r="C904" s="29"/>
      <c r="D904" s="30"/>
      <c r="E904" s="33"/>
      <c r="F904" s="89"/>
    </row>
    <row r="905" spans="2:6" s="6" customFormat="1" x14ac:dyDescent="0.3">
      <c r="B905" s="29"/>
      <c r="C905" s="29"/>
      <c r="D905" s="30"/>
      <c r="E905" s="33"/>
      <c r="F905" s="89"/>
    </row>
    <row r="906" spans="2:6" s="6" customFormat="1" x14ac:dyDescent="0.3">
      <c r="B906" s="29"/>
      <c r="C906" s="29"/>
      <c r="D906" s="30"/>
      <c r="E906" s="33"/>
      <c r="F906" s="89"/>
    </row>
    <row r="907" spans="2:6" s="6" customFormat="1" x14ac:dyDescent="0.3">
      <c r="B907" s="29"/>
      <c r="C907" s="29"/>
      <c r="D907" s="30"/>
      <c r="E907" s="33"/>
      <c r="F907" s="89"/>
    </row>
    <row r="908" spans="2:6" s="6" customFormat="1" x14ac:dyDescent="0.3">
      <c r="B908" s="29"/>
      <c r="C908" s="29"/>
      <c r="D908" s="30"/>
      <c r="E908" s="33"/>
      <c r="F908" s="89"/>
    </row>
    <row r="909" spans="2:6" s="6" customFormat="1" x14ac:dyDescent="0.3">
      <c r="B909" s="29"/>
      <c r="C909" s="29"/>
      <c r="D909" s="30"/>
      <c r="E909" s="33"/>
      <c r="F909" s="89"/>
    </row>
    <row r="910" spans="2:6" s="6" customFormat="1" x14ac:dyDescent="0.3">
      <c r="B910" s="29"/>
      <c r="C910" s="29"/>
      <c r="D910" s="30"/>
      <c r="E910" s="33"/>
      <c r="F910" s="89"/>
    </row>
    <row r="911" spans="2:6" s="6" customFormat="1" x14ac:dyDescent="0.3">
      <c r="B911" s="29"/>
      <c r="C911" s="29"/>
      <c r="D911" s="30"/>
      <c r="E911" s="33"/>
      <c r="F911" s="89"/>
    </row>
    <row r="912" spans="2:6" s="6" customFormat="1" x14ac:dyDescent="0.3">
      <c r="B912" s="29"/>
      <c r="C912" s="29"/>
      <c r="D912" s="30"/>
      <c r="E912" s="33"/>
      <c r="F912" s="89"/>
    </row>
    <row r="913" spans="2:6" s="6" customFormat="1" x14ac:dyDescent="0.3">
      <c r="B913" s="29"/>
      <c r="C913" s="29"/>
      <c r="D913" s="30"/>
      <c r="E913" s="33"/>
      <c r="F913" s="89"/>
    </row>
    <row r="914" spans="2:6" s="6" customFormat="1" x14ac:dyDescent="0.3">
      <c r="B914" s="29"/>
      <c r="C914" s="29"/>
      <c r="D914" s="30"/>
      <c r="E914" s="33"/>
      <c r="F914" s="89"/>
    </row>
    <row r="915" spans="2:6" s="6" customFormat="1" x14ac:dyDescent="0.3">
      <c r="B915" s="29"/>
      <c r="C915" s="29"/>
      <c r="D915" s="30"/>
      <c r="E915" s="33"/>
      <c r="F915" s="89"/>
    </row>
    <row r="916" spans="2:6" s="6" customFormat="1" x14ac:dyDescent="0.3">
      <c r="B916" s="29"/>
      <c r="C916" s="29"/>
      <c r="D916" s="30"/>
      <c r="E916" s="33"/>
      <c r="F916" s="89"/>
    </row>
    <row r="917" spans="2:6" s="6" customFormat="1" x14ac:dyDescent="0.3">
      <c r="B917" s="29"/>
      <c r="C917" s="29"/>
      <c r="D917" s="30"/>
      <c r="E917" s="33"/>
      <c r="F917" s="89"/>
    </row>
    <row r="918" spans="2:6" s="6" customFormat="1" x14ac:dyDescent="0.3">
      <c r="B918" s="29"/>
      <c r="C918" s="29"/>
      <c r="D918" s="30"/>
      <c r="E918" s="33"/>
      <c r="F918" s="89"/>
    </row>
    <row r="919" spans="2:6" s="6" customFormat="1" x14ac:dyDescent="0.3">
      <c r="B919" s="29"/>
      <c r="C919" s="29"/>
      <c r="D919" s="30"/>
      <c r="E919" s="33"/>
      <c r="F919" s="89"/>
    </row>
    <row r="920" spans="2:6" s="6" customFormat="1" x14ac:dyDescent="0.3">
      <c r="B920" s="29"/>
      <c r="C920" s="29"/>
      <c r="D920" s="30"/>
      <c r="E920" s="33"/>
      <c r="F920" s="89"/>
    </row>
    <row r="921" spans="2:6" s="6" customFormat="1" x14ac:dyDescent="0.3">
      <c r="B921" s="29"/>
      <c r="C921" s="29"/>
      <c r="D921" s="30"/>
      <c r="E921" s="33"/>
      <c r="F921" s="89"/>
    </row>
    <row r="922" spans="2:6" s="6" customFormat="1" x14ac:dyDescent="0.3">
      <c r="B922" s="29"/>
      <c r="C922" s="29"/>
      <c r="D922" s="30"/>
      <c r="E922" s="33"/>
      <c r="F922" s="89"/>
    </row>
    <row r="923" spans="2:6" s="6" customFormat="1" x14ac:dyDescent="0.3">
      <c r="B923" s="29"/>
      <c r="C923" s="29"/>
      <c r="D923" s="30"/>
      <c r="E923" s="33"/>
      <c r="F923" s="89"/>
    </row>
    <row r="924" spans="2:6" s="6" customFormat="1" x14ac:dyDescent="0.3">
      <c r="B924" s="29"/>
      <c r="C924" s="29"/>
      <c r="D924" s="30"/>
      <c r="E924" s="33"/>
      <c r="F924" s="89"/>
    </row>
    <row r="925" spans="2:6" s="6" customFormat="1" x14ac:dyDescent="0.3">
      <c r="B925" s="29"/>
      <c r="C925" s="29"/>
      <c r="D925" s="30"/>
      <c r="E925" s="33"/>
      <c r="F925" s="89"/>
    </row>
    <row r="926" spans="2:6" s="6" customFormat="1" x14ac:dyDescent="0.3">
      <c r="B926" s="29"/>
      <c r="C926" s="29"/>
      <c r="D926" s="30"/>
      <c r="E926" s="33"/>
      <c r="F926" s="89"/>
    </row>
    <row r="927" spans="2:6" s="6" customFormat="1" x14ac:dyDescent="0.3">
      <c r="B927" s="29"/>
      <c r="C927" s="29"/>
      <c r="D927" s="30"/>
      <c r="E927" s="33"/>
      <c r="F927" s="89"/>
    </row>
    <row r="928" spans="2:6" s="6" customFormat="1" x14ac:dyDescent="0.3">
      <c r="B928" s="29"/>
      <c r="C928" s="29"/>
      <c r="D928" s="30"/>
      <c r="E928" s="33"/>
      <c r="F928" s="89"/>
    </row>
    <row r="929" spans="2:6" s="6" customFormat="1" x14ac:dyDescent="0.3">
      <c r="B929" s="29"/>
      <c r="C929" s="29"/>
      <c r="D929" s="30"/>
      <c r="E929" s="33"/>
      <c r="F929" s="89"/>
    </row>
    <row r="930" spans="2:6" s="6" customFormat="1" x14ac:dyDescent="0.3">
      <c r="B930" s="29"/>
      <c r="C930" s="29"/>
      <c r="D930" s="30"/>
      <c r="E930" s="33"/>
      <c r="F930" s="89"/>
    </row>
    <row r="931" spans="2:6" s="6" customFormat="1" x14ac:dyDescent="0.3">
      <c r="B931" s="29"/>
      <c r="C931" s="29"/>
      <c r="D931" s="30"/>
      <c r="E931" s="33"/>
      <c r="F931" s="89"/>
    </row>
    <row r="932" spans="2:6" s="6" customFormat="1" x14ac:dyDescent="0.3">
      <c r="B932" s="29"/>
      <c r="C932" s="29"/>
      <c r="D932" s="30"/>
      <c r="E932" s="33"/>
      <c r="F932" s="89"/>
    </row>
    <row r="933" spans="2:6" s="6" customFormat="1" x14ac:dyDescent="0.3">
      <c r="B933" s="29"/>
      <c r="C933" s="29"/>
      <c r="D933" s="30"/>
      <c r="E933" s="33"/>
      <c r="F933" s="89"/>
    </row>
    <row r="934" spans="2:6" s="6" customFormat="1" x14ac:dyDescent="0.3">
      <c r="B934" s="29"/>
      <c r="C934" s="29"/>
      <c r="D934" s="30"/>
      <c r="E934" s="33"/>
      <c r="F934" s="89"/>
    </row>
    <row r="935" spans="2:6" s="6" customFormat="1" x14ac:dyDescent="0.3">
      <c r="B935" s="29"/>
      <c r="C935" s="29"/>
      <c r="D935" s="30"/>
      <c r="E935" s="33"/>
      <c r="F935" s="89"/>
    </row>
    <row r="936" spans="2:6" s="6" customFormat="1" x14ac:dyDescent="0.3">
      <c r="B936" s="29"/>
      <c r="C936" s="29"/>
      <c r="D936" s="30"/>
      <c r="E936" s="33"/>
      <c r="F936" s="89"/>
    </row>
    <row r="937" spans="2:6" s="6" customFormat="1" x14ac:dyDescent="0.3">
      <c r="B937" s="29"/>
      <c r="C937" s="29"/>
      <c r="D937" s="30"/>
      <c r="E937" s="33"/>
      <c r="F937" s="89"/>
    </row>
    <row r="938" spans="2:6" s="6" customFormat="1" x14ac:dyDescent="0.3">
      <c r="B938" s="29"/>
      <c r="C938" s="29"/>
      <c r="D938" s="30"/>
      <c r="E938" s="33"/>
      <c r="F938" s="89"/>
    </row>
    <row r="939" spans="2:6" s="6" customFormat="1" x14ac:dyDescent="0.3">
      <c r="B939" s="29"/>
      <c r="C939" s="29"/>
      <c r="D939" s="30"/>
      <c r="E939" s="33"/>
      <c r="F939" s="89"/>
    </row>
    <row r="940" spans="2:6" s="6" customFormat="1" x14ac:dyDescent="0.3">
      <c r="B940" s="29"/>
      <c r="C940" s="29"/>
      <c r="D940" s="30"/>
      <c r="E940" s="33"/>
      <c r="F940" s="89"/>
    </row>
    <row r="941" spans="2:6" s="6" customFormat="1" x14ac:dyDescent="0.3">
      <c r="B941" s="29"/>
      <c r="C941" s="29"/>
      <c r="D941" s="30"/>
      <c r="E941" s="33"/>
      <c r="F941" s="89"/>
    </row>
    <row r="942" spans="2:6" s="6" customFormat="1" x14ac:dyDescent="0.3">
      <c r="B942" s="29"/>
      <c r="C942" s="29"/>
      <c r="D942" s="30"/>
      <c r="E942" s="33"/>
      <c r="F942" s="89"/>
    </row>
    <row r="943" spans="2:6" s="6" customFormat="1" x14ac:dyDescent="0.3">
      <c r="B943" s="29"/>
      <c r="C943" s="29"/>
      <c r="D943" s="30"/>
      <c r="E943" s="33"/>
      <c r="F943" s="89"/>
    </row>
    <row r="944" spans="2:6" s="6" customFormat="1" x14ac:dyDescent="0.3">
      <c r="B944" s="29"/>
      <c r="C944" s="29"/>
      <c r="D944" s="30"/>
      <c r="E944" s="33"/>
      <c r="F944" s="89"/>
    </row>
    <row r="945" spans="2:6" s="6" customFormat="1" x14ac:dyDescent="0.3">
      <c r="B945" s="29"/>
      <c r="C945" s="29"/>
      <c r="D945" s="30"/>
      <c r="E945" s="33"/>
      <c r="F945" s="89"/>
    </row>
    <row r="946" spans="2:6" s="6" customFormat="1" x14ac:dyDescent="0.3">
      <c r="B946" s="29"/>
      <c r="C946" s="29"/>
      <c r="D946" s="30"/>
      <c r="E946" s="33"/>
      <c r="F946" s="89"/>
    </row>
    <row r="947" spans="2:6" s="6" customFormat="1" x14ac:dyDescent="0.3">
      <c r="B947" s="29"/>
      <c r="C947" s="29"/>
      <c r="D947" s="30"/>
      <c r="E947" s="33"/>
      <c r="F947" s="89"/>
    </row>
    <row r="948" spans="2:6" s="6" customFormat="1" x14ac:dyDescent="0.3">
      <c r="B948" s="29"/>
      <c r="C948" s="29"/>
      <c r="D948" s="30"/>
      <c r="E948" s="33"/>
      <c r="F948" s="89"/>
    </row>
    <row r="949" spans="2:6" s="6" customFormat="1" x14ac:dyDescent="0.3">
      <c r="B949" s="29"/>
      <c r="C949" s="29"/>
      <c r="D949" s="30"/>
      <c r="E949" s="33"/>
      <c r="F949" s="89"/>
    </row>
    <row r="950" spans="2:6" s="6" customFormat="1" x14ac:dyDescent="0.3">
      <c r="B950" s="29"/>
      <c r="C950" s="29"/>
      <c r="D950" s="30"/>
      <c r="E950" s="33"/>
      <c r="F950" s="89"/>
    </row>
    <row r="951" spans="2:6" s="6" customFormat="1" x14ac:dyDescent="0.3">
      <c r="B951" s="29"/>
      <c r="C951" s="29"/>
      <c r="D951" s="30"/>
      <c r="E951" s="33"/>
      <c r="F951" s="89"/>
    </row>
    <row r="952" spans="2:6" s="6" customFormat="1" x14ac:dyDescent="0.3">
      <c r="B952" s="29"/>
      <c r="C952" s="29"/>
      <c r="D952" s="30"/>
      <c r="E952" s="33"/>
      <c r="F952" s="89"/>
    </row>
    <row r="953" spans="2:6" s="6" customFormat="1" x14ac:dyDescent="0.3">
      <c r="B953" s="29"/>
      <c r="C953" s="29"/>
      <c r="D953" s="30"/>
      <c r="E953" s="33"/>
      <c r="F953" s="89"/>
    </row>
    <row r="954" spans="2:6" s="6" customFormat="1" x14ac:dyDescent="0.3">
      <c r="B954" s="29"/>
      <c r="C954" s="29"/>
      <c r="D954" s="30"/>
      <c r="E954" s="33"/>
      <c r="F954" s="89"/>
    </row>
    <row r="955" spans="2:6" s="6" customFormat="1" x14ac:dyDescent="0.3">
      <c r="B955" s="29"/>
      <c r="C955" s="29"/>
      <c r="D955" s="30"/>
      <c r="E955" s="33"/>
      <c r="F955" s="89"/>
    </row>
    <row r="956" spans="2:6" s="6" customFormat="1" x14ac:dyDescent="0.3">
      <c r="B956" s="29"/>
      <c r="C956" s="29"/>
      <c r="D956" s="30"/>
      <c r="E956" s="33"/>
      <c r="F956" s="89"/>
    </row>
    <row r="957" spans="2:6" s="6" customFormat="1" x14ac:dyDescent="0.3">
      <c r="B957" s="29"/>
      <c r="C957" s="29"/>
      <c r="D957" s="30"/>
      <c r="E957" s="33"/>
      <c r="F957" s="89"/>
    </row>
    <row r="958" spans="2:6" s="6" customFormat="1" x14ac:dyDescent="0.3">
      <c r="B958" s="29"/>
      <c r="C958" s="29"/>
      <c r="D958" s="30"/>
      <c r="E958" s="33"/>
      <c r="F958" s="89"/>
    </row>
    <row r="959" spans="2:6" s="6" customFormat="1" x14ac:dyDescent="0.3">
      <c r="B959" s="29"/>
      <c r="C959" s="29"/>
      <c r="D959" s="30"/>
      <c r="E959" s="33"/>
      <c r="F959" s="89"/>
    </row>
    <row r="960" spans="2:6" s="6" customFormat="1" x14ac:dyDescent="0.3">
      <c r="B960" s="29"/>
      <c r="C960" s="29"/>
      <c r="D960" s="30"/>
      <c r="E960" s="33"/>
      <c r="F960" s="89"/>
    </row>
    <row r="961" spans="2:6" s="6" customFormat="1" x14ac:dyDescent="0.3">
      <c r="B961" s="29"/>
      <c r="C961" s="29"/>
      <c r="D961" s="30"/>
      <c r="E961" s="33"/>
      <c r="F961" s="89"/>
    </row>
    <row r="962" spans="2:6" s="6" customFormat="1" x14ac:dyDescent="0.3">
      <c r="B962" s="29"/>
      <c r="C962" s="29"/>
      <c r="D962" s="30"/>
      <c r="E962" s="33"/>
      <c r="F962" s="89"/>
    </row>
    <row r="963" spans="2:6" s="6" customFormat="1" x14ac:dyDescent="0.3">
      <c r="B963" s="29"/>
      <c r="C963" s="29"/>
      <c r="D963" s="30"/>
      <c r="E963" s="33"/>
      <c r="F963" s="89"/>
    </row>
    <row r="964" spans="2:6" s="6" customFormat="1" x14ac:dyDescent="0.3">
      <c r="B964" s="29"/>
      <c r="C964" s="29"/>
      <c r="D964" s="30"/>
      <c r="E964" s="33"/>
      <c r="F964" s="89"/>
    </row>
    <row r="965" spans="2:6" s="6" customFormat="1" x14ac:dyDescent="0.3">
      <c r="B965" s="29"/>
      <c r="C965" s="29"/>
      <c r="D965" s="30"/>
      <c r="E965" s="33"/>
      <c r="F965" s="89"/>
    </row>
    <row r="966" spans="2:6" s="6" customFormat="1" x14ac:dyDescent="0.3">
      <c r="B966" s="29"/>
      <c r="C966" s="29"/>
      <c r="D966" s="30"/>
      <c r="E966" s="33"/>
      <c r="F966" s="89"/>
    </row>
    <row r="967" spans="2:6" s="6" customFormat="1" x14ac:dyDescent="0.3">
      <c r="B967" s="29"/>
      <c r="C967" s="29"/>
      <c r="D967" s="30"/>
      <c r="E967" s="33"/>
      <c r="F967" s="89"/>
    </row>
    <row r="968" spans="2:6" s="6" customFormat="1" x14ac:dyDescent="0.3">
      <c r="B968" s="29"/>
      <c r="C968" s="29"/>
      <c r="D968" s="30"/>
      <c r="E968" s="33"/>
      <c r="F968" s="89"/>
    </row>
    <row r="969" spans="2:6" s="6" customFormat="1" x14ac:dyDescent="0.3">
      <c r="B969" s="29"/>
      <c r="C969" s="29"/>
      <c r="D969" s="30"/>
      <c r="E969" s="33"/>
      <c r="F969" s="89"/>
    </row>
    <row r="970" spans="2:6" s="6" customFormat="1" x14ac:dyDescent="0.3">
      <c r="B970" s="29"/>
      <c r="C970" s="29"/>
      <c r="D970" s="30"/>
      <c r="E970" s="33"/>
      <c r="F970" s="89"/>
    </row>
    <row r="971" spans="2:6" s="6" customFormat="1" x14ac:dyDescent="0.3">
      <c r="B971" s="29"/>
      <c r="C971" s="29"/>
      <c r="D971" s="30"/>
      <c r="E971" s="33"/>
      <c r="F971" s="89"/>
    </row>
    <row r="972" spans="2:6" s="6" customFormat="1" x14ac:dyDescent="0.3">
      <c r="B972" s="29"/>
      <c r="C972" s="29"/>
      <c r="D972" s="30"/>
      <c r="E972" s="33"/>
      <c r="F972" s="89"/>
    </row>
    <row r="973" spans="2:6" s="6" customFormat="1" x14ac:dyDescent="0.3">
      <c r="B973" s="29"/>
      <c r="C973" s="29"/>
      <c r="D973" s="30"/>
      <c r="E973" s="33"/>
      <c r="F973" s="89"/>
    </row>
    <row r="974" spans="2:6" s="6" customFormat="1" x14ac:dyDescent="0.3">
      <c r="B974" s="29"/>
      <c r="C974" s="29"/>
      <c r="D974" s="30"/>
      <c r="E974" s="33"/>
      <c r="F974" s="89"/>
    </row>
    <row r="975" spans="2:6" s="6" customFormat="1" x14ac:dyDescent="0.3">
      <c r="B975" s="29"/>
      <c r="C975" s="29"/>
      <c r="D975" s="30"/>
      <c r="E975" s="33"/>
      <c r="F975" s="89"/>
    </row>
    <row r="976" spans="2:6" s="6" customFormat="1" x14ac:dyDescent="0.3">
      <c r="B976" s="29"/>
      <c r="C976" s="29"/>
      <c r="D976" s="30"/>
      <c r="E976" s="33"/>
      <c r="F976" s="89"/>
    </row>
    <row r="977" spans="2:6" s="6" customFormat="1" x14ac:dyDescent="0.3">
      <c r="B977" s="29"/>
      <c r="C977" s="29"/>
      <c r="D977" s="30"/>
      <c r="E977" s="33"/>
      <c r="F977" s="89"/>
    </row>
    <row r="978" spans="2:6" s="6" customFormat="1" x14ac:dyDescent="0.3">
      <c r="B978" s="29"/>
      <c r="C978" s="29"/>
      <c r="D978" s="30"/>
      <c r="E978" s="33"/>
      <c r="F978" s="89"/>
    </row>
    <row r="979" spans="2:6" s="6" customFormat="1" x14ac:dyDescent="0.3">
      <c r="B979" s="29"/>
      <c r="C979" s="29"/>
      <c r="D979" s="30"/>
      <c r="E979" s="33"/>
      <c r="F979" s="89"/>
    </row>
    <row r="980" spans="2:6" s="6" customFormat="1" x14ac:dyDescent="0.3">
      <c r="B980" s="29"/>
      <c r="C980" s="29"/>
      <c r="D980" s="30"/>
      <c r="E980" s="33"/>
      <c r="F980" s="89"/>
    </row>
    <row r="981" spans="2:6" s="6" customFormat="1" x14ac:dyDescent="0.3">
      <c r="B981" s="29"/>
      <c r="C981" s="29"/>
      <c r="D981" s="30"/>
      <c r="E981" s="33"/>
      <c r="F981" s="89"/>
    </row>
    <row r="982" spans="2:6" s="6" customFormat="1" x14ac:dyDescent="0.3">
      <c r="B982" s="29"/>
      <c r="C982" s="29"/>
      <c r="D982" s="30"/>
      <c r="E982" s="33"/>
      <c r="F982" s="89"/>
    </row>
    <row r="983" spans="2:6" s="6" customFormat="1" x14ac:dyDescent="0.3">
      <c r="B983" s="29"/>
      <c r="C983" s="29"/>
      <c r="D983" s="30"/>
      <c r="E983" s="33"/>
      <c r="F983" s="89"/>
    </row>
    <row r="984" spans="2:6" s="6" customFormat="1" x14ac:dyDescent="0.3">
      <c r="B984" s="29"/>
      <c r="C984" s="29"/>
      <c r="D984" s="30"/>
      <c r="E984" s="33"/>
      <c r="F984" s="89"/>
    </row>
    <row r="985" spans="2:6" s="6" customFormat="1" x14ac:dyDescent="0.3">
      <c r="B985" s="29"/>
      <c r="C985" s="29"/>
      <c r="D985" s="30"/>
      <c r="E985" s="33"/>
      <c r="F985" s="89"/>
    </row>
    <row r="986" spans="2:6" s="6" customFormat="1" x14ac:dyDescent="0.3">
      <c r="B986" s="29"/>
      <c r="C986" s="29"/>
      <c r="D986" s="30"/>
      <c r="E986" s="33"/>
      <c r="F986" s="89"/>
    </row>
    <row r="987" spans="2:6" s="6" customFormat="1" x14ac:dyDescent="0.3">
      <c r="B987" s="29"/>
      <c r="C987" s="29"/>
      <c r="D987" s="30"/>
      <c r="E987" s="33"/>
      <c r="F987" s="89"/>
    </row>
    <row r="988" spans="2:6" s="6" customFormat="1" x14ac:dyDescent="0.3">
      <c r="B988" s="29"/>
      <c r="C988" s="29"/>
      <c r="D988" s="30"/>
      <c r="E988" s="33"/>
      <c r="F988" s="89"/>
    </row>
    <row r="989" spans="2:6" s="6" customFormat="1" x14ac:dyDescent="0.3">
      <c r="B989" s="29"/>
      <c r="C989" s="29"/>
      <c r="D989" s="30"/>
      <c r="E989" s="33"/>
      <c r="F989" s="89"/>
    </row>
    <row r="990" spans="2:6" s="6" customFormat="1" x14ac:dyDescent="0.3">
      <c r="B990" s="29"/>
      <c r="C990" s="29"/>
      <c r="D990" s="30"/>
      <c r="E990" s="33"/>
      <c r="F990" s="89"/>
    </row>
    <row r="991" spans="2:6" s="6" customFormat="1" x14ac:dyDescent="0.3">
      <c r="B991" s="29"/>
      <c r="C991" s="29"/>
      <c r="D991" s="30"/>
      <c r="E991" s="33"/>
      <c r="F991" s="89"/>
    </row>
    <row r="992" spans="2:6" s="6" customFormat="1" x14ac:dyDescent="0.3">
      <c r="B992" s="29"/>
      <c r="C992" s="29"/>
      <c r="D992" s="30"/>
      <c r="E992" s="33"/>
      <c r="F992" s="89"/>
    </row>
    <row r="993" spans="2:6" s="6" customFormat="1" x14ac:dyDescent="0.3">
      <c r="B993" s="29"/>
      <c r="C993" s="29"/>
      <c r="D993" s="30"/>
      <c r="E993" s="33"/>
      <c r="F993" s="89"/>
    </row>
    <row r="994" spans="2:6" s="6" customFormat="1" x14ac:dyDescent="0.3">
      <c r="B994" s="29"/>
      <c r="C994" s="29"/>
      <c r="D994" s="30"/>
      <c r="E994" s="33"/>
      <c r="F994" s="89"/>
    </row>
    <row r="995" spans="2:6" s="6" customFormat="1" x14ac:dyDescent="0.3">
      <c r="B995" s="29"/>
      <c r="C995" s="29"/>
      <c r="D995" s="30"/>
      <c r="E995" s="33"/>
      <c r="F995" s="89"/>
    </row>
    <row r="996" spans="2:6" s="6" customFormat="1" x14ac:dyDescent="0.3">
      <c r="B996" s="29"/>
      <c r="C996" s="29"/>
      <c r="D996" s="30"/>
      <c r="E996" s="33"/>
      <c r="F996" s="89"/>
    </row>
    <row r="997" spans="2:6" s="6" customFormat="1" x14ac:dyDescent="0.3">
      <c r="B997" s="29"/>
      <c r="C997" s="29"/>
      <c r="D997" s="30"/>
      <c r="E997" s="33"/>
      <c r="F997" s="89"/>
    </row>
    <row r="998" spans="2:6" s="6" customFormat="1" x14ac:dyDescent="0.3">
      <c r="B998" s="29"/>
      <c r="C998" s="29"/>
      <c r="D998" s="30"/>
      <c r="E998" s="33"/>
      <c r="F998" s="89"/>
    </row>
    <row r="999" spans="2:6" s="6" customFormat="1" x14ac:dyDescent="0.3">
      <c r="B999" s="29"/>
      <c r="C999" s="29"/>
      <c r="D999" s="30"/>
      <c r="E999" s="33"/>
      <c r="F999" s="89"/>
    </row>
    <row r="1000" spans="2:6" s="6" customFormat="1" x14ac:dyDescent="0.3">
      <c r="B1000" s="29"/>
      <c r="C1000" s="29"/>
      <c r="D1000" s="30"/>
      <c r="E1000" s="33"/>
      <c r="F1000" s="89"/>
    </row>
    <row r="1001" spans="2:6" s="6" customFormat="1" x14ac:dyDescent="0.3">
      <c r="B1001" s="29"/>
      <c r="C1001" s="29"/>
      <c r="D1001" s="30"/>
      <c r="E1001" s="33"/>
      <c r="F1001" s="89"/>
    </row>
    <row r="1002" spans="2:6" s="6" customFormat="1" x14ac:dyDescent="0.3">
      <c r="B1002" s="29"/>
      <c r="C1002" s="29"/>
      <c r="D1002" s="30"/>
      <c r="E1002" s="33"/>
      <c r="F1002" s="89"/>
    </row>
    <row r="1003" spans="2:6" s="6" customFormat="1" x14ac:dyDescent="0.3">
      <c r="B1003" s="29"/>
      <c r="C1003" s="29"/>
      <c r="D1003" s="30"/>
      <c r="E1003" s="33"/>
      <c r="F1003" s="89"/>
    </row>
    <row r="1004" spans="2:6" s="6" customFormat="1" x14ac:dyDescent="0.3">
      <c r="B1004" s="29"/>
      <c r="C1004" s="29"/>
      <c r="D1004" s="30"/>
      <c r="E1004" s="33"/>
      <c r="F1004" s="89"/>
    </row>
    <row r="1005" spans="2:6" s="6" customFormat="1" x14ac:dyDescent="0.3">
      <c r="B1005" s="29"/>
      <c r="C1005" s="29"/>
      <c r="D1005" s="30"/>
      <c r="E1005" s="33"/>
      <c r="F1005" s="89"/>
    </row>
    <row r="1006" spans="2:6" s="6" customFormat="1" x14ac:dyDescent="0.3">
      <c r="B1006" s="29"/>
      <c r="C1006" s="29"/>
      <c r="D1006" s="30"/>
      <c r="E1006" s="33"/>
      <c r="F1006" s="89"/>
    </row>
    <row r="1007" spans="2:6" s="6" customFormat="1" x14ac:dyDescent="0.3">
      <c r="B1007" s="29"/>
      <c r="C1007" s="29"/>
      <c r="D1007" s="30"/>
      <c r="E1007" s="33"/>
      <c r="F1007" s="89"/>
    </row>
    <row r="1008" spans="2:6" s="6" customFormat="1" x14ac:dyDescent="0.3">
      <c r="B1008" s="29"/>
      <c r="C1008" s="29"/>
      <c r="D1008" s="30"/>
      <c r="E1008" s="33"/>
      <c r="F1008" s="89"/>
    </row>
    <row r="1009" spans="2:6" s="6" customFormat="1" x14ac:dyDescent="0.3">
      <c r="B1009" s="29"/>
      <c r="C1009" s="29"/>
      <c r="D1009" s="30"/>
      <c r="E1009" s="33"/>
      <c r="F1009" s="89"/>
    </row>
    <row r="1010" spans="2:6" s="6" customFormat="1" x14ac:dyDescent="0.3">
      <c r="B1010" s="29"/>
      <c r="C1010" s="29"/>
      <c r="D1010" s="30"/>
      <c r="E1010" s="33"/>
      <c r="F1010" s="89"/>
    </row>
    <row r="1011" spans="2:6" s="6" customFormat="1" x14ac:dyDescent="0.3">
      <c r="B1011" s="29"/>
      <c r="C1011" s="29"/>
      <c r="D1011" s="30"/>
      <c r="E1011" s="33"/>
      <c r="F1011" s="89"/>
    </row>
    <row r="1012" spans="2:6" s="6" customFormat="1" x14ac:dyDescent="0.3">
      <c r="B1012" s="29"/>
      <c r="C1012" s="29"/>
      <c r="D1012" s="30"/>
      <c r="E1012" s="33"/>
      <c r="F1012" s="89"/>
    </row>
    <row r="1013" spans="2:6" s="6" customFormat="1" x14ac:dyDescent="0.3">
      <c r="B1013" s="29"/>
      <c r="C1013" s="29"/>
      <c r="D1013" s="30"/>
      <c r="E1013" s="33"/>
      <c r="F1013" s="89"/>
    </row>
    <row r="1014" spans="2:6" s="6" customFormat="1" x14ac:dyDescent="0.3">
      <c r="B1014" s="29"/>
      <c r="C1014" s="29"/>
      <c r="D1014" s="30"/>
      <c r="E1014" s="33"/>
      <c r="F1014" s="89"/>
    </row>
    <row r="1015" spans="2:6" s="6" customFormat="1" x14ac:dyDescent="0.3">
      <c r="B1015" s="29"/>
      <c r="C1015" s="29"/>
      <c r="D1015" s="30"/>
      <c r="E1015" s="33"/>
      <c r="F1015" s="89"/>
    </row>
    <row r="1016" spans="2:6" s="6" customFormat="1" x14ac:dyDescent="0.3">
      <c r="B1016" s="29"/>
      <c r="C1016" s="29"/>
      <c r="D1016" s="30"/>
      <c r="E1016" s="33"/>
      <c r="F1016" s="89"/>
    </row>
    <row r="1017" spans="2:6" s="6" customFormat="1" x14ac:dyDescent="0.3">
      <c r="B1017" s="29"/>
      <c r="C1017" s="29"/>
      <c r="D1017" s="30"/>
      <c r="E1017" s="33"/>
      <c r="F1017" s="89"/>
    </row>
    <row r="1018" spans="2:6" s="6" customFormat="1" x14ac:dyDescent="0.3">
      <c r="B1018" s="29"/>
      <c r="C1018" s="29"/>
      <c r="D1018" s="30"/>
      <c r="E1018" s="33"/>
      <c r="F1018" s="89"/>
    </row>
    <row r="1019" spans="2:6" s="6" customFormat="1" x14ac:dyDescent="0.3">
      <c r="B1019" s="29"/>
      <c r="C1019" s="29"/>
      <c r="D1019" s="30"/>
      <c r="E1019" s="33"/>
      <c r="F1019" s="89"/>
    </row>
    <row r="1020" spans="2:6" s="6" customFormat="1" x14ac:dyDescent="0.3">
      <c r="B1020" s="29"/>
      <c r="C1020" s="29"/>
      <c r="D1020" s="30"/>
      <c r="E1020" s="33"/>
      <c r="F1020" s="89"/>
    </row>
    <row r="1021" spans="2:6" s="6" customFormat="1" x14ac:dyDescent="0.3">
      <c r="B1021" s="29"/>
      <c r="C1021" s="29"/>
      <c r="D1021" s="30"/>
      <c r="E1021" s="33"/>
      <c r="F1021" s="89"/>
    </row>
    <row r="1022" spans="2:6" s="6" customFormat="1" x14ac:dyDescent="0.3">
      <c r="B1022" s="29"/>
      <c r="C1022" s="29"/>
      <c r="D1022" s="30"/>
      <c r="E1022" s="33"/>
      <c r="F1022" s="89"/>
    </row>
    <row r="1023" spans="2:6" s="6" customFormat="1" x14ac:dyDescent="0.3">
      <c r="B1023" s="29"/>
      <c r="C1023" s="29"/>
      <c r="D1023" s="30"/>
      <c r="E1023" s="33"/>
      <c r="F1023" s="89"/>
    </row>
    <row r="1024" spans="2:6" s="6" customFormat="1" x14ac:dyDescent="0.3">
      <c r="B1024" s="29"/>
      <c r="C1024" s="29"/>
      <c r="D1024" s="30"/>
      <c r="E1024" s="33"/>
      <c r="F1024" s="89"/>
    </row>
    <row r="1025" spans="2:6" s="6" customFormat="1" x14ac:dyDescent="0.3">
      <c r="B1025" s="29"/>
      <c r="C1025" s="29"/>
      <c r="D1025" s="30"/>
      <c r="E1025" s="33"/>
      <c r="F1025" s="89"/>
    </row>
    <row r="1026" spans="2:6" s="6" customFormat="1" x14ac:dyDescent="0.3">
      <c r="B1026" s="29"/>
      <c r="C1026" s="29"/>
      <c r="D1026" s="30"/>
      <c r="E1026" s="33"/>
      <c r="F1026" s="89"/>
    </row>
    <row r="1027" spans="2:6" s="6" customFormat="1" x14ac:dyDescent="0.3">
      <c r="B1027" s="29"/>
      <c r="C1027" s="29"/>
      <c r="D1027" s="30"/>
      <c r="E1027" s="33"/>
      <c r="F1027" s="89"/>
    </row>
    <row r="1028" spans="2:6" s="6" customFormat="1" x14ac:dyDescent="0.3">
      <c r="B1028" s="29"/>
      <c r="C1028" s="29"/>
      <c r="D1028" s="30"/>
      <c r="E1028" s="33"/>
      <c r="F1028" s="89"/>
    </row>
    <row r="1029" spans="2:6" s="6" customFormat="1" x14ac:dyDescent="0.3">
      <c r="B1029" s="29"/>
      <c r="C1029" s="29"/>
      <c r="D1029" s="30"/>
      <c r="E1029" s="33"/>
      <c r="F1029" s="89"/>
    </row>
    <row r="1030" spans="2:6" s="6" customFormat="1" x14ac:dyDescent="0.3">
      <c r="B1030" s="29"/>
      <c r="C1030" s="29"/>
      <c r="D1030" s="30"/>
      <c r="E1030" s="33"/>
      <c r="F1030" s="89"/>
    </row>
    <row r="1031" spans="2:6" s="6" customFormat="1" x14ac:dyDescent="0.3">
      <c r="B1031" s="29"/>
      <c r="C1031" s="29"/>
      <c r="D1031" s="30"/>
      <c r="E1031" s="33"/>
      <c r="F1031" s="89"/>
    </row>
    <row r="1032" spans="2:6" s="6" customFormat="1" x14ac:dyDescent="0.3">
      <c r="B1032" s="29"/>
      <c r="C1032" s="29"/>
      <c r="D1032" s="30"/>
      <c r="E1032" s="33"/>
      <c r="F1032" s="89"/>
    </row>
    <row r="1033" spans="2:6" s="6" customFormat="1" x14ac:dyDescent="0.3">
      <c r="B1033" s="29"/>
      <c r="C1033" s="29"/>
      <c r="D1033" s="30"/>
      <c r="E1033" s="33"/>
      <c r="F1033" s="89"/>
    </row>
    <row r="1034" spans="2:6" s="6" customFormat="1" x14ac:dyDescent="0.3">
      <c r="B1034" s="29"/>
      <c r="C1034" s="29"/>
      <c r="D1034" s="30"/>
      <c r="E1034" s="33"/>
      <c r="F1034" s="89"/>
    </row>
    <row r="1035" spans="2:6" s="6" customFormat="1" x14ac:dyDescent="0.3">
      <c r="B1035" s="29"/>
      <c r="C1035" s="29"/>
      <c r="D1035" s="30"/>
      <c r="E1035" s="33"/>
      <c r="F1035" s="89"/>
    </row>
    <row r="1036" spans="2:6" s="6" customFormat="1" x14ac:dyDescent="0.3">
      <c r="B1036" s="29"/>
      <c r="C1036" s="29"/>
      <c r="D1036" s="30"/>
      <c r="E1036" s="33"/>
      <c r="F1036" s="89"/>
    </row>
    <row r="1037" spans="2:6" s="6" customFormat="1" x14ac:dyDescent="0.3">
      <c r="B1037" s="29"/>
      <c r="C1037" s="29"/>
      <c r="D1037" s="30"/>
      <c r="E1037" s="33"/>
      <c r="F1037" s="89"/>
    </row>
    <row r="1038" spans="2:6" s="6" customFormat="1" x14ac:dyDescent="0.3">
      <c r="B1038" s="29"/>
      <c r="C1038" s="29"/>
      <c r="D1038" s="30"/>
      <c r="E1038" s="33"/>
      <c r="F1038" s="89"/>
    </row>
    <row r="1039" spans="2:6" s="6" customFormat="1" x14ac:dyDescent="0.3">
      <c r="B1039" s="29"/>
      <c r="C1039" s="29"/>
      <c r="D1039" s="30"/>
      <c r="E1039" s="33"/>
      <c r="F1039" s="89"/>
    </row>
    <row r="1040" spans="2:6" s="6" customFormat="1" x14ac:dyDescent="0.3">
      <c r="B1040" s="29"/>
      <c r="C1040" s="29"/>
      <c r="D1040" s="30"/>
      <c r="E1040" s="33"/>
      <c r="F1040" s="89"/>
    </row>
    <row r="1041" spans="2:6" s="6" customFormat="1" x14ac:dyDescent="0.3">
      <c r="B1041" s="29"/>
      <c r="C1041" s="29"/>
      <c r="D1041" s="30"/>
      <c r="E1041" s="33"/>
      <c r="F1041" s="89"/>
    </row>
    <row r="1042" spans="2:6" s="6" customFormat="1" x14ac:dyDescent="0.3">
      <c r="B1042" s="29"/>
      <c r="C1042" s="29"/>
      <c r="D1042" s="30"/>
      <c r="E1042" s="33"/>
      <c r="F1042" s="89"/>
    </row>
    <row r="1043" spans="2:6" s="6" customFormat="1" x14ac:dyDescent="0.3">
      <c r="B1043" s="29"/>
      <c r="C1043" s="29"/>
      <c r="D1043" s="30"/>
      <c r="E1043" s="33"/>
      <c r="F1043" s="89"/>
    </row>
    <row r="1044" spans="2:6" s="6" customFormat="1" x14ac:dyDescent="0.3">
      <c r="B1044" s="29"/>
      <c r="C1044" s="29"/>
      <c r="D1044" s="30"/>
      <c r="E1044" s="33"/>
      <c r="F1044" s="89"/>
    </row>
    <row r="1045" spans="2:6" s="6" customFormat="1" x14ac:dyDescent="0.3">
      <c r="B1045" s="29"/>
      <c r="C1045" s="29"/>
      <c r="D1045" s="30"/>
      <c r="E1045" s="33"/>
      <c r="F1045" s="89"/>
    </row>
    <row r="1046" spans="2:6" s="6" customFormat="1" x14ac:dyDescent="0.3">
      <c r="B1046" s="29"/>
      <c r="C1046" s="29"/>
      <c r="D1046" s="30"/>
      <c r="E1046" s="33"/>
      <c r="F1046" s="89"/>
    </row>
    <row r="1047" spans="2:6" s="6" customFormat="1" x14ac:dyDescent="0.3">
      <c r="B1047" s="29"/>
      <c r="C1047" s="29"/>
      <c r="D1047" s="30"/>
      <c r="E1047" s="33"/>
      <c r="F1047" s="89"/>
    </row>
    <row r="1048" spans="2:6" s="6" customFormat="1" x14ac:dyDescent="0.3">
      <c r="B1048" s="29"/>
      <c r="C1048" s="29"/>
      <c r="D1048" s="30"/>
      <c r="E1048" s="33"/>
      <c r="F1048" s="89"/>
    </row>
    <row r="1049" spans="2:6" s="6" customFormat="1" x14ac:dyDescent="0.3">
      <c r="B1049" s="29"/>
      <c r="C1049" s="29"/>
      <c r="D1049" s="30"/>
      <c r="E1049" s="33"/>
      <c r="F1049" s="89"/>
    </row>
    <row r="1050" spans="2:6" s="6" customFormat="1" x14ac:dyDescent="0.3">
      <c r="B1050" s="29"/>
      <c r="C1050" s="29"/>
      <c r="D1050" s="30"/>
      <c r="E1050" s="33"/>
      <c r="F1050" s="89"/>
    </row>
    <row r="1051" spans="2:6" s="6" customFormat="1" x14ac:dyDescent="0.3">
      <c r="B1051" s="29"/>
      <c r="C1051" s="29"/>
      <c r="D1051" s="30"/>
      <c r="E1051" s="33"/>
      <c r="F1051" s="89"/>
    </row>
    <row r="1052" spans="2:6" s="6" customFormat="1" x14ac:dyDescent="0.3">
      <c r="B1052" s="29"/>
      <c r="C1052" s="29"/>
      <c r="D1052" s="30"/>
      <c r="E1052" s="33"/>
      <c r="F1052" s="89"/>
    </row>
    <row r="1053" spans="2:6" s="6" customFormat="1" x14ac:dyDescent="0.3">
      <c r="B1053" s="29"/>
      <c r="C1053" s="29"/>
      <c r="D1053" s="30"/>
      <c r="E1053" s="33"/>
      <c r="F1053" s="89"/>
    </row>
    <row r="1054" spans="2:6" s="6" customFormat="1" x14ac:dyDescent="0.3">
      <c r="B1054" s="29"/>
      <c r="C1054" s="29"/>
      <c r="D1054" s="30"/>
      <c r="E1054" s="33"/>
      <c r="F1054" s="89"/>
    </row>
    <row r="1055" spans="2:6" s="6" customFormat="1" x14ac:dyDescent="0.3">
      <c r="B1055" s="29"/>
      <c r="C1055" s="29"/>
      <c r="D1055" s="30"/>
      <c r="E1055" s="33"/>
      <c r="F1055" s="89"/>
    </row>
    <row r="1056" spans="2:6" s="6" customFormat="1" x14ac:dyDescent="0.3">
      <c r="B1056" s="29"/>
      <c r="C1056" s="29"/>
      <c r="D1056" s="30"/>
      <c r="E1056" s="33"/>
      <c r="F1056" s="89"/>
    </row>
    <row r="1057" spans="2:6" s="6" customFormat="1" x14ac:dyDescent="0.3">
      <c r="B1057" s="29"/>
      <c r="C1057" s="29"/>
      <c r="D1057" s="30"/>
      <c r="E1057" s="33"/>
      <c r="F1057" s="89"/>
    </row>
    <row r="1058" spans="2:6" s="6" customFormat="1" x14ac:dyDescent="0.3">
      <c r="B1058" s="29"/>
      <c r="C1058" s="29"/>
      <c r="D1058" s="30"/>
      <c r="E1058" s="33"/>
      <c r="F1058" s="89"/>
    </row>
    <row r="1059" spans="2:6" s="6" customFormat="1" x14ac:dyDescent="0.3">
      <c r="B1059" s="29"/>
      <c r="C1059" s="29"/>
      <c r="D1059" s="30"/>
      <c r="E1059" s="33"/>
      <c r="F1059" s="89"/>
    </row>
    <row r="1060" spans="2:6" s="6" customFormat="1" x14ac:dyDescent="0.3">
      <c r="B1060" s="29"/>
      <c r="C1060" s="29"/>
      <c r="D1060" s="30"/>
      <c r="E1060" s="33"/>
      <c r="F1060" s="89"/>
    </row>
    <row r="1061" spans="2:6" s="6" customFormat="1" x14ac:dyDescent="0.3">
      <c r="B1061" s="29"/>
      <c r="C1061" s="29"/>
      <c r="D1061" s="30"/>
      <c r="E1061" s="33"/>
      <c r="F1061" s="89"/>
    </row>
    <row r="1062" spans="2:6" s="6" customFormat="1" x14ac:dyDescent="0.3">
      <c r="B1062" s="29"/>
      <c r="C1062" s="29"/>
      <c r="D1062" s="30"/>
      <c r="E1062" s="33"/>
      <c r="F1062" s="89"/>
    </row>
    <row r="1063" spans="2:6" s="6" customFormat="1" x14ac:dyDescent="0.3">
      <c r="B1063" s="29"/>
      <c r="C1063" s="29"/>
      <c r="D1063" s="30"/>
      <c r="E1063" s="33"/>
      <c r="F1063" s="89"/>
    </row>
    <row r="1064" spans="2:6" s="6" customFormat="1" x14ac:dyDescent="0.3">
      <c r="B1064" s="29"/>
      <c r="C1064" s="29"/>
      <c r="D1064" s="30"/>
      <c r="E1064" s="33"/>
      <c r="F1064" s="89"/>
    </row>
    <row r="1065" spans="2:6" s="6" customFormat="1" x14ac:dyDescent="0.3">
      <c r="B1065" s="29"/>
      <c r="C1065" s="29"/>
      <c r="D1065" s="30"/>
      <c r="E1065" s="33"/>
      <c r="F1065" s="89"/>
    </row>
    <row r="1066" spans="2:6" s="6" customFormat="1" x14ac:dyDescent="0.3">
      <c r="B1066" s="29"/>
      <c r="C1066" s="29"/>
      <c r="D1066" s="30"/>
      <c r="E1066" s="33"/>
      <c r="F1066" s="89"/>
    </row>
    <row r="1067" spans="2:6" s="6" customFormat="1" x14ac:dyDescent="0.3">
      <c r="B1067" s="29"/>
      <c r="C1067" s="29"/>
      <c r="D1067" s="30"/>
      <c r="E1067" s="33"/>
      <c r="F1067" s="89"/>
    </row>
    <row r="1068" spans="2:6" s="6" customFormat="1" x14ac:dyDescent="0.3">
      <c r="B1068" s="29"/>
      <c r="C1068" s="29"/>
      <c r="D1068" s="30"/>
      <c r="E1068" s="33"/>
      <c r="F1068" s="89"/>
    </row>
    <row r="1069" spans="2:6" s="6" customFormat="1" x14ac:dyDescent="0.3">
      <c r="B1069" s="29"/>
      <c r="C1069" s="29"/>
      <c r="D1069" s="30"/>
      <c r="E1069" s="33"/>
      <c r="F1069" s="89"/>
    </row>
    <row r="1070" spans="2:6" s="6" customFormat="1" x14ac:dyDescent="0.3">
      <c r="B1070" s="29"/>
      <c r="C1070" s="29"/>
      <c r="D1070" s="30"/>
      <c r="E1070" s="33"/>
      <c r="F1070" s="89"/>
    </row>
    <row r="1071" spans="2:6" s="6" customFormat="1" x14ac:dyDescent="0.3">
      <c r="B1071" s="29"/>
      <c r="C1071" s="29"/>
      <c r="D1071" s="30"/>
      <c r="E1071" s="33"/>
      <c r="F1071" s="89"/>
    </row>
    <row r="1072" spans="2:6" s="6" customFormat="1" x14ac:dyDescent="0.3">
      <c r="B1072" s="29"/>
      <c r="C1072" s="29"/>
      <c r="D1072" s="30"/>
      <c r="E1072" s="33"/>
      <c r="F1072" s="89"/>
    </row>
    <row r="1073" spans="2:6" s="6" customFormat="1" x14ac:dyDescent="0.3">
      <c r="B1073" s="29"/>
      <c r="C1073" s="29"/>
      <c r="D1073" s="30"/>
      <c r="E1073" s="33"/>
      <c r="F1073" s="89"/>
    </row>
    <row r="1074" spans="2:6" s="6" customFormat="1" x14ac:dyDescent="0.3">
      <c r="B1074" s="29"/>
      <c r="C1074" s="29"/>
      <c r="D1074" s="30"/>
      <c r="E1074" s="33"/>
      <c r="F1074" s="89"/>
    </row>
    <row r="1075" spans="2:6" s="6" customFormat="1" x14ac:dyDescent="0.3">
      <c r="B1075" s="29"/>
      <c r="C1075" s="29"/>
      <c r="D1075" s="30"/>
      <c r="E1075" s="33"/>
      <c r="F1075" s="89"/>
    </row>
    <row r="1076" spans="2:6" s="6" customFormat="1" x14ac:dyDescent="0.3">
      <c r="B1076" s="29"/>
      <c r="C1076" s="29"/>
      <c r="D1076" s="30"/>
      <c r="E1076" s="33"/>
      <c r="F1076" s="89"/>
    </row>
    <row r="1077" spans="2:6" s="6" customFormat="1" x14ac:dyDescent="0.3">
      <c r="B1077" s="29"/>
      <c r="C1077" s="29"/>
      <c r="D1077" s="30"/>
      <c r="E1077" s="33"/>
      <c r="F1077" s="89"/>
    </row>
    <row r="1078" spans="2:6" s="6" customFormat="1" x14ac:dyDescent="0.3">
      <c r="B1078" s="29"/>
      <c r="C1078" s="29"/>
      <c r="D1078" s="30"/>
      <c r="E1078" s="33"/>
      <c r="F1078" s="89"/>
    </row>
    <row r="1079" spans="2:6" s="6" customFormat="1" x14ac:dyDescent="0.3">
      <c r="B1079" s="29"/>
      <c r="C1079" s="29"/>
      <c r="D1079" s="30"/>
      <c r="E1079" s="33"/>
      <c r="F1079" s="89"/>
    </row>
    <row r="1080" spans="2:6" s="6" customFormat="1" x14ac:dyDescent="0.3">
      <c r="B1080" s="29"/>
      <c r="C1080" s="29"/>
      <c r="D1080" s="30"/>
      <c r="E1080" s="33"/>
      <c r="F1080" s="89"/>
    </row>
    <row r="1081" spans="2:6" s="6" customFormat="1" x14ac:dyDescent="0.3">
      <c r="B1081" s="29"/>
      <c r="C1081" s="29"/>
      <c r="D1081" s="30"/>
      <c r="E1081" s="33"/>
      <c r="F1081" s="89"/>
    </row>
    <row r="1082" spans="2:6" s="6" customFormat="1" x14ac:dyDescent="0.3">
      <c r="B1082" s="29"/>
      <c r="C1082" s="29"/>
      <c r="D1082" s="30"/>
      <c r="E1082" s="33"/>
      <c r="F1082" s="89"/>
    </row>
    <row r="1083" spans="2:6" s="6" customFormat="1" x14ac:dyDescent="0.3">
      <c r="B1083" s="29"/>
      <c r="C1083" s="29"/>
      <c r="D1083" s="30"/>
      <c r="E1083" s="33"/>
      <c r="F1083" s="89"/>
    </row>
    <row r="1084" spans="2:6" s="6" customFormat="1" x14ac:dyDescent="0.3">
      <c r="B1084" s="29"/>
      <c r="C1084" s="29"/>
      <c r="D1084" s="30"/>
      <c r="E1084" s="33"/>
      <c r="F1084" s="89"/>
    </row>
    <row r="1085" spans="2:6" s="6" customFormat="1" x14ac:dyDescent="0.3">
      <c r="B1085" s="29"/>
      <c r="C1085" s="29"/>
      <c r="D1085" s="30"/>
      <c r="E1085" s="33"/>
      <c r="F1085" s="89"/>
    </row>
    <row r="1086" spans="2:6" s="6" customFormat="1" x14ac:dyDescent="0.3">
      <c r="B1086" s="29"/>
      <c r="C1086" s="29"/>
      <c r="D1086" s="30"/>
      <c r="E1086" s="33"/>
      <c r="F1086" s="89"/>
    </row>
    <row r="1087" spans="2:6" s="6" customFormat="1" x14ac:dyDescent="0.3">
      <c r="B1087" s="29"/>
      <c r="C1087" s="29"/>
      <c r="D1087" s="30"/>
      <c r="E1087" s="33"/>
      <c r="F1087" s="89"/>
    </row>
    <row r="1088" spans="2:6" s="6" customFormat="1" x14ac:dyDescent="0.3">
      <c r="B1088" s="29"/>
      <c r="C1088" s="29"/>
      <c r="D1088" s="30"/>
      <c r="E1088" s="33"/>
      <c r="F1088" s="89"/>
    </row>
    <row r="1089" spans="2:6" s="6" customFormat="1" x14ac:dyDescent="0.3">
      <c r="B1089" s="29"/>
      <c r="C1089" s="29"/>
      <c r="D1089" s="30"/>
      <c r="E1089" s="33"/>
      <c r="F1089" s="89"/>
    </row>
    <row r="1090" spans="2:6" s="6" customFormat="1" x14ac:dyDescent="0.3">
      <c r="B1090" s="29"/>
      <c r="C1090" s="29"/>
      <c r="D1090" s="30"/>
      <c r="E1090" s="33"/>
      <c r="F1090" s="89"/>
    </row>
    <row r="1091" spans="2:6" s="6" customFormat="1" x14ac:dyDescent="0.3">
      <c r="B1091" s="29"/>
      <c r="C1091" s="29"/>
      <c r="D1091" s="30"/>
      <c r="E1091" s="33"/>
      <c r="F1091" s="89"/>
    </row>
    <row r="1092" spans="2:6" s="6" customFormat="1" x14ac:dyDescent="0.3">
      <c r="B1092" s="29"/>
      <c r="C1092" s="29"/>
      <c r="D1092" s="30"/>
      <c r="E1092" s="33"/>
      <c r="F1092" s="89"/>
    </row>
    <row r="1093" spans="2:6" s="6" customFormat="1" x14ac:dyDescent="0.3">
      <c r="B1093" s="29"/>
      <c r="C1093" s="29"/>
      <c r="D1093" s="30"/>
      <c r="E1093" s="33"/>
      <c r="F1093" s="89"/>
    </row>
    <row r="1094" spans="2:6" s="6" customFormat="1" x14ac:dyDescent="0.3">
      <c r="B1094" s="29"/>
      <c r="C1094" s="29"/>
      <c r="D1094" s="30"/>
      <c r="E1094" s="33"/>
      <c r="F1094" s="89"/>
    </row>
    <row r="1095" spans="2:6" s="6" customFormat="1" x14ac:dyDescent="0.3">
      <c r="B1095" s="29"/>
      <c r="C1095" s="29"/>
      <c r="D1095" s="30"/>
      <c r="E1095" s="33"/>
      <c r="F1095" s="89"/>
    </row>
    <row r="1096" spans="2:6" s="6" customFormat="1" x14ac:dyDescent="0.3">
      <c r="B1096" s="29"/>
      <c r="C1096" s="29"/>
      <c r="D1096" s="30"/>
      <c r="E1096" s="33"/>
      <c r="F1096" s="89"/>
    </row>
    <row r="1097" spans="2:6" s="6" customFormat="1" x14ac:dyDescent="0.3">
      <c r="B1097" s="29"/>
      <c r="C1097" s="29"/>
      <c r="D1097" s="30"/>
      <c r="E1097" s="33"/>
      <c r="F1097" s="89"/>
    </row>
    <row r="1098" spans="2:6" s="6" customFormat="1" x14ac:dyDescent="0.3">
      <c r="B1098" s="29"/>
      <c r="C1098" s="29"/>
      <c r="D1098" s="30"/>
      <c r="E1098" s="33"/>
      <c r="F1098" s="89"/>
    </row>
    <row r="1099" spans="2:6" s="6" customFormat="1" x14ac:dyDescent="0.3">
      <c r="B1099" s="29"/>
      <c r="C1099" s="29"/>
      <c r="D1099" s="30"/>
      <c r="E1099" s="33"/>
      <c r="F1099" s="89"/>
    </row>
    <row r="1100" spans="2:6" s="6" customFormat="1" x14ac:dyDescent="0.3">
      <c r="B1100" s="29"/>
      <c r="C1100" s="29"/>
      <c r="D1100" s="30"/>
      <c r="E1100" s="33"/>
      <c r="F1100" s="89"/>
    </row>
    <row r="1101" spans="2:6" s="6" customFormat="1" x14ac:dyDescent="0.3">
      <c r="B1101" s="29"/>
      <c r="C1101" s="29"/>
      <c r="D1101" s="30"/>
      <c r="E1101" s="33"/>
      <c r="F1101" s="89"/>
    </row>
    <row r="1102" spans="2:6" s="6" customFormat="1" x14ac:dyDescent="0.3">
      <c r="B1102" s="29"/>
      <c r="C1102" s="29"/>
      <c r="D1102" s="30"/>
      <c r="E1102" s="33"/>
      <c r="F1102" s="89"/>
    </row>
    <row r="1103" spans="2:6" s="6" customFormat="1" x14ac:dyDescent="0.3">
      <c r="B1103" s="29"/>
      <c r="C1103" s="29"/>
      <c r="D1103" s="30"/>
      <c r="E1103" s="33"/>
      <c r="F1103" s="89"/>
    </row>
    <row r="1104" spans="2:6" s="6" customFormat="1" x14ac:dyDescent="0.3">
      <c r="B1104" s="29"/>
      <c r="C1104" s="29"/>
      <c r="D1104" s="30"/>
      <c r="E1104" s="33"/>
      <c r="F1104" s="89"/>
    </row>
    <row r="1105" spans="2:6" s="6" customFormat="1" x14ac:dyDescent="0.3">
      <c r="B1105" s="29"/>
      <c r="C1105" s="29"/>
      <c r="D1105" s="30"/>
      <c r="E1105" s="33"/>
      <c r="F1105" s="89"/>
    </row>
    <row r="1106" spans="2:6" s="6" customFormat="1" x14ac:dyDescent="0.3">
      <c r="B1106" s="29"/>
      <c r="C1106" s="29"/>
      <c r="D1106" s="30"/>
      <c r="E1106" s="33"/>
      <c r="F1106" s="89"/>
    </row>
    <row r="1107" spans="2:6" s="6" customFormat="1" x14ac:dyDescent="0.3">
      <c r="B1107" s="29"/>
      <c r="C1107" s="29"/>
      <c r="D1107" s="30"/>
      <c r="E1107" s="33"/>
      <c r="F1107" s="89"/>
    </row>
    <row r="1108" spans="2:6" s="6" customFormat="1" x14ac:dyDescent="0.3">
      <c r="B1108" s="29"/>
      <c r="C1108" s="29"/>
      <c r="D1108" s="30"/>
      <c r="E1108" s="33"/>
      <c r="F1108" s="89"/>
    </row>
    <row r="1109" spans="2:6" s="6" customFormat="1" x14ac:dyDescent="0.3">
      <c r="B1109" s="29"/>
      <c r="C1109" s="29"/>
      <c r="D1109" s="30"/>
      <c r="E1109" s="33"/>
      <c r="F1109" s="89"/>
    </row>
    <row r="1110" spans="2:6" s="6" customFormat="1" x14ac:dyDescent="0.3">
      <c r="B1110" s="29"/>
      <c r="C1110" s="29"/>
      <c r="D1110" s="30"/>
      <c r="E1110" s="33"/>
      <c r="F1110" s="89"/>
    </row>
    <row r="1111" spans="2:6" s="6" customFormat="1" x14ac:dyDescent="0.3">
      <c r="B1111" s="29"/>
      <c r="C1111" s="29"/>
      <c r="D1111" s="30"/>
      <c r="E1111" s="33"/>
      <c r="F1111" s="89"/>
    </row>
    <row r="1112" spans="2:6" s="6" customFormat="1" x14ac:dyDescent="0.3">
      <c r="B1112" s="29"/>
      <c r="C1112" s="29"/>
      <c r="D1112" s="30"/>
      <c r="E1112" s="33"/>
      <c r="F1112" s="89"/>
    </row>
    <row r="1113" spans="2:6" s="6" customFormat="1" x14ac:dyDescent="0.3">
      <c r="B1113" s="29"/>
      <c r="C1113" s="29"/>
      <c r="D1113" s="30"/>
      <c r="E1113" s="33"/>
      <c r="F1113" s="89"/>
    </row>
    <row r="1114" spans="2:6" s="6" customFormat="1" x14ac:dyDescent="0.3">
      <c r="B1114" s="29"/>
      <c r="C1114" s="29"/>
      <c r="D1114" s="30"/>
      <c r="E1114" s="33"/>
      <c r="F1114" s="89"/>
    </row>
    <row r="1115" spans="2:6" s="6" customFormat="1" x14ac:dyDescent="0.3">
      <c r="B1115" s="29"/>
      <c r="C1115" s="29"/>
      <c r="D1115" s="30"/>
      <c r="E1115" s="33"/>
      <c r="F1115" s="89"/>
    </row>
    <row r="1116" spans="2:6" s="6" customFormat="1" x14ac:dyDescent="0.3">
      <c r="B1116" s="29"/>
      <c r="C1116" s="29"/>
      <c r="D1116" s="30"/>
      <c r="E1116" s="33"/>
      <c r="F1116" s="89"/>
    </row>
    <row r="1117" spans="2:6" s="6" customFormat="1" x14ac:dyDescent="0.3">
      <c r="B1117" s="29"/>
      <c r="C1117" s="29"/>
      <c r="D1117" s="30"/>
      <c r="E1117" s="33"/>
      <c r="F1117" s="89"/>
    </row>
    <row r="1118" spans="2:6" s="6" customFormat="1" x14ac:dyDescent="0.3">
      <c r="B1118" s="29"/>
      <c r="C1118" s="29"/>
      <c r="D1118" s="30"/>
      <c r="E1118" s="33"/>
      <c r="F1118" s="89"/>
    </row>
    <row r="1119" spans="2:6" s="6" customFormat="1" x14ac:dyDescent="0.3">
      <c r="B1119" s="29"/>
      <c r="C1119" s="29"/>
      <c r="D1119" s="30"/>
      <c r="E1119" s="33"/>
      <c r="F1119" s="89"/>
    </row>
    <row r="1120" spans="2:6" s="6" customFormat="1" x14ac:dyDescent="0.3">
      <c r="B1120" s="29"/>
      <c r="C1120" s="29"/>
      <c r="D1120" s="30"/>
      <c r="E1120" s="33"/>
      <c r="F1120" s="89"/>
    </row>
    <row r="1121" spans="2:6" s="6" customFormat="1" x14ac:dyDescent="0.3">
      <c r="B1121" s="29"/>
      <c r="C1121" s="29"/>
      <c r="D1121" s="30"/>
      <c r="E1121" s="33"/>
      <c r="F1121" s="89"/>
    </row>
    <row r="1122" spans="2:6" s="6" customFormat="1" x14ac:dyDescent="0.3">
      <c r="B1122" s="29"/>
      <c r="C1122" s="29"/>
      <c r="D1122" s="30"/>
      <c r="E1122" s="33"/>
      <c r="F1122" s="89"/>
    </row>
    <row r="1123" spans="2:6" s="6" customFormat="1" x14ac:dyDescent="0.3">
      <c r="B1123" s="29"/>
      <c r="C1123" s="29"/>
      <c r="D1123" s="30"/>
      <c r="E1123" s="33"/>
      <c r="F1123" s="89"/>
    </row>
    <row r="1124" spans="2:6" s="6" customFormat="1" x14ac:dyDescent="0.3">
      <c r="B1124" s="29"/>
      <c r="C1124" s="29"/>
      <c r="D1124" s="30"/>
      <c r="E1124" s="33"/>
      <c r="F1124" s="89"/>
    </row>
    <row r="1125" spans="2:6" s="6" customFormat="1" x14ac:dyDescent="0.3">
      <c r="B1125" s="29"/>
      <c r="C1125" s="29"/>
      <c r="D1125" s="30"/>
      <c r="E1125" s="33"/>
      <c r="F1125" s="89"/>
    </row>
    <row r="1126" spans="2:6" s="6" customFormat="1" x14ac:dyDescent="0.3">
      <c r="B1126" s="29"/>
      <c r="C1126" s="29"/>
      <c r="D1126" s="30"/>
      <c r="E1126" s="33"/>
      <c r="F1126" s="89"/>
    </row>
    <row r="1127" spans="2:6" s="6" customFormat="1" x14ac:dyDescent="0.3">
      <c r="B1127" s="29"/>
      <c r="C1127" s="29"/>
      <c r="D1127" s="30"/>
      <c r="E1127" s="33"/>
      <c r="F1127" s="89"/>
    </row>
    <row r="1128" spans="2:6" s="6" customFormat="1" x14ac:dyDescent="0.3">
      <c r="B1128" s="29"/>
      <c r="C1128" s="29"/>
      <c r="D1128" s="30"/>
      <c r="E1128" s="33"/>
      <c r="F1128" s="89"/>
    </row>
    <row r="1129" spans="2:6" s="6" customFormat="1" x14ac:dyDescent="0.3">
      <c r="B1129" s="29"/>
      <c r="C1129" s="29"/>
      <c r="D1129" s="30"/>
      <c r="E1129" s="33"/>
      <c r="F1129" s="89"/>
    </row>
    <row r="1130" spans="2:6" s="6" customFormat="1" x14ac:dyDescent="0.3">
      <c r="B1130" s="29"/>
      <c r="C1130" s="29"/>
      <c r="D1130" s="30"/>
      <c r="E1130" s="33"/>
      <c r="F1130" s="89"/>
    </row>
    <row r="1131" spans="2:6" s="6" customFormat="1" x14ac:dyDescent="0.3">
      <c r="B1131" s="29"/>
      <c r="C1131" s="29"/>
      <c r="D1131" s="30"/>
      <c r="E1131" s="33"/>
      <c r="F1131" s="89"/>
    </row>
    <row r="1132" spans="2:6" s="6" customFormat="1" x14ac:dyDescent="0.3">
      <c r="B1132" s="29"/>
      <c r="C1132" s="29"/>
      <c r="D1132" s="30"/>
      <c r="E1132" s="33"/>
      <c r="F1132" s="89"/>
    </row>
    <row r="1133" spans="2:6" s="6" customFormat="1" x14ac:dyDescent="0.3">
      <c r="B1133" s="29"/>
      <c r="C1133" s="29"/>
      <c r="D1133" s="30"/>
      <c r="E1133" s="33"/>
      <c r="F1133" s="89"/>
    </row>
    <row r="1134" spans="2:6" s="6" customFormat="1" x14ac:dyDescent="0.3">
      <c r="B1134" s="29"/>
      <c r="C1134" s="29"/>
      <c r="D1134" s="30"/>
      <c r="E1134" s="33"/>
      <c r="F1134" s="89"/>
    </row>
    <row r="1135" spans="2:6" s="6" customFormat="1" x14ac:dyDescent="0.3">
      <c r="B1135" s="29"/>
      <c r="C1135" s="29"/>
      <c r="D1135" s="30"/>
      <c r="E1135" s="33"/>
      <c r="F1135" s="89"/>
    </row>
    <row r="1136" spans="2:6" s="6" customFormat="1" x14ac:dyDescent="0.3">
      <c r="B1136" s="29"/>
      <c r="C1136" s="29"/>
      <c r="D1136" s="30"/>
      <c r="E1136" s="33"/>
      <c r="F1136" s="89"/>
    </row>
    <row r="1137" spans="2:6" s="6" customFormat="1" x14ac:dyDescent="0.3">
      <c r="B1137" s="29"/>
      <c r="C1137" s="29"/>
      <c r="D1137" s="30"/>
      <c r="E1137" s="33"/>
      <c r="F1137" s="89"/>
    </row>
    <row r="1138" spans="2:6" s="6" customFormat="1" x14ac:dyDescent="0.3">
      <c r="B1138" s="29"/>
      <c r="C1138" s="29"/>
      <c r="D1138" s="30"/>
      <c r="E1138" s="33"/>
      <c r="F1138" s="89"/>
    </row>
    <row r="1139" spans="2:6" s="6" customFormat="1" x14ac:dyDescent="0.3">
      <c r="B1139" s="29"/>
      <c r="C1139" s="29"/>
      <c r="D1139" s="30"/>
      <c r="E1139" s="33"/>
      <c r="F1139" s="89"/>
    </row>
    <row r="1140" spans="2:6" s="6" customFormat="1" x14ac:dyDescent="0.3">
      <c r="B1140" s="29"/>
      <c r="C1140" s="29"/>
      <c r="D1140" s="30"/>
      <c r="E1140" s="33"/>
      <c r="F1140" s="89"/>
    </row>
    <row r="1141" spans="2:6" s="6" customFormat="1" x14ac:dyDescent="0.3">
      <c r="B1141" s="29"/>
      <c r="C1141" s="29"/>
      <c r="D1141" s="30"/>
      <c r="E1141" s="33"/>
      <c r="F1141" s="89"/>
    </row>
    <row r="1142" spans="2:6" s="6" customFormat="1" x14ac:dyDescent="0.3">
      <c r="B1142" s="29"/>
      <c r="C1142" s="29"/>
      <c r="D1142" s="30"/>
      <c r="E1142" s="33"/>
      <c r="F1142" s="89"/>
    </row>
    <row r="1143" spans="2:6" s="6" customFormat="1" x14ac:dyDescent="0.3">
      <c r="B1143" s="29"/>
      <c r="C1143" s="29"/>
      <c r="D1143" s="30"/>
      <c r="E1143" s="33"/>
      <c r="F1143" s="89"/>
    </row>
    <row r="1144" spans="2:6" s="6" customFormat="1" x14ac:dyDescent="0.3">
      <c r="B1144" s="29"/>
      <c r="C1144" s="29"/>
      <c r="D1144" s="30"/>
      <c r="E1144" s="33"/>
      <c r="F1144" s="89"/>
    </row>
    <row r="1145" spans="2:6" s="6" customFormat="1" x14ac:dyDescent="0.3">
      <c r="B1145" s="29"/>
      <c r="C1145" s="29"/>
      <c r="D1145" s="30"/>
      <c r="E1145" s="33"/>
      <c r="F1145" s="89"/>
    </row>
    <row r="1146" spans="2:6" s="6" customFormat="1" x14ac:dyDescent="0.3">
      <c r="B1146" s="29"/>
      <c r="C1146" s="29"/>
      <c r="D1146" s="30"/>
      <c r="E1146" s="33"/>
      <c r="F1146" s="89"/>
    </row>
    <row r="1147" spans="2:6" s="6" customFormat="1" x14ac:dyDescent="0.3">
      <c r="B1147" s="29"/>
      <c r="C1147" s="29"/>
      <c r="D1147" s="30"/>
      <c r="E1147" s="33"/>
      <c r="F1147" s="89"/>
    </row>
    <row r="1148" spans="2:6" s="6" customFormat="1" x14ac:dyDescent="0.3">
      <c r="B1148" s="29"/>
      <c r="C1148" s="29"/>
      <c r="D1148" s="30"/>
      <c r="E1148" s="33"/>
      <c r="F1148" s="89"/>
    </row>
    <row r="1149" spans="2:6" s="6" customFormat="1" x14ac:dyDescent="0.3">
      <c r="B1149" s="29"/>
      <c r="C1149" s="29"/>
      <c r="D1149" s="30"/>
      <c r="E1149" s="33"/>
      <c r="F1149" s="89"/>
    </row>
    <row r="1150" spans="2:6" s="6" customFormat="1" x14ac:dyDescent="0.3">
      <c r="B1150" s="29"/>
      <c r="C1150" s="29"/>
      <c r="D1150" s="30"/>
      <c r="E1150" s="33"/>
      <c r="F1150" s="89"/>
    </row>
    <row r="1151" spans="2:6" s="6" customFormat="1" x14ac:dyDescent="0.3">
      <c r="B1151" s="29"/>
      <c r="C1151" s="29"/>
      <c r="D1151" s="30"/>
      <c r="E1151" s="33"/>
      <c r="F1151" s="89"/>
    </row>
    <row r="1152" spans="2:6" s="6" customFormat="1" x14ac:dyDescent="0.3">
      <c r="B1152" s="29"/>
      <c r="C1152" s="29"/>
      <c r="D1152" s="30"/>
      <c r="E1152" s="33"/>
      <c r="F1152" s="89"/>
    </row>
    <row r="1153" spans="2:6" s="6" customFormat="1" x14ac:dyDescent="0.3">
      <c r="B1153" s="29"/>
      <c r="C1153" s="29"/>
      <c r="D1153" s="30"/>
      <c r="E1153" s="33"/>
      <c r="F1153" s="89"/>
    </row>
    <row r="1154" spans="2:6" s="6" customFormat="1" x14ac:dyDescent="0.3">
      <c r="B1154" s="29"/>
      <c r="C1154" s="29"/>
      <c r="D1154" s="30"/>
      <c r="E1154" s="33"/>
      <c r="F1154" s="89"/>
    </row>
    <row r="1155" spans="2:6" s="6" customFormat="1" x14ac:dyDescent="0.3">
      <c r="B1155" s="29"/>
      <c r="C1155" s="29"/>
      <c r="D1155" s="30"/>
      <c r="E1155" s="33"/>
      <c r="F1155" s="89"/>
    </row>
    <row r="1156" spans="2:6" s="6" customFormat="1" x14ac:dyDescent="0.3">
      <c r="B1156" s="29"/>
      <c r="C1156" s="29"/>
      <c r="D1156" s="30"/>
      <c r="E1156" s="33"/>
      <c r="F1156" s="89"/>
    </row>
    <row r="1157" spans="2:6" s="6" customFormat="1" x14ac:dyDescent="0.3">
      <c r="B1157" s="29"/>
      <c r="C1157" s="29"/>
      <c r="D1157" s="30"/>
      <c r="E1157" s="33"/>
      <c r="F1157" s="89"/>
    </row>
    <row r="1158" spans="2:6" s="6" customFormat="1" x14ac:dyDescent="0.3">
      <c r="B1158" s="29"/>
      <c r="C1158" s="29"/>
      <c r="D1158" s="30"/>
      <c r="E1158" s="33"/>
      <c r="F1158" s="89"/>
    </row>
    <row r="1159" spans="2:6" s="6" customFormat="1" x14ac:dyDescent="0.3">
      <c r="B1159" s="29"/>
      <c r="C1159" s="29"/>
      <c r="D1159" s="30"/>
      <c r="E1159" s="33"/>
      <c r="F1159" s="89"/>
    </row>
    <row r="1160" spans="2:6" s="6" customFormat="1" x14ac:dyDescent="0.3">
      <c r="B1160" s="29"/>
      <c r="C1160" s="29"/>
      <c r="D1160" s="30"/>
      <c r="E1160" s="33"/>
      <c r="F1160" s="89"/>
    </row>
    <row r="1161" spans="2:6" s="6" customFormat="1" x14ac:dyDescent="0.3">
      <c r="B1161" s="29"/>
      <c r="C1161" s="29"/>
      <c r="D1161" s="30"/>
      <c r="E1161" s="33"/>
      <c r="F1161" s="89"/>
    </row>
    <row r="1162" spans="2:6" s="6" customFormat="1" x14ac:dyDescent="0.3">
      <c r="B1162" s="29"/>
      <c r="C1162" s="29"/>
      <c r="D1162" s="30"/>
      <c r="E1162" s="33"/>
      <c r="F1162" s="89"/>
    </row>
    <row r="1163" spans="2:6" s="6" customFormat="1" x14ac:dyDescent="0.3">
      <c r="B1163" s="29"/>
      <c r="C1163" s="29"/>
      <c r="D1163" s="30"/>
      <c r="E1163" s="33"/>
      <c r="F1163" s="89"/>
    </row>
    <row r="1164" spans="2:6" s="6" customFormat="1" x14ac:dyDescent="0.3">
      <c r="B1164" s="29"/>
      <c r="C1164" s="29"/>
      <c r="D1164" s="30"/>
      <c r="E1164" s="33"/>
      <c r="F1164" s="89"/>
    </row>
    <row r="1165" spans="2:6" s="6" customFormat="1" x14ac:dyDescent="0.3">
      <c r="B1165" s="29"/>
      <c r="C1165" s="29"/>
      <c r="D1165" s="30"/>
      <c r="E1165" s="33"/>
      <c r="F1165" s="89"/>
    </row>
    <row r="1166" spans="2:6" s="6" customFormat="1" x14ac:dyDescent="0.3">
      <c r="B1166" s="29"/>
      <c r="C1166" s="29"/>
      <c r="D1166" s="30"/>
      <c r="E1166" s="33"/>
      <c r="F1166" s="89"/>
    </row>
    <row r="1167" spans="2:6" s="6" customFormat="1" x14ac:dyDescent="0.3">
      <c r="B1167" s="29"/>
      <c r="C1167" s="29"/>
      <c r="D1167" s="30"/>
      <c r="E1167" s="33"/>
      <c r="F1167" s="89"/>
    </row>
    <row r="1168" spans="2:6" s="6" customFormat="1" x14ac:dyDescent="0.3">
      <c r="B1168" s="29"/>
      <c r="C1168" s="29"/>
      <c r="D1168" s="30"/>
      <c r="E1168" s="33"/>
      <c r="F1168" s="89"/>
    </row>
    <row r="1169" spans="2:6" s="6" customFormat="1" x14ac:dyDescent="0.3">
      <c r="B1169" s="29"/>
      <c r="C1169" s="29"/>
      <c r="D1169" s="30"/>
      <c r="E1169" s="33"/>
      <c r="F1169" s="89"/>
    </row>
    <row r="1170" spans="2:6" s="6" customFormat="1" x14ac:dyDescent="0.3">
      <c r="B1170" s="29"/>
      <c r="C1170" s="29"/>
      <c r="D1170" s="30"/>
      <c r="E1170" s="33"/>
      <c r="F1170" s="89"/>
    </row>
    <row r="1171" spans="2:6" s="6" customFormat="1" x14ac:dyDescent="0.3">
      <c r="B1171" s="29"/>
      <c r="C1171" s="29"/>
      <c r="D1171" s="30"/>
      <c r="E1171" s="33"/>
      <c r="F1171" s="89"/>
    </row>
    <row r="1172" spans="2:6" s="6" customFormat="1" x14ac:dyDescent="0.3">
      <c r="B1172" s="29"/>
      <c r="C1172" s="29"/>
      <c r="D1172" s="30"/>
      <c r="E1172" s="33"/>
      <c r="F1172" s="89"/>
    </row>
    <row r="1173" spans="2:6" s="6" customFormat="1" x14ac:dyDescent="0.3">
      <c r="B1173" s="29"/>
      <c r="C1173" s="29"/>
      <c r="D1173" s="30"/>
      <c r="E1173" s="33"/>
      <c r="F1173" s="89"/>
    </row>
    <row r="1174" spans="2:6" s="6" customFormat="1" x14ac:dyDescent="0.3">
      <c r="B1174" s="29"/>
      <c r="C1174" s="29"/>
      <c r="D1174" s="30"/>
      <c r="E1174" s="33"/>
      <c r="F1174" s="89"/>
    </row>
    <row r="1175" spans="2:6" s="6" customFormat="1" x14ac:dyDescent="0.3">
      <c r="B1175" s="29"/>
      <c r="C1175" s="29"/>
      <c r="D1175" s="30"/>
      <c r="E1175" s="33"/>
      <c r="F1175" s="89"/>
    </row>
    <row r="1176" spans="2:6" s="6" customFormat="1" x14ac:dyDescent="0.3">
      <c r="B1176" s="29"/>
      <c r="C1176" s="29"/>
      <c r="D1176" s="30"/>
      <c r="E1176" s="33"/>
      <c r="F1176" s="89"/>
    </row>
    <row r="1177" spans="2:6" s="6" customFormat="1" x14ac:dyDescent="0.3">
      <c r="B1177" s="29"/>
      <c r="C1177" s="29"/>
      <c r="D1177" s="30"/>
      <c r="E1177" s="33"/>
      <c r="F1177" s="89"/>
    </row>
    <row r="1178" spans="2:6" s="6" customFormat="1" x14ac:dyDescent="0.3">
      <c r="B1178" s="29"/>
      <c r="C1178" s="29"/>
      <c r="D1178" s="30"/>
      <c r="E1178" s="33"/>
      <c r="F1178" s="89"/>
    </row>
    <row r="1179" spans="2:6" s="6" customFormat="1" x14ac:dyDescent="0.3">
      <c r="B1179" s="29"/>
      <c r="C1179" s="29"/>
      <c r="D1179" s="30"/>
      <c r="E1179" s="33"/>
      <c r="F1179" s="89"/>
    </row>
    <row r="1180" spans="2:6" s="6" customFormat="1" x14ac:dyDescent="0.3">
      <c r="B1180" s="29"/>
      <c r="C1180" s="29"/>
      <c r="D1180" s="30"/>
      <c r="E1180" s="33"/>
      <c r="F1180" s="89"/>
    </row>
    <row r="1181" spans="2:6" s="6" customFormat="1" x14ac:dyDescent="0.3">
      <c r="B1181" s="29"/>
      <c r="C1181" s="29"/>
      <c r="D1181" s="30"/>
      <c r="E1181" s="33"/>
      <c r="F1181" s="89"/>
    </row>
    <row r="1182" spans="2:6" s="6" customFormat="1" x14ac:dyDescent="0.3">
      <c r="B1182" s="29"/>
      <c r="C1182" s="29"/>
      <c r="D1182" s="30"/>
      <c r="E1182" s="33"/>
      <c r="F1182" s="89"/>
    </row>
    <row r="1183" spans="2:6" s="6" customFormat="1" x14ac:dyDescent="0.3">
      <c r="B1183" s="29"/>
      <c r="C1183" s="29"/>
      <c r="D1183" s="30"/>
      <c r="E1183" s="33"/>
      <c r="F1183" s="89"/>
    </row>
    <row r="1184" spans="2:6" s="6" customFormat="1" x14ac:dyDescent="0.3">
      <c r="B1184" s="29"/>
      <c r="C1184" s="29"/>
      <c r="D1184" s="30"/>
      <c r="E1184" s="33"/>
      <c r="F1184" s="89"/>
    </row>
    <row r="1185" spans="2:6" s="6" customFormat="1" x14ac:dyDescent="0.3">
      <c r="B1185" s="29"/>
      <c r="C1185" s="29"/>
      <c r="D1185" s="30"/>
      <c r="E1185" s="33"/>
      <c r="F1185" s="89"/>
    </row>
    <row r="1186" spans="2:6" s="6" customFormat="1" x14ac:dyDescent="0.3">
      <c r="B1186" s="29"/>
      <c r="C1186" s="29"/>
      <c r="D1186" s="30"/>
      <c r="E1186" s="33"/>
      <c r="F1186" s="89"/>
    </row>
    <row r="1187" spans="2:6" s="6" customFormat="1" x14ac:dyDescent="0.3">
      <c r="B1187" s="29"/>
      <c r="C1187" s="29"/>
      <c r="D1187" s="30"/>
      <c r="E1187" s="33"/>
      <c r="F1187" s="89"/>
    </row>
    <row r="1188" spans="2:6" s="6" customFormat="1" x14ac:dyDescent="0.3">
      <c r="B1188" s="29"/>
      <c r="C1188" s="29"/>
      <c r="D1188" s="30"/>
      <c r="E1188" s="33"/>
      <c r="F1188" s="89"/>
    </row>
    <row r="1189" spans="2:6" s="6" customFormat="1" x14ac:dyDescent="0.3">
      <c r="B1189" s="29"/>
      <c r="C1189" s="29"/>
      <c r="D1189" s="30"/>
      <c r="E1189" s="33"/>
      <c r="F1189" s="89"/>
    </row>
    <row r="1190" spans="2:6" s="6" customFormat="1" x14ac:dyDescent="0.3">
      <c r="B1190" s="29"/>
      <c r="C1190" s="29"/>
      <c r="D1190" s="30"/>
      <c r="E1190" s="33"/>
      <c r="F1190" s="89"/>
    </row>
    <row r="1191" spans="2:6" s="6" customFormat="1" x14ac:dyDescent="0.3">
      <c r="B1191" s="29"/>
      <c r="C1191" s="29"/>
      <c r="D1191" s="30"/>
      <c r="E1191" s="33"/>
      <c r="F1191" s="89"/>
    </row>
    <row r="1192" spans="2:6" s="6" customFormat="1" x14ac:dyDescent="0.3">
      <c r="B1192" s="29"/>
      <c r="C1192" s="29"/>
      <c r="D1192" s="30"/>
      <c r="E1192" s="33"/>
      <c r="F1192" s="89"/>
    </row>
    <row r="1193" spans="2:6" s="6" customFormat="1" x14ac:dyDescent="0.3">
      <c r="B1193" s="29"/>
      <c r="C1193" s="29"/>
      <c r="D1193" s="30"/>
      <c r="E1193" s="33"/>
      <c r="F1193" s="89"/>
    </row>
    <row r="1194" spans="2:6" s="6" customFormat="1" x14ac:dyDescent="0.3">
      <c r="B1194" s="29"/>
      <c r="C1194" s="29"/>
      <c r="D1194" s="30"/>
      <c r="E1194" s="33"/>
      <c r="F1194" s="89"/>
    </row>
    <row r="1195" spans="2:6" s="6" customFormat="1" x14ac:dyDescent="0.3">
      <c r="B1195" s="29"/>
      <c r="C1195" s="29"/>
      <c r="D1195" s="30"/>
      <c r="E1195" s="33"/>
      <c r="F1195" s="89"/>
    </row>
    <row r="1196" spans="2:6" s="6" customFormat="1" x14ac:dyDescent="0.3">
      <c r="B1196" s="29"/>
      <c r="C1196" s="29"/>
      <c r="D1196" s="30"/>
      <c r="E1196" s="33"/>
      <c r="F1196" s="89"/>
    </row>
    <row r="1197" spans="2:6" s="6" customFormat="1" x14ac:dyDescent="0.3">
      <c r="B1197" s="29"/>
      <c r="C1197" s="29"/>
      <c r="D1197" s="30"/>
      <c r="E1197" s="33"/>
      <c r="F1197" s="89"/>
    </row>
    <row r="1198" spans="2:6" s="6" customFormat="1" x14ac:dyDescent="0.3">
      <c r="B1198" s="29"/>
      <c r="C1198" s="29"/>
      <c r="D1198" s="30"/>
      <c r="E1198" s="33"/>
      <c r="F1198" s="89"/>
    </row>
    <row r="1199" spans="2:6" s="6" customFormat="1" x14ac:dyDescent="0.3">
      <c r="B1199" s="29"/>
      <c r="C1199" s="29"/>
      <c r="D1199" s="30"/>
      <c r="E1199" s="33"/>
      <c r="F1199" s="89"/>
    </row>
    <row r="1200" spans="2:6" s="6" customFormat="1" x14ac:dyDescent="0.3">
      <c r="B1200" s="29"/>
      <c r="C1200" s="29"/>
      <c r="D1200" s="30"/>
      <c r="E1200" s="33"/>
      <c r="F1200" s="89"/>
    </row>
    <row r="1201" spans="2:6" s="6" customFormat="1" x14ac:dyDescent="0.3">
      <c r="B1201" s="29"/>
      <c r="C1201" s="29"/>
      <c r="D1201" s="30"/>
      <c r="E1201" s="33"/>
      <c r="F1201" s="89"/>
    </row>
    <row r="1202" spans="2:6" s="6" customFormat="1" x14ac:dyDescent="0.3">
      <c r="B1202" s="29"/>
      <c r="C1202" s="29"/>
      <c r="D1202" s="30"/>
      <c r="E1202" s="33"/>
      <c r="F1202" s="89"/>
    </row>
    <row r="1203" spans="2:6" s="6" customFormat="1" x14ac:dyDescent="0.3">
      <c r="B1203" s="29"/>
      <c r="C1203" s="29"/>
      <c r="D1203" s="30"/>
      <c r="E1203" s="33"/>
      <c r="F1203" s="89"/>
    </row>
    <row r="1204" spans="2:6" s="6" customFormat="1" x14ac:dyDescent="0.3">
      <c r="B1204" s="29"/>
      <c r="C1204" s="29"/>
      <c r="D1204" s="30"/>
      <c r="E1204" s="33"/>
      <c r="F1204" s="89"/>
    </row>
    <row r="1205" spans="2:6" s="6" customFormat="1" x14ac:dyDescent="0.3">
      <c r="B1205" s="29"/>
      <c r="C1205" s="29"/>
      <c r="D1205" s="30"/>
      <c r="E1205" s="33"/>
      <c r="F1205" s="89"/>
    </row>
    <row r="1206" spans="2:6" s="6" customFormat="1" x14ac:dyDescent="0.3">
      <c r="B1206" s="29"/>
      <c r="C1206" s="29"/>
      <c r="D1206" s="30"/>
      <c r="E1206" s="33"/>
      <c r="F1206" s="89"/>
    </row>
    <row r="1207" spans="2:6" s="6" customFormat="1" x14ac:dyDescent="0.3">
      <c r="B1207" s="29"/>
      <c r="C1207" s="29"/>
      <c r="D1207" s="30"/>
      <c r="E1207" s="33"/>
      <c r="F1207" s="89"/>
    </row>
    <row r="1208" spans="2:6" s="6" customFormat="1" x14ac:dyDescent="0.3">
      <c r="B1208" s="29"/>
      <c r="C1208" s="29"/>
      <c r="D1208" s="30"/>
      <c r="E1208" s="33"/>
      <c r="F1208" s="89"/>
    </row>
    <row r="1209" spans="2:6" s="6" customFormat="1" x14ac:dyDescent="0.3">
      <c r="B1209" s="29"/>
      <c r="C1209" s="29"/>
      <c r="D1209" s="30"/>
      <c r="E1209" s="33"/>
      <c r="F1209" s="89"/>
    </row>
    <row r="1210" spans="2:6" s="6" customFormat="1" x14ac:dyDescent="0.3">
      <c r="B1210" s="29"/>
      <c r="C1210" s="29"/>
      <c r="D1210" s="30"/>
      <c r="E1210" s="33"/>
      <c r="F1210" s="89"/>
    </row>
    <row r="1211" spans="2:6" s="6" customFormat="1" x14ac:dyDescent="0.3">
      <c r="B1211" s="29"/>
      <c r="C1211" s="29"/>
      <c r="D1211" s="30"/>
      <c r="E1211" s="33"/>
      <c r="F1211" s="89"/>
    </row>
    <row r="1212" spans="2:6" s="6" customFormat="1" x14ac:dyDescent="0.3">
      <c r="B1212" s="29"/>
      <c r="C1212" s="29"/>
      <c r="D1212" s="30"/>
      <c r="E1212" s="33"/>
      <c r="F1212" s="89"/>
    </row>
    <row r="1213" spans="2:6" s="6" customFormat="1" x14ac:dyDescent="0.3">
      <c r="B1213" s="29"/>
      <c r="C1213" s="29"/>
      <c r="D1213" s="30"/>
      <c r="E1213" s="33"/>
      <c r="F1213" s="89"/>
    </row>
    <row r="1214" spans="2:6" s="6" customFormat="1" x14ac:dyDescent="0.3">
      <c r="B1214" s="29"/>
      <c r="C1214" s="29"/>
      <c r="D1214" s="30"/>
      <c r="E1214" s="33"/>
      <c r="F1214" s="89"/>
    </row>
    <row r="1215" spans="2:6" s="6" customFormat="1" x14ac:dyDescent="0.3">
      <c r="B1215" s="29"/>
      <c r="C1215" s="29"/>
      <c r="D1215" s="30"/>
      <c r="E1215" s="33"/>
      <c r="F1215" s="89"/>
    </row>
    <row r="1216" spans="2:6" s="6" customFormat="1" x14ac:dyDescent="0.3">
      <c r="B1216" s="29"/>
      <c r="C1216" s="29"/>
      <c r="D1216" s="30"/>
      <c r="E1216" s="33"/>
      <c r="F1216" s="89"/>
    </row>
    <row r="1217" spans="2:6" s="6" customFormat="1" x14ac:dyDescent="0.3">
      <c r="B1217" s="29"/>
      <c r="C1217" s="29"/>
      <c r="D1217" s="30"/>
      <c r="E1217" s="33"/>
      <c r="F1217" s="89"/>
    </row>
    <row r="1218" spans="2:6" s="6" customFormat="1" x14ac:dyDescent="0.3">
      <c r="B1218" s="29"/>
      <c r="C1218" s="29"/>
      <c r="D1218" s="30"/>
      <c r="E1218" s="33"/>
      <c r="F1218" s="89"/>
    </row>
    <row r="1219" spans="2:6" s="6" customFormat="1" x14ac:dyDescent="0.3">
      <c r="B1219" s="29"/>
      <c r="C1219" s="29"/>
      <c r="D1219" s="30"/>
      <c r="E1219" s="33"/>
      <c r="F1219" s="89"/>
    </row>
    <row r="1220" spans="2:6" s="6" customFormat="1" x14ac:dyDescent="0.3">
      <c r="B1220" s="29"/>
      <c r="C1220" s="29"/>
      <c r="D1220" s="30"/>
      <c r="E1220" s="33"/>
      <c r="F1220" s="89"/>
    </row>
    <row r="1221" spans="2:6" s="6" customFormat="1" x14ac:dyDescent="0.3">
      <c r="B1221" s="29"/>
      <c r="C1221" s="29"/>
      <c r="D1221" s="30"/>
      <c r="E1221" s="33"/>
      <c r="F1221" s="89"/>
    </row>
    <row r="1222" spans="2:6" s="6" customFormat="1" x14ac:dyDescent="0.3">
      <c r="B1222" s="29"/>
      <c r="C1222" s="29"/>
      <c r="D1222" s="30"/>
      <c r="E1222" s="33"/>
      <c r="F1222" s="89"/>
    </row>
    <row r="1223" spans="2:6" s="6" customFormat="1" x14ac:dyDescent="0.3">
      <c r="B1223" s="29"/>
      <c r="C1223" s="29"/>
      <c r="D1223" s="30"/>
      <c r="E1223" s="33"/>
      <c r="F1223" s="89"/>
    </row>
    <row r="1224" spans="2:6" s="6" customFormat="1" x14ac:dyDescent="0.3">
      <c r="B1224" s="29"/>
      <c r="C1224" s="29"/>
      <c r="D1224" s="30"/>
      <c r="E1224" s="33"/>
      <c r="F1224" s="89"/>
    </row>
    <row r="1225" spans="2:6" s="6" customFormat="1" x14ac:dyDescent="0.3">
      <c r="B1225" s="29"/>
      <c r="C1225" s="29"/>
      <c r="D1225" s="30"/>
      <c r="E1225" s="33"/>
      <c r="F1225" s="89"/>
    </row>
    <row r="1226" spans="2:6" s="6" customFormat="1" x14ac:dyDescent="0.3">
      <c r="B1226" s="29"/>
      <c r="C1226" s="29"/>
      <c r="D1226" s="30"/>
      <c r="E1226" s="33"/>
      <c r="F1226" s="89"/>
    </row>
    <row r="1227" spans="2:6" s="6" customFormat="1" x14ac:dyDescent="0.3">
      <c r="B1227" s="29"/>
      <c r="C1227" s="29"/>
      <c r="D1227" s="30"/>
      <c r="E1227" s="33"/>
      <c r="F1227" s="89"/>
    </row>
    <row r="1228" spans="2:6" s="6" customFormat="1" x14ac:dyDescent="0.3">
      <c r="B1228" s="29"/>
      <c r="C1228" s="29"/>
      <c r="D1228" s="30"/>
      <c r="E1228" s="33"/>
      <c r="F1228" s="89"/>
    </row>
    <row r="1229" spans="2:6" s="6" customFormat="1" x14ac:dyDescent="0.3">
      <c r="B1229" s="29"/>
      <c r="C1229" s="29"/>
      <c r="D1229" s="30"/>
      <c r="E1229" s="33"/>
      <c r="F1229" s="89"/>
    </row>
    <row r="1230" spans="2:6" s="6" customFormat="1" x14ac:dyDescent="0.3">
      <c r="B1230" s="29"/>
      <c r="C1230" s="29"/>
      <c r="D1230" s="30"/>
      <c r="E1230" s="33"/>
      <c r="F1230" s="89"/>
    </row>
    <row r="1231" spans="2:6" s="6" customFormat="1" x14ac:dyDescent="0.3">
      <c r="B1231" s="29"/>
      <c r="C1231" s="29"/>
      <c r="D1231" s="30"/>
      <c r="E1231" s="33"/>
      <c r="F1231" s="89"/>
    </row>
    <row r="1232" spans="2:6" s="6" customFormat="1" x14ac:dyDescent="0.3">
      <c r="B1232" s="29"/>
      <c r="C1232" s="29"/>
      <c r="D1232" s="30"/>
      <c r="E1232" s="33"/>
      <c r="F1232" s="89"/>
    </row>
    <row r="1233" spans="2:6" s="6" customFormat="1" x14ac:dyDescent="0.3">
      <c r="B1233" s="29"/>
      <c r="C1233" s="29"/>
      <c r="D1233" s="30"/>
      <c r="E1233" s="33"/>
      <c r="F1233" s="89"/>
    </row>
    <row r="1234" spans="2:6" s="6" customFormat="1" x14ac:dyDescent="0.3">
      <c r="B1234" s="29"/>
      <c r="C1234" s="29"/>
      <c r="D1234" s="30"/>
      <c r="E1234" s="33"/>
      <c r="F1234" s="89"/>
    </row>
    <row r="1235" spans="2:6" s="6" customFormat="1" x14ac:dyDescent="0.3">
      <c r="B1235" s="29"/>
      <c r="C1235" s="29"/>
      <c r="D1235" s="30"/>
      <c r="E1235" s="33"/>
      <c r="F1235" s="89"/>
    </row>
    <row r="1236" spans="2:6" s="6" customFormat="1" x14ac:dyDescent="0.3">
      <c r="B1236" s="29"/>
      <c r="C1236" s="29"/>
      <c r="D1236" s="30"/>
      <c r="E1236" s="33"/>
      <c r="F1236" s="89"/>
    </row>
    <row r="1237" spans="2:6" s="6" customFormat="1" x14ac:dyDescent="0.3">
      <c r="B1237" s="29"/>
      <c r="C1237" s="29"/>
      <c r="D1237" s="30"/>
      <c r="E1237" s="33"/>
      <c r="F1237" s="89"/>
    </row>
    <row r="1238" spans="2:6" s="6" customFormat="1" x14ac:dyDescent="0.3">
      <c r="B1238" s="29"/>
      <c r="C1238" s="29"/>
      <c r="D1238" s="30"/>
      <c r="E1238" s="33"/>
      <c r="F1238" s="89"/>
    </row>
    <row r="1239" spans="2:6" s="6" customFormat="1" x14ac:dyDescent="0.3">
      <c r="B1239" s="29"/>
      <c r="C1239" s="29"/>
      <c r="D1239" s="30"/>
      <c r="E1239" s="33"/>
      <c r="F1239" s="89"/>
    </row>
    <row r="1240" spans="2:6" s="6" customFormat="1" x14ac:dyDescent="0.3">
      <c r="B1240" s="29"/>
      <c r="C1240" s="29"/>
      <c r="D1240" s="30"/>
      <c r="E1240" s="33"/>
      <c r="F1240" s="89"/>
    </row>
    <row r="1241" spans="2:6" s="6" customFormat="1" x14ac:dyDescent="0.3">
      <c r="B1241" s="29"/>
      <c r="C1241" s="29"/>
      <c r="D1241" s="30"/>
      <c r="E1241" s="33"/>
      <c r="F1241" s="89"/>
    </row>
    <row r="1242" spans="2:6" s="6" customFormat="1" x14ac:dyDescent="0.3">
      <c r="B1242" s="29"/>
      <c r="C1242" s="29"/>
      <c r="D1242" s="30"/>
      <c r="E1242" s="33"/>
      <c r="F1242" s="89"/>
    </row>
    <row r="1243" spans="2:6" s="6" customFormat="1" x14ac:dyDescent="0.3">
      <c r="B1243" s="29"/>
      <c r="C1243" s="29"/>
      <c r="D1243" s="30"/>
      <c r="E1243" s="33"/>
      <c r="F1243" s="89"/>
    </row>
    <row r="1244" spans="2:6" s="6" customFormat="1" x14ac:dyDescent="0.3">
      <c r="B1244" s="29"/>
      <c r="C1244" s="29"/>
      <c r="D1244" s="30"/>
      <c r="E1244" s="33"/>
      <c r="F1244" s="89"/>
    </row>
    <row r="1245" spans="2:6" s="6" customFormat="1" x14ac:dyDescent="0.3">
      <c r="B1245" s="29"/>
      <c r="C1245" s="29"/>
      <c r="D1245" s="30"/>
      <c r="E1245" s="33"/>
      <c r="F1245" s="89"/>
    </row>
    <row r="1246" spans="2:6" s="6" customFormat="1" x14ac:dyDescent="0.3">
      <c r="B1246" s="29"/>
      <c r="C1246" s="29"/>
      <c r="D1246" s="30"/>
      <c r="E1246" s="33"/>
      <c r="F1246" s="89"/>
    </row>
    <row r="1247" spans="2:6" s="6" customFormat="1" x14ac:dyDescent="0.3">
      <c r="B1247" s="29"/>
      <c r="C1247" s="29"/>
      <c r="D1247" s="30"/>
      <c r="E1247" s="33"/>
      <c r="F1247" s="89"/>
    </row>
    <row r="1248" spans="2:6" s="6" customFormat="1" x14ac:dyDescent="0.3">
      <c r="B1248" s="29"/>
      <c r="C1248" s="29"/>
      <c r="D1248" s="30"/>
      <c r="E1248" s="33"/>
      <c r="F1248" s="89"/>
    </row>
    <row r="1249" spans="2:6" s="6" customFormat="1" x14ac:dyDescent="0.3">
      <c r="B1249" s="29"/>
      <c r="C1249" s="29"/>
      <c r="D1249" s="30"/>
      <c r="E1249" s="33"/>
      <c r="F1249" s="89"/>
    </row>
    <row r="1250" spans="2:6" s="6" customFormat="1" x14ac:dyDescent="0.3">
      <c r="B1250" s="29"/>
      <c r="C1250" s="29"/>
      <c r="D1250" s="30"/>
      <c r="E1250" s="33"/>
      <c r="F1250" s="89"/>
    </row>
    <row r="1251" spans="2:6" s="6" customFormat="1" x14ac:dyDescent="0.3">
      <c r="B1251" s="29"/>
      <c r="C1251" s="29"/>
      <c r="D1251" s="30"/>
      <c r="E1251" s="33"/>
      <c r="F1251" s="89"/>
    </row>
    <row r="1252" spans="2:6" s="6" customFormat="1" x14ac:dyDescent="0.3">
      <c r="B1252" s="29"/>
      <c r="C1252" s="29"/>
      <c r="D1252" s="30"/>
      <c r="E1252" s="33"/>
      <c r="F1252" s="89"/>
    </row>
    <row r="1253" spans="2:6" s="6" customFormat="1" x14ac:dyDescent="0.3">
      <c r="B1253" s="29"/>
      <c r="C1253" s="29"/>
      <c r="D1253" s="30"/>
      <c r="E1253" s="33"/>
      <c r="F1253" s="89"/>
    </row>
    <row r="1254" spans="2:6" s="6" customFormat="1" x14ac:dyDescent="0.3">
      <c r="B1254" s="29"/>
      <c r="C1254" s="29"/>
      <c r="D1254" s="30"/>
      <c r="E1254" s="33"/>
      <c r="F1254" s="89"/>
    </row>
    <row r="1255" spans="2:6" s="6" customFormat="1" x14ac:dyDescent="0.3">
      <c r="B1255" s="29"/>
      <c r="C1255" s="29"/>
      <c r="D1255" s="30"/>
      <c r="E1255" s="33"/>
      <c r="F1255" s="89"/>
    </row>
    <row r="1256" spans="2:6" s="6" customFormat="1" x14ac:dyDescent="0.3">
      <c r="B1256" s="29"/>
      <c r="C1256" s="29"/>
      <c r="D1256" s="30"/>
      <c r="E1256" s="33"/>
      <c r="F1256" s="89"/>
    </row>
    <row r="1257" spans="2:6" s="6" customFormat="1" x14ac:dyDescent="0.3">
      <c r="B1257" s="29"/>
      <c r="C1257" s="29"/>
      <c r="D1257" s="30"/>
      <c r="E1257" s="33"/>
      <c r="F1257" s="89"/>
    </row>
    <row r="1258" spans="2:6" s="6" customFormat="1" x14ac:dyDescent="0.3">
      <c r="B1258" s="29"/>
      <c r="C1258" s="29"/>
      <c r="D1258" s="30"/>
      <c r="E1258" s="33"/>
      <c r="F1258" s="89"/>
    </row>
    <row r="1259" spans="2:6" s="6" customFormat="1" x14ac:dyDescent="0.3">
      <c r="B1259" s="29"/>
      <c r="C1259" s="29"/>
      <c r="D1259" s="30"/>
      <c r="E1259" s="33"/>
      <c r="F1259" s="89"/>
    </row>
    <row r="1260" spans="2:6" s="6" customFormat="1" x14ac:dyDescent="0.3">
      <c r="B1260" s="29"/>
      <c r="C1260" s="29"/>
      <c r="D1260" s="30"/>
      <c r="E1260" s="33"/>
      <c r="F1260" s="89"/>
    </row>
    <row r="1261" spans="2:6" s="6" customFormat="1" x14ac:dyDescent="0.3">
      <c r="B1261" s="29"/>
      <c r="C1261" s="29"/>
      <c r="D1261" s="30"/>
      <c r="E1261" s="33"/>
      <c r="F1261" s="89"/>
    </row>
    <row r="1262" spans="2:6" s="6" customFormat="1" x14ac:dyDescent="0.3">
      <c r="B1262" s="29"/>
      <c r="C1262" s="29"/>
      <c r="D1262" s="30"/>
      <c r="E1262" s="33"/>
      <c r="F1262" s="89"/>
    </row>
    <row r="1263" spans="2:6" s="6" customFormat="1" x14ac:dyDescent="0.3">
      <c r="B1263" s="29"/>
      <c r="C1263" s="29"/>
      <c r="D1263" s="30"/>
      <c r="E1263" s="33"/>
      <c r="F1263" s="89"/>
    </row>
    <row r="1264" spans="2:6" s="6" customFormat="1" x14ac:dyDescent="0.3">
      <c r="B1264" s="29"/>
      <c r="C1264" s="29"/>
      <c r="D1264" s="30"/>
      <c r="E1264" s="33"/>
      <c r="F1264" s="89"/>
    </row>
    <row r="1265" spans="2:6" s="6" customFormat="1" x14ac:dyDescent="0.3">
      <c r="B1265" s="29"/>
      <c r="C1265" s="29"/>
      <c r="D1265" s="30"/>
      <c r="E1265" s="33"/>
      <c r="F1265" s="89"/>
    </row>
    <row r="1266" spans="2:6" s="6" customFormat="1" x14ac:dyDescent="0.3">
      <c r="B1266" s="29"/>
      <c r="C1266" s="29"/>
      <c r="D1266" s="30"/>
      <c r="E1266" s="33"/>
      <c r="F1266" s="89"/>
    </row>
    <row r="1267" spans="2:6" s="6" customFormat="1" x14ac:dyDescent="0.3">
      <c r="B1267" s="29"/>
      <c r="C1267" s="29"/>
      <c r="D1267" s="30"/>
      <c r="E1267" s="33"/>
      <c r="F1267" s="89"/>
    </row>
    <row r="1268" spans="2:6" s="6" customFormat="1" x14ac:dyDescent="0.3">
      <c r="B1268" s="29"/>
      <c r="C1268" s="29"/>
      <c r="D1268" s="30"/>
      <c r="E1268" s="33"/>
      <c r="F1268" s="89"/>
    </row>
    <row r="1269" spans="2:6" s="6" customFormat="1" x14ac:dyDescent="0.3">
      <c r="B1269" s="29"/>
      <c r="C1269" s="29"/>
      <c r="D1269" s="30"/>
      <c r="E1269" s="33"/>
      <c r="F1269" s="89"/>
    </row>
    <row r="1270" spans="2:6" s="6" customFormat="1" x14ac:dyDescent="0.3">
      <c r="B1270" s="29"/>
      <c r="C1270" s="29"/>
      <c r="D1270" s="30"/>
      <c r="E1270" s="33"/>
      <c r="F1270" s="89"/>
    </row>
    <row r="1271" spans="2:6" s="6" customFormat="1" x14ac:dyDescent="0.3">
      <c r="B1271" s="29"/>
      <c r="C1271" s="29"/>
      <c r="D1271" s="30"/>
      <c r="E1271" s="33"/>
      <c r="F1271" s="89"/>
    </row>
    <row r="1272" spans="2:6" s="6" customFormat="1" x14ac:dyDescent="0.3">
      <c r="B1272" s="29"/>
      <c r="C1272" s="29"/>
      <c r="D1272" s="30"/>
      <c r="E1272" s="33"/>
      <c r="F1272" s="89"/>
    </row>
    <row r="1273" spans="2:6" s="6" customFormat="1" x14ac:dyDescent="0.3">
      <c r="B1273" s="29"/>
      <c r="C1273" s="29"/>
      <c r="D1273" s="30"/>
      <c r="E1273" s="33"/>
      <c r="F1273" s="89"/>
    </row>
    <row r="1274" spans="2:6" s="6" customFormat="1" x14ac:dyDescent="0.3">
      <c r="B1274" s="29"/>
      <c r="C1274" s="29"/>
      <c r="D1274" s="30"/>
      <c r="E1274" s="33"/>
      <c r="F1274" s="89"/>
    </row>
    <row r="1275" spans="2:6" s="6" customFormat="1" x14ac:dyDescent="0.3">
      <c r="B1275" s="29"/>
      <c r="C1275" s="29"/>
      <c r="D1275" s="30"/>
      <c r="E1275" s="33"/>
      <c r="F1275" s="89"/>
    </row>
    <row r="1276" spans="2:6" s="6" customFormat="1" x14ac:dyDescent="0.3">
      <c r="B1276" s="29"/>
      <c r="C1276" s="29"/>
      <c r="D1276" s="30"/>
      <c r="E1276" s="33"/>
      <c r="F1276" s="89"/>
    </row>
    <row r="1277" spans="2:6" s="6" customFormat="1" x14ac:dyDescent="0.3">
      <c r="B1277" s="29"/>
      <c r="C1277" s="29"/>
      <c r="D1277" s="30"/>
      <c r="E1277" s="33"/>
      <c r="F1277" s="89"/>
    </row>
    <row r="1278" spans="2:6" s="6" customFormat="1" x14ac:dyDescent="0.3">
      <c r="B1278" s="29"/>
      <c r="C1278" s="29"/>
      <c r="D1278" s="30"/>
      <c r="E1278" s="33"/>
      <c r="F1278" s="89"/>
    </row>
    <row r="1279" spans="2:6" s="6" customFormat="1" x14ac:dyDescent="0.3">
      <c r="B1279" s="29"/>
      <c r="C1279" s="29"/>
      <c r="D1279" s="30"/>
      <c r="E1279" s="33"/>
      <c r="F1279" s="89"/>
    </row>
    <row r="1280" spans="2:6" s="6" customFormat="1" x14ac:dyDescent="0.3">
      <c r="B1280" s="29"/>
      <c r="C1280" s="29"/>
      <c r="D1280" s="30"/>
      <c r="E1280" s="33"/>
      <c r="F1280" s="89"/>
    </row>
    <row r="1281" spans="2:6" s="6" customFormat="1" x14ac:dyDescent="0.3">
      <c r="B1281" s="29"/>
      <c r="C1281" s="29"/>
      <c r="D1281" s="30"/>
      <c r="E1281" s="33"/>
      <c r="F1281" s="89"/>
    </row>
    <row r="1282" spans="2:6" s="6" customFormat="1" x14ac:dyDescent="0.3">
      <c r="B1282" s="29"/>
      <c r="C1282" s="29"/>
      <c r="D1282" s="30"/>
      <c r="E1282" s="33"/>
      <c r="F1282" s="89"/>
    </row>
    <row r="1283" spans="2:6" s="6" customFormat="1" x14ac:dyDescent="0.3">
      <c r="B1283" s="29"/>
      <c r="C1283" s="29"/>
      <c r="D1283" s="30"/>
      <c r="E1283" s="33"/>
      <c r="F1283" s="89"/>
    </row>
    <row r="1284" spans="2:6" s="6" customFormat="1" x14ac:dyDescent="0.3">
      <c r="B1284" s="29"/>
      <c r="C1284" s="29"/>
      <c r="D1284" s="30"/>
      <c r="E1284" s="33"/>
      <c r="F1284" s="89"/>
    </row>
    <row r="1285" spans="2:6" s="6" customFormat="1" x14ac:dyDescent="0.3">
      <c r="B1285" s="29"/>
      <c r="C1285" s="29"/>
      <c r="D1285" s="30"/>
      <c r="E1285" s="33"/>
      <c r="F1285" s="89"/>
    </row>
    <row r="1286" spans="2:6" s="6" customFormat="1" x14ac:dyDescent="0.3">
      <c r="B1286" s="29"/>
      <c r="C1286" s="29"/>
      <c r="D1286" s="30"/>
      <c r="E1286" s="33"/>
      <c r="F1286" s="89"/>
    </row>
    <row r="1287" spans="2:6" s="6" customFormat="1" x14ac:dyDescent="0.3">
      <c r="B1287" s="29"/>
      <c r="C1287" s="29"/>
      <c r="D1287" s="30"/>
      <c r="E1287" s="33"/>
      <c r="F1287" s="89"/>
    </row>
    <row r="1288" spans="2:6" s="6" customFormat="1" x14ac:dyDescent="0.3">
      <c r="B1288" s="29"/>
      <c r="C1288" s="29"/>
      <c r="D1288" s="30"/>
      <c r="E1288" s="33"/>
      <c r="F1288" s="89"/>
    </row>
    <row r="1289" spans="2:6" s="6" customFormat="1" x14ac:dyDescent="0.3">
      <c r="B1289" s="29"/>
      <c r="C1289" s="29"/>
      <c r="D1289" s="30"/>
      <c r="E1289" s="33"/>
      <c r="F1289" s="89"/>
    </row>
    <row r="1290" spans="2:6" s="6" customFormat="1" x14ac:dyDescent="0.3">
      <c r="B1290" s="29"/>
      <c r="C1290" s="29"/>
      <c r="D1290" s="30"/>
      <c r="E1290" s="33"/>
      <c r="F1290" s="89"/>
    </row>
    <row r="1291" spans="2:6" s="6" customFormat="1" x14ac:dyDescent="0.3">
      <c r="B1291" s="29"/>
      <c r="C1291" s="29"/>
      <c r="D1291" s="30"/>
      <c r="E1291" s="33"/>
      <c r="F1291" s="89"/>
    </row>
    <row r="1292" spans="2:6" s="6" customFormat="1" x14ac:dyDescent="0.3">
      <c r="B1292" s="29"/>
      <c r="C1292" s="29"/>
      <c r="D1292" s="30"/>
      <c r="E1292" s="33"/>
      <c r="F1292" s="89"/>
    </row>
    <row r="1293" spans="2:6" s="6" customFormat="1" x14ac:dyDescent="0.3">
      <c r="B1293" s="29"/>
      <c r="C1293" s="29"/>
      <c r="D1293" s="30"/>
      <c r="E1293" s="33"/>
      <c r="F1293" s="89"/>
    </row>
    <row r="1294" spans="2:6" s="6" customFormat="1" x14ac:dyDescent="0.3">
      <c r="B1294" s="29"/>
      <c r="C1294" s="29"/>
      <c r="D1294" s="30"/>
      <c r="E1294" s="33"/>
      <c r="F1294" s="89"/>
    </row>
    <row r="1295" spans="2:6" s="6" customFormat="1" x14ac:dyDescent="0.3">
      <c r="B1295" s="29"/>
      <c r="C1295" s="29"/>
      <c r="D1295" s="30"/>
      <c r="E1295" s="33"/>
      <c r="F1295" s="89"/>
    </row>
    <row r="1296" spans="2:6" s="6" customFormat="1" x14ac:dyDescent="0.3">
      <c r="B1296" s="29"/>
      <c r="C1296" s="29"/>
      <c r="D1296" s="30"/>
      <c r="E1296" s="33"/>
      <c r="F1296" s="89"/>
    </row>
    <row r="1297" spans="2:6" s="6" customFormat="1" x14ac:dyDescent="0.3">
      <c r="B1297" s="29"/>
      <c r="C1297" s="29"/>
      <c r="D1297" s="30"/>
      <c r="E1297" s="33"/>
      <c r="F1297" s="89"/>
    </row>
    <row r="1298" spans="2:6" s="6" customFormat="1" x14ac:dyDescent="0.3">
      <c r="B1298" s="29"/>
      <c r="C1298" s="29"/>
      <c r="D1298" s="30"/>
      <c r="E1298" s="33"/>
      <c r="F1298" s="89"/>
    </row>
    <row r="1299" spans="2:6" s="6" customFormat="1" x14ac:dyDescent="0.3">
      <c r="B1299" s="29"/>
      <c r="C1299" s="29"/>
      <c r="D1299" s="30"/>
      <c r="E1299" s="33"/>
      <c r="F1299" s="89"/>
    </row>
    <row r="1300" spans="2:6" s="6" customFormat="1" x14ac:dyDescent="0.3">
      <c r="B1300" s="29"/>
      <c r="C1300" s="29"/>
      <c r="D1300" s="30"/>
      <c r="E1300" s="33"/>
      <c r="F1300" s="89"/>
    </row>
    <row r="1301" spans="2:6" s="6" customFormat="1" x14ac:dyDescent="0.3">
      <c r="B1301" s="29"/>
      <c r="C1301" s="29"/>
      <c r="D1301" s="30"/>
      <c r="E1301" s="33"/>
      <c r="F1301" s="89"/>
    </row>
    <row r="1302" spans="2:6" s="6" customFormat="1" x14ac:dyDescent="0.3">
      <c r="B1302" s="29"/>
      <c r="C1302" s="29"/>
      <c r="D1302" s="30"/>
      <c r="E1302" s="33"/>
      <c r="F1302" s="89"/>
    </row>
    <row r="1303" spans="2:6" s="6" customFormat="1" x14ac:dyDescent="0.3">
      <c r="B1303" s="29"/>
      <c r="C1303" s="29"/>
      <c r="D1303" s="30"/>
      <c r="E1303" s="33"/>
      <c r="F1303" s="89"/>
    </row>
    <row r="1304" spans="2:6" s="6" customFormat="1" x14ac:dyDescent="0.3">
      <c r="B1304" s="29"/>
      <c r="C1304" s="29"/>
      <c r="D1304" s="30"/>
      <c r="E1304" s="33"/>
      <c r="F1304" s="89"/>
    </row>
    <row r="1305" spans="2:6" s="6" customFormat="1" x14ac:dyDescent="0.3">
      <c r="B1305" s="29"/>
      <c r="C1305" s="29"/>
      <c r="D1305" s="30"/>
      <c r="E1305" s="33"/>
      <c r="F1305" s="89"/>
    </row>
    <row r="1306" spans="2:6" s="6" customFormat="1" x14ac:dyDescent="0.3">
      <c r="B1306" s="29"/>
      <c r="C1306" s="29"/>
      <c r="D1306" s="30"/>
      <c r="E1306" s="33"/>
      <c r="F1306" s="89"/>
    </row>
    <row r="1307" spans="2:6" s="6" customFormat="1" x14ac:dyDescent="0.3">
      <c r="B1307" s="29"/>
      <c r="C1307" s="29"/>
      <c r="D1307" s="30"/>
      <c r="E1307" s="33"/>
      <c r="F1307" s="89"/>
    </row>
    <row r="1308" spans="2:6" s="6" customFormat="1" x14ac:dyDescent="0.3">
      <c r="B1308" s="29"/>
      <c r="C1308" s="29"/>
      <c r="D1308" s="30"/>
      <c r="E1308" s="33"/>
      <c r="F1308" s="89"/>
    </row>
    <row r="1309" spans="2:6" s="6" customFormat="1" x14ac:dyDescent="0.3">
      <c r="B1309" s="29"/>
      <c r="C1309" s="29"/>
      <c r="D1309" s="30"/>
      <c r="E1309" s="33"/>
      <c r="F1309" s="89"/>
    </row>
    <row r="1310" spans="2:6" s="6" customFormat="1" x14ac:dyDescent="0.3">
      <c r="B1310" s="29"/>
      <c r="C1310" s="29"/>
      <c r="D1310" s="30"/>
      <c r="E1310" s="33"/>
      <c r="F1310" s="89"/>
    </row>
    <row r="1311" spans="2:6" s="6" customFormat="1" x14ac:dyDescent="0.3">
      <c r="B1311" s="29"/>
      <c r="C1311" s="29"/>
      <c r="D1311" s="30"/>
      <c r="E1311" s="33"/>
      <c r="F1311" s="89"/>
    </row>
    <row r="1312" spans="2:6" s="6" customFormat="1" x14ac:dyDescent="0.3">
      <c r="B1312" s="29"/>
      <c r="C1312" s="29"/>
      <c r="D1312" s="30"/>
      <c r="E1312" s="33"/>
      <c r="F1312" s="89"/>
    </row>
    <row r="1313" spans="2:6" s="6" customFormat="1" x14ac:dyDescent="0.3">
      <c r="B1313" s="29"/>
      <c r="C1313" s="29"/>
      <c r="D1313" s="30"/>
      <c r="E1313" s="33"/>
      <c r="F1313" s="89"/>
    </row>
    <row r="1314" spans="2:6" s="6" customFormat="1" x14ac:dyDescent="0.3">
      <c r="B1314" s="29"/>
      <c r="C1314" s="29"/>
      <c r="D1314" s="30"/>
      <c r="E1314" s="33"/>
      <c r="F1314" s="89"/>
    </row>
    <row r="1315" spans="2:6" s="6" customFormat="1" x14ac:dyDescent="0.3">
      <c r="B1315" s="29"/>
      <c r="C1315" s="29"/>
      <c r="D1315" s="30"/>
      <c r="E1315" s="33"/>
      <c r="F1315" s="89"/>
    </row>
    <row r="1316" spans="2:6" s="6" customFormat="1" x14ac:dyDescent="0.3">
      <c r="B1316" s="29"/>
      <c r="C1316" s="29"/>
      <c r="D1316" s="30"/>
      <c r="E1316" s="33"/>
      <c r="F1316" s="89"/>
    </row>
    <row r="1317" spans="2:6" s="6" customFormat="1" x14ac:dyDescent="0.3">
      <c r="B1317" s="29"/>
      <c r="C1317" s="29"/>
      <c r="D1317" s="30"/>
      <c r="E1317" s="33"/>
      <c r="F1317" s="89"/>
    </row>
    <row r="1318" spans="2:6" s="6" customFormat="1" x14ac:dyDescent="0.3">
      <c r="B1318" s="29"/>
      <c r="C1318" s="29"/>
      <c r="D1318" s="30"/>
      <c r="E1318" s="33"/>
      <c r="F1318" s="89"/>
    </row>
    <row r="1319" spans="2:6" s="6" customFormat="1" x14ac:dyDescent="0.3">
      <c r="B1319" s="29"/>
      <c r="C1319" s="29"/>
      <c r="D1319" s="30"/>
      <c r="E1319" s="33"/>
      <c r="F1319" s="89"/>
    </row>
    <row r="1320" spans="2:6" s="6" customFormat="1" x14ac:dyDescent="0.3">
      <c r="B1320" s="29"/>
      <c r="C1320" s="29"/>
      <c r="D1320" s="30"/>
      <c r="E1320" s="33"/>
      <c r="F1320" s="89"/>
    </row>
    <row r="1321" spans="2:6" s="6" customFormat="1" x14ac:dyDescent="0.3">
      <c r="B1321" s="29"/>
      <c r="C1321" s="29"/>
      <c r="D1321" s="30"/>
      <c r="E1321" s="33"/>
      <c r="F1321" s="89"/>
    </row>
    <row r="1322" spans="2:6" s="6" customFormat="1" x14ac:dyDescent="0.3">
      <c r="B1322" s="29"/>
      <c r="C1322" s="29"/>
      <c r="D1322" s="30"/>
      <c r="E1322" s="33"/>
      <c r="F1322" s="89"/>
    </row>
    <row r="1323" spans="2:6" s="6" customFormat="1" x14ac:dyDescent="0.3">
      <c r="B1323" s="29"/>
      <c r="C1323" s="29"/>
      <c r="D1323" s="30"/>
      <c r="E1323" s="33"/>
      <c r="F1323" s="89"/>
    </row>
    <row r="1324" spans="2:6" s="6" customFormat="1" x14ac:dyDescent="0.3">
      <c r="B1324" s="29"/>
      <c r="C1324" s="29"/>
      <c r="D1324" s="30"/>
      <c r="E1324" s="33"/>
      <c r="F1324" s="89"/>
    </row>
    <row r="1325" spans="2:6" s="6" customFormat="1" x14ac:dyDescent="0.3">
      <c r="B1325" s="29"/>
      <c r="C1325" s="29"/>
      <c r="D1325" s="30"/>
      <c r="E1325" s="33"/>
      <c r="F1325" s="89"/>
    </row>
    <row r="1326" spans="2:6" s="6" customFormat="1" x14ac:dyDescent="0.3">
      <c r="B1326" s="29"/>
      <c r="C1326" s="29"/>
      <c r="D1326" s="30"/>
      <c r="E1326" s="33"/>
      <c r="F1326" s="89"/>
    </row>
    <row r="1327" spans="2:6" s="6" customFormat="1" x14ac:dyDescent="0.3">
      <c r="B1327" s="29"/>
      <c r="C1327" s="29"/>
      <c r="D1327" s="30"/>
      <c r="E1327" s="33"/>
      <c r="F1327" s="89"/>
    </row>
    <row r="1328" spans="2:6" s="6" customFormat="1" x14ac:dyDescent="0.3">
      <c r="B1328" s="29"/>
      <c r="C1328" s="29"/>
      <c r="D1328" s="30"/>
      <c r="E1328" s="33"/>
      <c r="F1328" s="89"/>
    </row>
    <row r="1329" spans="2:6" s="6" customFormat="1" x14ac:dyDescent="0.3">
      <c r="B1329" s="29"/>
      <c r="C1329" s="29"/>
      <c r="D1329" s="30"/>
      <c r="E1329" s="33"/>
      <c r="F1329" s="89"/>
    </row>
    <row r="1330" spans="2:6" s="6" customFormat="1" x14ac:dyDescent="0.3">
      <c r="B1330" s="29"/>
      <c r="C1330" s="29"/>
      <c r="D1330" s="30"/>
      <c r="E1330" s="33"/>
      <c r="F1330" s="89"/>
    </row>
    <row r="1331" spans="2:6" s="6" customFormat="1" x14ac:dyDescent="0.3">
      <c r="B1331" s="29"/>
      <c r="C1331" s="29"/>
      <c r="D1331" s="30"/>
      <c r="E1331" s="33"/>
      <c r="F1331" s="89"/>
    </row>
    <row r="1332" spans="2:6" s="6" customFormat="1" x14ac:dyDescent="0.3">
      <c r="B1332" s="29"/>
      <c r="C1332" s="29"/>
      <c r="D1332" s="30"/>
      <c r="E1332" s="33"/>
      <c r="F1332" s="89"/>
    </row>
    <row r="1333" spans="2:6" s="6" customFormat="1" x14ac:dyDescent="0.3">
      <c r="B1333" s="29"/>
      <c r="C1333" s="29"/>
      <c r="D1333" s="30"/>
      <c r="E1333" s="33"/>
      <c r="F1333" s="89"/>
    </row>
    <row r="1334" spans="2:6" s="6" customFormat="1" x14ac:dyDescent="0.3">
      <c r="B1334" s="29"/>
      <c r="C1334" s="29"/>
      <c r="D1334" s="30"/>
      <c r="E1334" s="33"/>
      <c r="F1334" s="89"/>
    </row>
    <row r="1335" spans="2:6" s="6" customFormat="1" x14ac:dyDescent="0.3">
      <c r="B1335" s="29"/>
      <c r="C1335" s="29"/>
      <c r="D1335" s="30"/>
      <c r="E1335" s="33"/>
      <c r="F1335" s="89"/>
    </row>
    <row r="1336" spans="2:6" s="6" customFormat="1" x14ac:dyDescent="0.3">
      <c r="B1336" s="29"/>
      <c r="C1336" s="29"/>
      <c r="D1336" s="30"/>
      <c r="E1336" s="33"/>
      <c r="F1336" s="89"/>
    </row>
    <row r="1337" spans="2:6" s="6" customFormat="1" x14ac:dyDescent="0.3">
      <c r="B1337" s="29"/>
      <c r="C1337" s="29"/>
      <c r="D1337" s="30"/>
      <c r="E1337" s="33"/>
      <c r="F1337" s="89"/>
    </row>
    <row r="1338" spans="2:6" s="6" customFormat="1" x14ac:dyDescent="0.3">
      <c r="B1338" s="29"/>
      <c r="C1338" s="29"/>
      <c r="D1338" s="30"/>
      <c r="E1338" s="33"/>
      <c r="F1338" s="89"/>
    </row>
    <row r="1339" spans="2:6" s="6" customFormat="1" x14ac:dyDescent="0.3">
      <c r="B1339" s="29"/>
      <c r="C1339" s="29"/>
      <c r="D1339" s="30"/>
      <c r="E1339" s="33"/>
      <c r="F1339" s="89"/>
    </row>
    <row r="1340" spans="2:6" s="6" customFormat="1" x14ac:dyDescent="0.3">
      <c r="B1340" s="29"/>
      <c r="C1340" s="29"/>
      <c r="D1340" s="30"/>
      <c r="E1340" s="33"/>
      <c r="F1340" s="89"/>
    </row>
    <row r="1341" spans="2:6" s="6" customFormat="1" x14ac:dyDescent="0.3">
      <c r="B1341" s="29"/>
      <c r="C1341" s="29"/>
      <c r="D1341" s="30"/>
      <c r="E1341" s="33"/>
      <c r="F1341" s="89"/>
    </row>
    <row r="1342" spans="2:6" s="6" customFormat="1" x14ac:dyDescent="0.3">
      <c r="B1342" s="29"/>
      <c r="C1342" s="29"/>
      <c r="D1342" s="30"/>
      <c r="E1342" s="33"/>
      <c r="F1342" s="89"/>
    </row>
    <row r="1343" spans="2:6" s="6" customFormat="1" x14ac:dyDescent="0.3">
      <c r="B1343" s="29"/>
      <c r="C1343" s="29"/>
      <c r="D1343" s="30"/>
      <c r="E1343" s="33"/>
      <c r="F1343" s="89"/>
    </row>
    <row r="1344" spans="2:6" s="6" customFormat="1" x14ac:dyDescent="0.3">
      <c r="B1344" s="29"/>
      <c r="C1344" s="29"/>
      <c r="D1344" s="30"/>
      <c r="E1344" s="33"/>
      <c r="F1344" s="89"/>
    </row>
    <row r="1345" spans="2:6" s="6" customFormat="1" x14ac:dyDescent="0.3">
      <c r="B1345" s="29"/>
      <c r="C1345" s="29"/>
      <c r="D1345" s="30"/>
      <c r="E1345" s="33"/>
      <c r="F1345" s="89"/>
    </row>
    <row r="1346" spans="2:6" s="6" customFormat="1" x14ac:dyDescent="0.3">
      <c r="B1346" s="29"/>
      <c r="C1346" s="29"/>
      <c r="D1346" s="30"/>
      <c r="E1346" s="33"/>
      <c r="F1346" s="89"/>
    </row>
    <row r="1347" spans="2:6" s="6" customFormat="1" x14ac:dyDescent="0.3">
      <c r="B1347" s="29"/>
      <c r="C1347" s="29"/>
      <c r="D1347" s="30"/>
      <c r="E1347" s="33"/>
      <c r="F1347" s="89"/>
    </row>
    <row r="1348" spans="2:6" s="6" customFormat="1" x14ac:dyDescent="0.3">
      <c r="B1348" s="29"/>
      <c r="C1348" s="29"/>
      <c r="D1348" s="30"/>
      <c r="E1348" s="33"/>
      <c r="F1348" s="89"/>
    </row>
    <row r="1349" spans="2:6" s="6" customFormat="1" x14ac:dyDescent="0.3">
      <c r="B1349" s="29"/>
      <c r="C1349" s="29"/>
      <c r="D1349" s="30"/>
      <c r="E1349" s="33"/>
      <c r="F1349" s="89"/>
    </row>
    <row r="1350" spans="2:6" s="6" customFormat="1" x14ac:dyDescent="0.3">
      <c r="B1350" s="29"/>
      <c r="C1350" s="29"/>
      <c r="D1350" s="30"/>
      <c r="E1350" s="33"/>
      <c r="F1350" s="89"/>
    </row>
    <row r="1351" spans="2:6" s="6" customFormat="1" x14ac:dyDescent="0.3">
      <c r="B1351" s="29"/>
      <c r="C1351" s="29"/>
      <c r="D1351" s="30"/>
      <c r="E1351" s="33"/>
      <c r="F1351" s="89"/>
    </row>
    <row r="1352" spans="2:6" s="6" customFormat="1" x14ac:dyDescent="0.3">
      <c r="B1352" s="29"/>
      <c r="C1352" s="29"/>
      <c r="D1352" s="30"/>
      <c r="E1352" s="33"/>
      <c r="F1352" s="89"/>
    </row>
    <row r="1353" spans="2:6" s="6" customFormat="1" x14ac:dyDescent="0.3">
      <c r="B1353" s="29"/>
      <c r="C1353" s="29"/>
      <c r="D1353" s="30"/>
      <c r="E1353" s="33"/>
      <c r="F1353" s="89"/>
    </row>
    <row r="1354" spans="2:6" s="6" customFormat="1" x14ac:dyDescent="0.3">
      <c r="B1354" s="29"/>
      <c r="C1354" s="29"/>
      <c r="D1354" s="30"/>
      <c r="E1354" s="33"/>
      <c r="F1354" s="89"/>
    </row>
    <row r="1355" spans="2:6" s="6" customFormat="1" x14ac:dyDescent="0.3">
      <c r="B1355" s="29"/>
      <c r="C1355" s="29"/>
      <c r="D1355" s="30"/>
      <c r="E1355" s="33"/>
      <c r="F1355" s="89"/>
    </row>
    <row r="1356" spans="2:6" s="6" customFormat="1" x14ac:dyDescent="0.3">
      <c r="B1356" s="29"/>
      <c r="C1356" s="29"/>
      <c r="D1356" s="30"/>
      <c r="E1356" s="33"/>
      <c r="F1356" s="89"/>
    </row>
    <row r="1357" spans="2:6" s="6" customFormat="1" x14ac:dyDescent="0.3">
      <c r="B1357" s="29"/>
      <c r="C1357" s="29"/>
      <c r="D1357" s="30"/>
      <c r="E1357" s="33"/>
      <c r="F1357" s="89"/>
    </row>
    <row r="1358" spans="2:6" s="6" customFormat="1" x14ac:dyDescent="0.3">
      <c r="B1358" s="29"/>
      <c r="C1358" s="29"/>
      <c r="D1358" s="30"/>
      <c r="E1358" s="33"/>
      <c r="F1358" s="89"/>
    </row>
    <row r="1359" spans="2:6" s="6" customFormat="1" x14ac:dyDescent="0.3">
      <c r="B1359" s="29"/>
      <c r="C1359" s="29"/>
      <c r="D1359" s="30"/>
      <c r="E1359" s="33"/>
      <c r="F1359" s="89"/>
    </row>
    <row r="1360" spans="2:6" s="6" customFormat="1" x14ac:dyDescent="0.3">
      <c r="B1360" s="29"/>
      <c r="C1360" s="29"/>
      <c r="D1360" s="30"/>
      <c r="E1360" s="33"/>
      <c r="F1360" s="89"/>
    </row>
    <row r="1361" spans="2:6" s="6" customFormat="1" x14ac:dyDescent="0.3">
      <c r="B1361" s="29"/>
      <c r="C1361" s="29"/>
      <c r="D1361" s="30"/>
      <c r="E1361" s="33"/>
      <c r="F1361" s="89"/>
    </row>
    <row r="1362" spans="2:6" s="6" customFormat="1" x14ac:dyDescent="0.3">
      <c r="B1362" s="29"/>
      <c r="C1362" s="29"/>
      <c r="D1362" s="30"/>
      <c r="E1362" s="33"/>
      <c r="F1362" s="89"/>
    </row>
    <row r="1363" spans="2:6" s="6" customFormat="1" x14ac:dyDescent="0.3">
      <c r="B1363" s="29"/>
      <c r="C1363" s="29"/>
      <c r="D1363" s="30"/>
      <c r="E1363" s="33"/>
      <c r="F1363" s="89"/>
    </row>
    <row r="1364" spans="2:6" s="6" customFormat="1" x14ac:dyDescent="0.3">
      <c r="B1364" s="29"/>
      <c r="C1364" s="29"/>
      <c r="D1364" s="30"/>
      <c r="E1364" s="33"/>
      <c r="F1364" s="89"/>
    </row>
    <row r="1365" spans="2:6" s="6" customFormat="1" x14ac:dyDescent="0.3">
      <c r="B1365" s="29"/>
      <c r="C1365" s="29"/>
      <c r="D1365" s="30"/>
      <c r="E1365" s="33"/>
      <c r="F1365" s="89"/>
    </row>
    <row r="1366" spans="2:6" s="6" customFormat="1" x14ac:dyDescent="0.3">
      <c r="B1366" s="29"/>
      <c r="C1366" s="29"/>
      <c r="D1366" s="30"/>
      <c r="E1366" s="33"/>
      <c r="F1366" s="89"/>
    </row>
    <row r="1367" spans="2:6" s="6" customFormat="1" x14ac:dyDescent="0.3">
      <c r="B1367" s="29"/>
      <c r="C1367" s="29"/>
      <c r="D1367" s="30"/>
      <c r="E1367" s="33"/>
      <c r="F1367" s="89"/>
    </row>
    <row r="1368" spans="2:6" s="6" customFormat="1" x14ac:dyDescent="0.3">
      <c r="B1368" s="29"/>
      <c r="C1368" s="29"/>
      <c r="D1368" s="30"/>
      <c r="E1368" s="33"/>
      <c r="F1368" s="89"/>
    </row>
    <row r="1369" spans="2:6" s="6" customFormat="1" x14ac:dyDescent="0.3">
      <c r="B1369" s="29"/>
      <c r="C1369" s="29"/>
      <c r="D1369" s="30"/>
      <c r="E1369" s="33"/>
      <c r="F1369" s="89"/>
    </row>
    <row r="1370" spans="2:6" s="6" customFormat="1" x14ac:dyDescent="0.3">
      <c r="B1370" s="29"/>
      <c r="C1370" s="29"/>
      <c r="D1370" s="30"/>
      <c r="E1370" s="33"/>
      <c r="F1370" s="89"/>
    </row>
    <row r="1371" spans="2:6" s="6" customFormat="1" x14ac:dyDescent="0.3">
      <c r="B1371" s="29"/>
      <c r="C1371" s="29"/>
      <c r="D1371" s="30"/>
      <c r="E1371" s="33"/>
      <c r="F1371" s="89"/>
    </row>
    <row r="1372" spans="2:6" s="6" customFormat="1" x14ac:dyDescent="0.3">
      <c r="B1372" s="29"/>
      <c r="C1372" s="29"/>
      <c r="D1372" s="30"/>
      <c r="E1372" s="33"/>
      <c r="F1372" s="89"/>
    </row>
    <row r="1373" spans="2:6" s="6" customFormat="1" x14ac:dyDescent="0.3">
      <c r="B1373" s="29"/>
      <c r="C1373" s="29"/>
      <c r="D1373" s="30"/>
      <c r="E1373" s="33"/>
      <c r="F1373" s="89"/>
    </row>
    <row r="1374" spans="2:6" s="6" customFormat="1" x14ac:dyDescent="0.3">
      <c r="B1374" s="29"/>
      <c r="C1374" s="29"/>
      <c r="D1374" s="30"/>
      <c r="E1374" s="33"/>
      <c r="F1374" s="89"/>
    </row>
    <row r="1375" spans="2:6" s="6" customFormat="1" x14ac:dyDescent="0.3">
      <c r="B1375" s="29"/>
      <c r="C1375" s="29"/>
      <c r="D1375" s="30"/>
      <c r="E1375" s="33"/>
      <c r="F1375" s="89"/>
    </row>
    <row r="1376" spans="2:6" s="6" customFormat="1" x14ac:dyDescent="0.3">
      <c r="B1376" s="29"/>
      <c r="C1376" s="29"/>
      <c r="D1376" s="30"/>
      <c r="E1376" s="33"/>
      <c r="F1376" s="89"/>
    </row>
    <row r="1377" spans="2:6" s="6" customFormat="1" x14ac:dyDescent="0.3">
      <c r="B1377" s="29"/>
      <c r="C1377" s="29"/>
      <c r="D1377" s="30"/>
      <c r="E1377" s="33"/>
      <c r="F1377" s="89"/>
    </row>
    <row r="1378" spans="2:6" s="6" customFormat="1" x14ac:dyDescent="0.3">
      <c r="B1378" s="29"/>
      <c r="C1378" s="29"/>
      <c r="D1378" s="30"/>
      <c r="E1378" s="33"/>
      <c r="F1378" s="89"/>
    </row>
    <row r="1379" spans="2:6" s="6" customFormat="1" x14ac:dyDescent="0.3">
      <c r="B1379" s="29"/>
      <c r="C1379" s="29"/>
      <c r="D1379" s="30"/>
      <c r="E1379" s="33"/>
      <c r="F1379" s="89"/>
    </row>
    <row r="1380" spans="2:6" s="6" customFormat="1" x14ac:dyDescent="0.3">
      <c r="B1380" s="29"/>
      <c r="C1380" s="29"/>
      <c r="D1380" s="30"/>
      <c r="E1380" s="33"/>
      <c r="F1380" s="89"/>
    </row>
    <row r="1381" spans="2:6" s="6" customFormat="1" x14ac:dyDescent="0.3">
      <c r="B1381" s="29"/>
      <c r="C1381" s="29"/>
      <c r="D1381" s="30"/>
      <c r="E1381" s="33"/>
      <c r="F1381" s="89"/>
    </row>
    <row r="1382" spans="2:6" s="6" customFormat="1" x14ac:dyDescent="0.3">
      <c r="B1382" s="29"/>
      <c r="C1382" s="29"/>
      <c r="D1382" s="30"/>
      <c r="E1382" s="33"/>
      <c r="F1382" s="89"/>
    </row>
    <row r="1383" spans="2:6" s="6" customFormat="1" x14ac:dyDescent="0.3">
      <c r="B1383" s="29"/>
      <c r="C1383" s="29"/>
      <c r="D1383" s="30"/>
      <c r="E1383" s="33"/>
      <c r="F1383" s="89"/>
    </row>
    <row r="1384" spans="2:6" s="6" customFormat="1" x14ac:dyDescent="0.3">
      <c r="B1384" s="29"/>
      <c r="C1384" s="29"/>
      <c r="D1384" s="30"/>
      <c r="E1384" s="33"/>
      <c r="F1384" s="89"/>
    </row>
    <row r="1385" spans="2:6" s="6" customFormat="1" x14ac:dyDescent="0.3">
      <c r="B1385" s="29"/>
      <c r="C1385" s="29"/>
      <c r="D1385" s="30"/>
      <c r="E1385" s="33"/>
      <c r="F1385" s="89"/>
    </row>
    <row r="1386" spans="2:6" s="6" customFormat="1" x14ac:dyDescent="0.3">
      <c r="B1386" s="29"/>
      <c r="C1386" s="29"/>
      <c r="D1386" s="30"/>
      <c r="E1386" s="33"/>
      <c r="F1386" s="89"/>
    </row>
    <row r="1387" spans="2:6" s="6" customFormat="1" x14ac:dyDescent="0.3">
      <c r="B1387" s="29"/>
      <c r="C1387" s="29"/>
      <c r="D1387" s="30"/>
      <c r="E1387" s="33"/>
      <c r="F1387" s="89"/>
    </row>
    <row r="1388" spans="2:6" s="6" customFormat="1" x14ac:dyDescent="0.3">
      <c r="B1388" s="29"/>
      <c r="C1388" s="29"/>
      <c r="D1388" s="30"/>
      <c r="E1388" s="33"/>
      <c r="F1388" s="89"/>
    </row>
    <row r="1389" spans="2:6" s="6" customFormat="1" x14ac:dyDescent="0.3">
      <c r="B1389" s="29"/>
      <c r="C1389" s="29"/>
      <c r="D1389" s="30"/>
      <c r="E1389" s="33"/>
      <c r="F1389" s="89"/>
    </row>
    <row r="1390" spans="2:6" s="6" customFormat="1" x14ac:dyDescent="0.3">
      <c r="B1390" s="29"/>
      <c r="C1390" s="29"/>
      <c r="D1390" s="30"/>
      <c r="E1390" s="33"/>
      <c r="F1390" s="89"/>
    </row>
    <row r="1391" spans="2:6" s="6" customFormat="1" x14ac:dyDescent="0.3">
      <c r="B1391" s="29"/>
      <c r="C1391" s="29"/>
      <c r="D1391" s="30"/>
      <c r="E1391" s="33"/>
      <c r="F1391" s="89"/>
    </row>
    <row r="1392" spans="2:6" s="6" customFormat="1" x14ac:dyDescent="0.3">
      <c r="B1392" s="29"/>
      <c r="C1392" s="29"/>
      <c r="D1392" s="30"/>
      <c r="E1392" s="33"/>
      <c r="F1392" s="89"/>
    </row>
    <row r="1393" spans="2:6" s="6" customFormat="1" x14ac:dyDescent="0.3">
      <c r="B1393" s="29"/>
      <c r="C1393" s="29"/>
      <c r="D1393" s="30"/>
      <c r="E1393" s="33"/>
      <c r="F1393" s="89"/>
    </row>
    <row r="1394" spans="2:6" s="6" customFormat="1" x14ac:dyDescent="0.3">
      <c r="B1394" s="29"/>
      <c r="C1394" s="29"/>
      <c r="D1394" s="30"/>
      <c r="E1394" s="33"/>
      <c r="F1394" s="89"/>
    </row>
    <row r="1395" spans="2:6" s="6" customFormat="1" x14ac:dyDescent="0.3">
      <c r="B1395" s="29"/>
      <c r="C1395" s="29"/>
      <c r="D1395" s="30"/>
      <c r="E1395" s="33"/>
      <c r="F1395" s="89"/>
    </row>
    <row r="1396" spans="2:6" s="6" customFormat="1" x14ac:dyDescent="0.3">
      <c r="B1396" s="29"/>
      <c r="C1396" s="29"/>
      <c r="D1396" s="30"/>
      <c r="E1396" s="33"/>
      <c r="F1396" s="89"/>
    </row>
    <row r="1397" spans="2:6" s="6" customFormat="1" x14ac:dyDescent="0.3">
      <c r="B1397" s="29"/>
      <c r="C1397" s="29"/>
      <c r="D1397" s="30"/>
      <c r="E1397" s="33"/>
      <c r="F1397" s="89"/>
    </row>
    <row r="1398" spans="2:6" s="6" customFormat="1" x14ac:dyDescent="0.3">
      <c r="B1398" s="29"/>
      <c r="C1398" s="29"/>
      <c r="D1398" s="30"/>
      <c r="E1398" s="33"/>
      <c r="F1398" s="89"/>
    </row>
    <row r="1399" spans="2:6" s="6" customFormat="1" x14ac:dyDescent="0.3">
      <c r="B1399" s="29"/>
      <c r="C1399" s="29"/>
      <c r="D1399" s="30"/>
      <c r="E1399" s="33"/>
      <c r="F1399" s="89"/>
    </row>
    <row r="1400" spans="2:6" s="6" customFormat="1" x14ac:dyDescent="0.3">
      <c r="B1400" s="29"/>
      <c r="C1400" s="29"/>
      <c r="D1400" s="30"/>
      <c r="E1400" s="33"/>
      <c r="F1400" s="89"/>
    </row>
    <row r="1401" spans="2:6" s="6" customFormat="1" x14ac:dyDescent="0.3">
      <c r="B1401" s="29"/>
      <c r="C1401" s="29"/>
      <c r="D1401" s="30"/>
      <c r="E1401" s="33"/>
      <c r="F1401" s="89"/>
    </row>
    <row r="1402" spans="2:6" s="6" customFormat="1" x14ac:dyDescent="0.3">
      <c r="B1402" s="29"/>
      <c r="C1402" s="29"/>
      <c r="D1402" s="30"/>
      <c r="E1402" s="33"/>
      <c r="F1402" s="89"/>
    </row>
    <row r="1403" spans="2:6" s="6" customFormat="1" x14ac:dyDescent="0.3">
      <c r="B1403" s="29"/>
      <c r="C1403" s="29"/>
      <c r="D1403" s="30"/>
      <c r="E1403" s="33"/>
      <c r="F1403" s="89"/>
    </row>
    <row r="1404" spans="2:6" s="6" customFormat="1" x14ac:dyDescent="0.3">
      <c r="B1404" s="29"/>
      <c r="C1404" s="29"/>
      <c r="D1404" s="30"/>
      <c r="E1404" s="33"/>
      <c r="F1404" s="89"/>
    </row>
    <row r="1405" spans="2:6" s="6" customFormat="1" x14ac:dyDescent="0.3">
      <c r="B1405" s="29"/>
      <c r="C1405" s="29"/>
      <c r="D1405" s="30"/>
      <c r="E1405" s="33"/>
      <c r="F1405" s="89"/>
    </row>
    <row r="1406" spans="2:6" s="6" customFormat="1" x14ac:dyDescent="0.3">
      <c r="B1406" s="29"/>
      <c r="C1406" s="29"/>
      <c r="D1406" s="30"/>
      <c r="E1406" s="33"/>
      <c r="F1406" s="89"/>
    </row>
    <row r="1407" spans="2:6" s="6" customFormat="1" x14ac:dyDescent="0.3">
      <c r="B1407" s="29"/>
      <c r="C1407" s="29"/>
      <c r="D1407" s="30"/>
      <c r="E1407" s="33"/>
      <c r="F1407" s="89"/>
    </row>
    <row r="1408" spans="2:6" s="6" customFormat="1" x14ac:dyDescent="0.3">
      <c r="B1408" s="29"/>
      <c r="C1408" s="29"/>
      <c r="D1408" s="30"/>
      <c r="E1408" s="33"/>
      <c r="F1408" s="89"/>
    </row>
    <row r="1409" spans="2:6" s="6" customFormat="1" x14ac:dyDescent="0.3">
      <c r="B1409" s="29"/>
      <c r="C1409" s="29"/>
      <c r="D1409" s="30"/>
      <c r="E1409" s="33"/>
      <c r="F1409" s="89"/>
    </row>
    <row r="1410" spans="2:6" s="6" customFormat="1" x14ac:dyDescent="0.3">
      <c r="B1410" s="29"/>
      <c r="C1410" s="29"/>
      <c r="D1410" s="30"/>
      <c r="E1410" s="33"/>
      <c r="F1410" s="89"/>
    </row>
    <row r="1411" spans="2:6" s="6" customFormat="1" x14ac:dyDescent="0.3">
      <c r="B1411" s="29"/>
      <c r="C1411" s="29"/>
      <c r="D1411" s="30"/>
      <c r="E1411" s="33"/>
      <c r="F1411" s="89"/>
    </row>
    <row r="1412" spans="2:6" s="6" customFormat="1" x14ac:dyDescent="0.3">
      <c r="B1412" s="29"/>
      <c r="C1412" s="29"/>
      <c r="D1412" s="30"/>
      <c r="E1412" s="33"/>
      <c r="F1412" s="89"/>
    </row>
    <row r="1413" spans="2:6" s="6" customFormat="1" x14ac:dyDescent="0.3">
      <c r="B1413" s="29"/>
      <c r="C1413" s="29"/>
      <c r="D1413" s="30"/>
      <c r="E1413" s="33"/>
      <c r="F1413" s="89"/>
    </row>
    <row r="1414" spans="2:6" s="6" customFormat="1" x14ac:dyDescent="0.3">
      <c r="B1414" s="29"/>
      <c r="C1414" s="29"/>
      <c r="D1414" s="30"/>
      <c r="E1414" s="33"/>
      <c r="F1414" s="89"/>
    </row>
    <row r="1415" spans="2:6" s="6" customFormat="1" x14ac:dyDescent="0.3">
      <c r="B1415" s="29"/>
      <c r="C1415" s="29"/>
      <c r="D1415" s="30"/>
      <c r="E1415" s="33"/>
      <c r="F1415" s="89"/>
    </row>
    <row r="1416" spans="2:6" s="6" customFormat="1" x14ac:dyDescent="0.3">
      <c r="B1416" s="29"/>
      <c r="C1416" s="29"/>
      <c r="D1416" s="30"/>
      <c r="E1416" s="33"/>
      <c r="F1416" s="89"/>
    </row>
    <row r="1417" spans="2:6" s="6" customFormat="1" x14ac:dyDescent="0.3">
      <c r="B1417" s="29"/>
      <c r="C1417" s="29"/>
      <c r="D1417" s="30"/>
      <c r="E1417" s="33"/>
      <c r="F1417" s="89"/>
    </row>
    <row r="1418" spans="2:6" s="6" customFormat="1" x14ac:dyDescent="0.3">
      <c r="B1418" s="29"/>
      <c r="C1418" s="29"/>
      <c r="D1418" s="30"/>
      <c r="E1418" s="33"/>
      <c r="F1418" s="89"/>
    </row>
    <row r="1419" spans="2:6" s="6" customFormat="1" x14ac:dyDescent="0.3">
      <c r="B1419" s="29"/>
      <c r="C1419" s="29"/>
      <c r="D1419" s="30"/>
      <c r="E1419" s="33"/>
      <c r="F1419" s="89"/>
    </row>
    <row r="1420" spans="2:6" s="6" customFormat="1" x14ac:dyDescent="0.3">
      <c r="B1420" s="29"/>
      <c r="C1420" s="29"/>
      <c r="D1420" s="30"/>
      <c r="E1420" s="33"/>
      <c r="F1420" s="89"/>
    </row>
    <row r="1421" spans="2:6" s="6" customFormat="1" x14ac:dyDescent="0.3">
      <c r="B1421" s="29"/>
      <c r="C1421" s="29"/>
      <c r="D1421" s="30"/>
      <c r="E1421" s="33"/>
      <c r="F1421" s="89"/>
    </row>
    <row r="1422" spans="2:6" s="6" customFormat="1" x14ac:dyDescent="0.3">
      <c r="B1422" s="29"/>
      <c r="C1422" s="29"/>
      <c r="D1422" s="30"/>
      <c r="E1422" s="33"/>
      <c r="F1422" s="89"/>
    </row>
    <row r="1423" spans="2:6" s="6" customFormat="1" x14ac:dyDescent="0.3">
      <c r="B1423" s="29"/>
      <c r="C1423" s="29"/>
      <c r="D1423" s="30"/>
      <c r="E1423" s="33"/>
      <c r="F1423" s="89"/>
    </row>
    <row r="1424" spans="2:6" s="6" customFormat="1" x14ac:dyDescent="0.3">
      <c r="B1424" s="29"/>
      <c r="C1424" s="29"/>
      <c r="D1424" s="30"/>
      <c r="E1424" s="33"/>
      <c r="F1424" s="89"/>
    </row>
    <row r="1425" spans="2:6" s="6" customFormat="1" x14ac:dyDescent="0.3">
      <c r="B1425" s="29"/>
      <c r="C1425" s="29"/>
      <c r="D1425" s="30"/>
      <c r="E1425" s="33"/>
      <c r="F1425" s="89"/>
    </row>
    <row r="1426" spans="2:6" s="6" customFormat="1" x14ac:dyDescent="0.3">
      <c r="B1426" s="29"/>
      <c r="C1426" s="29"/>
      <c r="D1426" s="30"/>
      <c r="E1426" s="33"/>
      <c r="F1426" s="89"/>
    </row>
    <row r="1427" spans="2:6" s="6" customFormat="1" x14ac:dyDescent="0.3">
      <c r="B1427" s="29"/>
      <c r="C1427" s="29"/>
      <c r="D1427" s="30"/>
      <c r="E1427" s="33"/>
      <c r="F1427" s="89"/>
    </row>
    <row r="1428" spans="2:6" s="6" customFormat="1" x14ac:dyDescent="0.3">
      <c r="B1428" s="29"/>
      <c r="C1428" s="29"/>
      <c r="D1428" s="30"/>
      <c r="E1428" s="33"/>
      <c r="F1428" s="89"/>
    </row>
    <row r="1429" spans="2:6" s="6" customFormat="1" x14ac:dyDescent="0.3">
      <c r="B1429" s="29"/>
      <c r="C1429" s="29"/>
      <c r="D1429" s="30"/>
      <c r="E1429" s="33"/>
      <c r="F1429" s="89"/>
    </row>
    <row r="1430" spans="2:6" s="6" customFormat="1" x14ac:dyDescent="0.3">
      <c r="B1430" s="29"/>
      <c r="C1430" s="29"/>
      <c r="D1430" s="30"/>
      <c r="E1430" s="33"/>
      <c r="F1430" s="89"/>
    </row>
    <row r="1431" spans="2:6" s="6" customFormat="1" x14ac:dyDescent="0.3">
      <c r="B1431" s="29"/>
      <c r="C1431" s="29"/>
      <c r="D1431" s="30"/>
      <c r="E1431" s="33"/>
      <c r="F1431" s="89"/>
    </row>
    <row r="1432" spans="2:6" s="6" customFormat="1" x14ac:dyDescent="0.3">
      <c r="B1432" s="29"/>
      <c r="C1432" s="29"/>
      <c r="D1432" s="30"/>
      <c r="E1432" s="33"/>
      <c r="F1432" s="89"/>
    </row>
    <row r="1433" spans="2:6" s="6" customFormat="1" x14ac:dyDescent="0.3">
      <c r="B1433" s="29"/>
      <c r="C1433" s="29"/>
      <c r="D1433" s="30"/>
      <c r="E1433" s="33"/>
      <c r="F1433" s="89"/>
    </row>
    <row r="1434" spans="2:6" s="6" customFormat="1" x14ac:dyDescent="0.3">
      <c r="B1434" s="29"/>
      <c r="C1434" s="29"/>
      <c r="D1434" s="30"/>
      <c r="E1434" s="33"/>
      <c r="F1434" s="89"/>
    </row>
    <row r="1435" spans="2:6" s="6" customFormat="1" x14ac:dyDescent="0.3">
      <c r="B1435" s="29"/>
      <c r="C1435" s="29"/>
      <c r="D1435" s="30"/>
      <c r="E1435" s="33"/>
      <c r="F1435" s="89"/>
    </row>
    <row r="1436" spans="2:6" s="6" customFormat="1" x14ac:dyDescent="0.3">
      <c r="B1436" s="29"/>
      <c r="C1436" s="29"/>
      <c r="D1436" s="30"/>
      <c r="E1436" s="33"/>
      <c r="F1436" s="89"/>
    </row>
    <row r="1437" spans="2:6" s="6" customFormat="1" x14ac:dyDescent="0.3">
      <c r="B1437" s="29"/>
      <c r="C1437" s="29"/>
      <c r="D1437" s="30"/>
      <c r="E1437" s="33"/>
      <c r="F1437" s="89"/>
    </row>
    <row r="1438" spans="2:6" s="6" customFormat="1" x14ac:dyDescent="0.3">
      <c r="B1438" s="29"/>
      <c r="C1438" s="29"/>
      <c r="D1438" s="30"/>
      <c r="E1438" s="33"/>
      <c r="F1438" s="89"/>
    </row>
    <row r="1439" spans="2:6" s="6" customFormat="1" x14ac:dyDescent="0.3">
      <c r="B1439" s="29"/>
      <c r="C1439" s="29"/>
      <c r="D1439" s="30"/>
      <c r="E1439" s="33"/>
      <c r="F1439" s="89"/>
    </row>
    <row r="1440" spans="2:6" s="6" customFormat="1" x14ac:dyDescent="0.3">
      <c r="B1440" s="29"/>
      <c r="C1440" s="29"/>
      <c r="D1440" s="30"/>
      <c r="E1440" s="33"/>
      <c r="F1440" s="89"/>
    </row>
    <row r="1441" spans="2:6" s="6" customFormat="1" x14ac:dyDescent="0.3">
      <c r="B1441" s="29"/>
      <c r="C1441" s="29"/>
      <c r="D1441" s="30"/>
      <c r="E1441" s="33"/>
      <c r="F1441" s="89"/>
    </row>
    <row r="1442" spans="2:6" s="6" customFormat="1" x14ac:dyDescent="0.3">
      <c r="B1442" s="29"/>
      <c r="C1442" s="29"/>
      <c r="D1442" s="30"/>
      <c r="E1442" s="33"/>
      <c r="F1442" s="89"/>
    </row>
    <row r="1443" spans="2:6" s="6" customFormat="1" x14ac:dyDescent="0.3">
      <c r="B1443" s="29"/>
      <c r="C1443" s="29"/>
      <c r="D1443" s="30"/>
      <c r="E1443" s="33"/>
      <c r="F1443" s="89"/>
    </row>
    <row r="1444" spans="2:6" s="6" customFormat="1" x14ac:dyDescent="0.3">
      <c r="B1444" s="29"/>
      <c r="C1444" s="29"/>
      <c r="D1444" s="30"/>
      <c r="E1444" s="33"/>
      <c r="F1444" s="89"/>
    </row>
    <row r="1445" spans="2:6" s="6" customFormat="1" x14ac:dyDescent="0.3">
      <c r="B1445" s="29"/>
      <c r="C1445" s="29"/>
      <c r="D1445" s="30"/>
      <c r="E1445" s="33"/>
      <c r="F1445" s="89"/>
    </row>
    <row r="1446" spans="2:6" s="6" customFormat="1" x14ac:dyDescent="0.3">
      <c r="B1446" s="29"/>
      <c r="C1446" s="29"/>
      <c r="D1446" s="30"/>
      <c r="E1446" s="33"/>
      <c r="F1446" s="89"/>
    </row>
    <row r="1447" spans="2:6" s="6" customFormat="1" x14ac:dyDescent="0.3">
      <c r="B1447" s="29"/>
      <c r="C1447" s="29"/>
      <c r="D1447" s="30"/>
      <c r="E1447" s="33"/>
      <c r="F1447" s="89"/>
    </row>
    <row r="1448" spans="2:6" s="6" customFormat="1" x14ac:dyDescent="0.3">
      <c r="B1448" s="29"/>
      <c r="C1448" s="29"/>
      <c r="D1448" s="30"/>
      <c r="E1448" s="33"/>
      <c r="F1448" s="89"/>
    </row>
    <row r="1449" spans="2:6" s="6" customFormat="1" x14ac:dyDescent="0.3">
      <c r="B1449" s="29"/>
      <c r="C1449" s="29"/>
      <c r="D1449" s="30"/>
      <c r="E1449" s="33"/>
      <c r="F1449" s="89"/>
    </row>
    <row r="1450" spans="2:6" s="6" customFormat="1" x14ac:dyDescent="0.3">
      <c r="B1450" s="29"/>
      <c r="C1450" s="29"/>
      <c r="D1450" s="30"/>
      <c r="E1450" s="33"/>
      <c r="F1450" s="89"/>
    </row>
    <row r="1451" spans="2:6" s="6" customFormat="1" x14ac:dyDescent="0.3">
      <c r="B1451" s="29"/>
      <c r="C1451" s="29"/>
      <c r="D1451" s="30"/>
      <c r="E1451" s="33"/>
      <c r="F1451" s="89"/>
    </row>
    <row r="1452" spans="2:6" s="6" customFormat="1" x14ac:dyDescent="0.3">
      <c r="B1452" s="29"/>
      <c r="C1452" s="29"/>
      <c r="D1452" s="30"/>
      <c r="E1452" s="33"/>
      <c r="F1452" s="89"/>
    </row>
    <row r="1453" spans="2:6" s="6" customFormat="1" x14ac:dyDescent="0.3">
      <c r="B1453" s="29"/>
      <c r="C1453" s="29"/>
      <c r="D1453" s="30"/>
      <c r="E1453" s="33"/>
      <c r="F1453" s="89"/>
    </row>
    <row r="1454" spans="2:6" s="6" customFormat="1" x14ac:dyDescent="0.3">
      <c r="B1454" s="29"/>
      <c r="C1454" s="29"/>
      <c r="D1454" s="30"/>
      <c r="E1454" s="33"/>
      <c r="F1454" s="89"/>
    </row>
    <row r="1455" spans="2:6" s="6" customFormat="1" x14ac:dyDescent="0.3">
      <c r="B1455" s="29"/>
      <c r="C1455" s="29"/>
      <c r="D1455" s="30"/>
      <c r="E1455" s="33"/>
      <c r="F1455" s="89"/>
    </row>
    <row r="1456" spans="2:6" s="6" customFormat="1" x14ac:dyDescent="0.3">
      <c r="B1456" s="29"/>
      <c r="C1456" s="29"/>
      <c r="D1456" s="30"/>
      <c r="E1456" s="33"/>
      <c r="F1456" s="89"/>
    </row>
    <row r="1457" spans="2:6" s="6" customFormat="1" x14ac:dyDescent="0.3">
      <c r="B1457" s="29"/>
      <c r="C1457" s="29"/>
      <c r="D1457" s="30"/>
      <c r="E1457" s="33"/>
      <c r="F1457" s="89"/>
    </row>
    <row r="1458" spans="2:6" s="6" customFormat="1" x14ac:dyDescent="0.3">
      <c r="B1458" s="29"/>
      <c r="C1458" s="29"/>
      <c r="D1458" s="30"/>
      <c r="E1458" s="33"/>
      <c r="F1458" s="89"/>
    </row>
    <row r="1459" spans="2:6" s="6" customFormat="1" x14ac:dyDescent="0.3">
      <c r="B1459" s="29"/>
      <c r="C1459" s="29"/>
      <c r="D1459" s="30"/>
      <c r="E1459" s="33"/>
      <c r="F1459" s="89"/>
    </row>
    <row r="1460" spans="2:6" s="6" customFormat="1" x14ac:dyDescent="0.3">
      <c r="B1460" s="29"/>
      <c r="C1460" s="29"/>
      <c r="D1460" s="30"/>
      <c r="E1460" s="33"/>
      <c r="F1460" s="89"/>
    </row>
    <row r="1461" spans="2:6" s="6" customFormat="1" x14ac:dyDescent="0.3">
      <c r="B1461" s="29"/>
      <c r="C1461" s="29"/>
      <c r="D1461" s="30"/>
      <c r="E1461" s="33"/>
      <c r="F1461" s="89"/>
    </row>
    <row r="1462" spans="2:6" s="6" customFormat="1" x14ac:dyDescent="0.3">
      <c r="B1462" s="29"/>
      <c r="C1462" s="29"/>
      <c r="D1462" s="30"/>
      <c r="E1462" s="33"/>
      <c r="F1462" s="89"/>
    </row>
    <row r="1463" spans="2:6" s="6" customFormat="1" x14ac:dyDescent="0.3">
      <c r="B1463" s="29"/>
      <c r="C1463" s="29"/>
      <c r="D1463" s="30"/>
      <c r="E1463" s="33"/>
      <c r="F1463" s="89"/>
    </row>
    <row r="1464" spans="2:6" s="6" customFormat="1" x14ac:dyDescent="0.3">
      <c r="B1464" s="29"/>
      <c r="C1464" s="29"/>
      <c r="D1464" s="30"/>
      <c r="E1464" s="33"/>
      <c r="F1464" s="89"/>
    </row>
    <row r="1465" spans="2:6" s="6" customFormat="1" x14ac:dyDescent="0.3">
      <c r="B1465" s="29"/>
      <c r="C1465" s="29"/>
      <c r="D1465" s="30"/>
      <c r="E1465" s="33"/>
      <c r="F1465" s="89"/>
    </row>
    <row r="1466" spans="2:6" s="6" customFormat="1" x14ac:dyDescent="0.3">
      <c r="B1466" s="29"/>
      <c r="C1466" s="29"/>
      <c r="D1466" s="30"/>
      <c r="E1466" s="33"/>
      <c r="F1466" s="89"/>
    </row>
    <row r="1467" spans="2:6" s="6" customFormat="1" x14ac:dyDescent="0.3">
      <c r="B1467" s="29"/>
      <c r="C1467" s="29"/>
      <c r="D1467" s="30"/>
      <c r="E1467" s="33"/>
      <c r="F1467" s="89"/>
    </row>
    <row r="1468" spans="2:6" s="6" customFormat="1" x14ac:dyDescent="0.3">
      <c r="B1468" s="29"/>
      <c r="C1468" s="29"/>
      <c r="D1468" s="30"/>
      <c r="E1468" s="33"/>
      <c r="F1468" s="89"/>
    </row>
    <row r="1469" spans="2:6" s="6" customFormat="1" x14ac:dyDescent="0.3">
      <c r="B1469" s="29"/>
      <c r="C1469" s="29"/>
      <c r="D1469" s="30"/>
      <c r="E1469" s="33"/>
      <c r="F1469" s="89"/>
    </row>
    <row r="1470" spans="2:6" s="6" customFormat="1" x14ac:dyDescent="0.3">
      <c r="B1470" s="29"/>
      <c r="C1470" s="29"/>
      <c r="D1470" s="30"/>
      <c r="E1470" s="33"/>
      <c r="F1470" s="89"/>
    </row>
    <row r="1471" spans="2:6" s="6" customFormat="1" x14ac:dyDescent="0.3">
      <c r="B1471" s="29"/>
      <c r="C1471" s="29"/>
      <c r="D1471" s="30"/>
      <c r="E1471" s="33"/>
      <c r="F1471" s="89"/>
    </row>
    <row r="1472" spans="2:6" s="6" customFormat="1" x14ac:dyDescent="0.3">
      <c r="B1472" s="29"/>
      <c r="C1472" s="29"/>
      <c r="D1472" s="30"/>
      <c r="E1472" s="33"/>
      <c r="F1472" s="89"/>
    </row>
    <row r="1473" spans="2:6" s="6" customFormat="1" x14ac:dyDescent="0.3">
      <c r="B1473" s="29"/>
      <c r="C1473" s="29"/>
      <c r="D1473" s="30"/>
      <c r="E1473" s="33"/>
      <c r="F1473" s="89"/>
    </row>
    <row r="1474" spans="2:6" s="6" customFormat="1" x14ac:dyDescent="0.3">
      <c r="B1474" s="29"/>
      <c r="C1474" s="29"/>
      <c r="D1474" s="30"/>
      <c r="E1474" s="33"/>
      <c r="F1474" s="89"/>
    </row>
    <row r="1475" spans="2:6" s="6" customFormat="1" x14ac:dyDescent="0.3">
      <c r="B1475" s="29"/>
      <c r="C1475" s="29"/>
      <c r="D1475" s="30"/>
      <c r="E1475" s="33"/>
      <c r="F1475" s="89"/>
    </row>
    <row r="1476" spans="2:6" s="6" customFormat="1" x14ac:dyDescent="0.3">
      <c r="B1476" s="29"/>
      <c r="C1476" s="29"/>
      <c r="D1476" s="30"/>
      <c r="E1476" s="33"/>
      <c r="F1476" s="89"/>
    </row>
    <row r="1477" spans="2:6" s="6" customFormat="1" x14ac:dyDescent="0.3">
      <c r="B1477" s="29"/>
      <c r="C1477" s="29"/>
      <c r="D1477" s="30"/>
      <c r="E1477" s="33"/>
      <c r="F1477" s="89"/>
    </row>
    <row r="1478" spans="2:6" s="6" customFormat="1" x14ac:dyDescent="0.3">
      <c r="B1478" s="29"/>
      <c r="C1478" s="29"/>
      <c r="D1478" s="30"/>
      <c r="E1478" s="33"/>
      <c r="F1478" s="89"/>
    </row>
    <row r="1479" spans="2:6" s="6" customFormat="1" x14ac:dyDescent="0.3">
      <c r="B1479" s="29"/>
      <c r="C1479" s="29"/>
      <c r="D1479" s="30"/>
      <c r="E1479" s="33"/>
      <c r="F1479" s="89"/>
    </row>
    <row r="1480" spans="2:6" s="6" customFormat="1" x14ac:dyDescent="0.3">
      <c r="B1480" s="29"/>
      <c r="C1480" s="29"/>
      <c r="D1480" s="30"/>
      <c r="E1480" s="33"/>
      <c r="F1480" s="89"/>
    </row>
    <row r="1481" spans="2:6" s="6" customFormat="1" x14ac:dyDescent="0.3">
      <c r="B1481" s="29"/>
      <c r="C1481" s="29"/>
      <c r="D1481" s="30"/>
      <c r="E1481" s="33"/>
      <c r="F1481" s="89"/>
    </row>
    <row r="1482" spans="2:6" s="6" customFormat="1" x14ac:dyDescent="0.3">
      <c r="B1482" s="29"/>
      <c r="C1482" s="29"/>
      <c r="D1482" s="30"/>
      <c r="E1482" s="33"/>
      <c r="F1482" s="89"/>
    </row>
    <row r="1483" spans="2:6" s="6" customFormat="1" x14ac:dyDescent="0.3">
      <c r="B1483" s="29"/>
      <c r="C1483" s="29"/>
      <c r="D1483" s="30"/>
      <c r="E1483" s="33"/>
      <c r="F1483" s="89"/>
    </row>
    <row r="1484" spans="2:6" s="6" customFormat="1" x14ac:dyDescent="0.3">
      <c r="B1484" s="29"/>
      <c r="C1484" s="29"/>
      <c r="D1484" s="30"/>
      <c r="E1484" s="33"/>
      <c r="F1484" s="89"/>
    </row>
    <row r="1485" spans="2:6" s="6" customFormat="1" x14ac:dyDescent="0.3">
      <c r="B1485" s="29"/>
      <c r="C1485" s="29"/>
      <c r="D1485" s="30"/>
      <c r="E1485" s="33"/>
      <c r="F1485" s="89"/>
    </row>
    <row r="1486" spans="2:6" s="6" customFormat="1" x14ac:dyDescent="0.3">
      <c r="B1486" s="29"/>
      <c r="C1486" s="29"/>
      <c r="D1486" s="30"/>
      <c r="E1486" s="33"/>
      <c r="F1486" s="89"/>
    </row>
    <row r="1487" spans="2:6" s="6" customFormat="1" x14ac:dyDescent="0.3">
      <c r="B1487" s="29"/>
      <c r="C1487" s="29"/>
      <c r="D1487" s="30"/>
      <c r="E1487" s="33"/>
      <c r="F1487" s="89"/>
    </row>
    <row r="1488" spans="2:6" s="6" customFormat="1" x14ac:dyDescent="0.3">
      <c r="B1488" s="29"/>
      <c r="C1488" s="29"/>
      <c r="D1488" s="30"/>
      <c r="E1488" s="33"/>
      <c r="F1488" s="89"/>
    </row>
    <row r="1489" spans="2:6" s="6" customFormat="1" x14ac:dyDescent="0.3">
      <c r="B1489" s="29"/>
      <c r="C1489" s="29"/>
      <c r="D1489" s="30"/>
      <c r="E1489" s="33"/>
      <c r="F1489" s="89"/>
    </row>
    <row r="1490" spans="2:6" s="6" customFormat="1" x14ac:dyDescent="0.3">
      <c r="B1490" s="29"/>
      <c r="C1490" s="29"/>
      <c r="D1490" s="30"/>
      <c r="E1490" s="33"/>
      <c r="F1490" s="89"/>
    </row>
    <row r="1491" spans="2:6" s="6" customFormat="1" x14ac:dyDescent="0.3">
      <c r="B1491" s="29"/>
      <c r="C1491" s="29"/>
      <c r="D1491" s="30"/>
      <c r="E1491" s="33"/>
      <c r="F1491" s="89"/>
    </row>
    <row r="1492" spans="2:6" s="6" customFormat="1" x14ac:dyDescent="0.3">
      <c r="B1492" s="29"/>
      <c r="C1492" s="29"/>
      <c r="D1492" s="30"/>
      <c r="E1492" s="33"/>
      <c r="F1492" s="89"/>
    </row>
    <row r="1493" spans="2:6" s="6" customFormat="1" x14ac:dyDescent="0.3">
      <c r="B1493" s="29"/>
      <c r="C1493" s="29"/>
      <c r="D1493" s="30"/>
      <c r="E1493" s="33"/>
      <c r="F1493" s="89"/>
    </row>
    <row r="1494" spans="2:6" s="6" customFormat="1" x14ac:dyDescent="0.3">
      <c r="B1494" s="29"/>
      <c r="C1494" s="29"/>
      <c r="D1494" s="30"/>
      <c r="E1494" s="33"/>
      <c r="F1494" s="89"/>
    </row>
    <row r="1495" spans="2:6" s="6" customFormat="1" x14ac:dyDescent="0.3">
      <c r="B1495" s="29"/>
      <c r="C1495" s="29"/>
      <c r="D1495" s="30"/>
      <c r="E1495" s="33"/>
      <c r="F1495" s="89"/>
    </row>
    <row r="1496" spans="2:6" s="6" customFormat="1" x14ac:dyDescent="0.3">
      <c r="B1496" s="29"/>
      <c r="C1496" s="29"/>
      <c r="D1496" s="30"/>
      <c r="E1496" s="33"/>
      <c r="F1496" s="89"/>
    </row>
    <row r="1497" spans="2:6" s="6" customFormat="1" x14ac:dyDescent="0.3">
      <c r="B1497" s="29"/>
      <c r="C1497" s="29"/>
      <c r="D1497" s="30"/>
      <c r="E1497" s="33"/>
      <c r="F1497" s="89"/>
    </row>
    <row r="1498" spans="2:6" s="6" customFormat="1" x14ac:dyDescent="0.3">
      <c r="B1498" s="29"/>
      <c r="C1498" s="29"/>
      <c r="D1498" s="30"/>
      <c r="E1498" s="33"/>
      <c r="F1498" s="89"/>
    </row>
    <row r="1499" spans="2:6" s="6" customFormat="1" x14ac:dyDescent="0.3">
      <c r="B1499" s="29"/>
      <c r="C1499" s="29"/>
      <c r="D1499" s="30"/>
      <c r="E1499" s="33"/>
      <c r="F1499" s="89"/>
    </row>
    <row r="1500" spans="2:6" s="6" customFormat="1" x14ac:dyDescent="0.3">
      <c r="B1500" s="29"/>
      <c r="C1500" s="29"/>
      <c r="D1500" s="30"/>
      <c r="E1500" s="33"/>
      <c r="F1500" s="89"/>
    </row>
    <row r="1501" spans="2:6" s="6" customFormat="1" x14ac:dyDescent="0.3">
      <c r="B1501" s="29"/>
      <c r="C1501" s="29"/>
      <c r="D1501" s="30"/>
      <c r="E1501" s="33"/>
      <c r="F1501" s="89"/>
    </row>
    <row r="1502" spans="2:6" s="6" customFormat="1" x14ac:dyDescent="0.3">
      <c r="B1502" s="29"/>
      <c r="C1502" s="29"/>
      <c r="D1502" s="30"/>
      <c r="E1502" s="33"/>
      <c r="F1502" s="89"/>
    </row>
    <row r="1503" spans="2:6" s="6" customFormat="1" x14ac:dyDescent="0.3">
      <c r="B1503" s="29"/>
      <c r="C1503" s="29"/>
      <c r="D1503" s="30"/>
      <c r="E1503" s="33"/>
      <c r="F1503" s="89"/>
    </row>
    <row r="1504" spans="2:6" s="6" customFormat="1" x14ac:dyDescent="0.3">
      <c r="B1504" s="29"/>
      <c r="C1504" s="29"/>
      <c r="D1504" s="30"/>
      <c r="E1504" s="33"/>
      <c r="F1504" s="89"/>
    </row>
    <row r="1505" spans="2:6" s="6" customFormat="1" x14ac:dyDescent="0.3">
      <c r="B1505" s="29"/>
      <c r="C1505" s="29"/>
      <c r="D1505" s="30"/>
      <c r="E1505" s="33"/>
      <c r="F1505" s="89"/>
    </row>
    <row r="1506" spans="2:6" s="6" customFormat="1" x14ac:dyDescent="0.3">
      <c r="B1506" s="29"/>
      <c r="C1506" s="29"/>
      <c r="D1506" s="30"/>
      <c r="E1506" s="33"/>
      <c r="F1506" s="89"/>
    </row>
    <row r="1507" spans="2:6" s="6" customFormat="1" x14ac:dyDescent="0.3">
      <c r="B1507" s="29"/>
      <c r="C1507" s="29"/>
      <c r="D1507" s="30"/>
      <c r="E1507" s="33"/>
      <c r="F1507" s="89"/>
    </row>
    <row r="1508" spans="2:6" s="6" customFormat="1" x14ac:dyDescent="0.3">
      <c r="B1508" s="29"/>
      <c r="C1508" s="29"/>
      <c r="D1508" s="30"/>
      <c r="E1508" s="33"/>
      <c r="F1508" s="89"/>
    </row>
    <row r="1509" spans="2:6" s="6" customFormat="1" x14ac:dyDescent="0.3">
      <c r="B1509" s="29"/>
      <c r="C1509" s="29"/>
      <c r="D1509" s="30"/>
      <c r="E1509" s="33"/>
      <c r="F1509" s="89"/>
    </row>
    <row r="1510" spans="2:6" s="6" customFormat="1" x14ac:dyDescent="0.3">
      <c r="B1510" s="29"/>
      <c r="C1510" s="29"/>
      <c r="D1510" s="30"/>
      <c r="E1510" s="33"/>
      <c r="F1510" s="89"/>
    </row>
    <row r="1511" spans="2:6" s="6" customFormat="1" x14ac:dyDescent="0.3">
      <c r="B1511" s="29"/>
      <c r="C1511" s="29"/>
      <c r="D1511" s="30"/>
      <c r="E1511" s="33"/>
      <c r="F1511" s="89"/>
    </row>
    <row r="1512" spans="2:6" s="6" customFormat="1" x14ac:dyDescent="0.3">
      <c r="B1512" s="29"/>
      <c r="C1512" s="29"/>
      <c r="D1512" s="30"/>
      <c r="E1512" s="33"/>
      <c r="F1512" s="89"/>
    </row>
    <row r="1513" spans="2:6" s="6" customFormat="1" x14ac:dyDescent="0.3">
      <c r="B1513" s="29"/>
      <c r="C1513" s="29"/>
      <c r="D1513" s="30"/>
      <c r="E1513" s="33"/>
      <c r="F1513" s="89"/>
    </row>
    <row r="1514" spans="2:6" s="6" customFormat="1" x14ac:dyDescent="0.3">
      <c r="B1514" s="29"/>
      <c r="C1514" s="29"/>
      <c r="D1514" s="30"/>
      <c r="E1514" s="33"/>
      <c r="F1514" s="89"/>
    </row>
    <row r="1515" spans="2:6" s="6" customFormat="1" x14ac:dyDescent="0.3">
      <c r="B1515" s="29"/>
      <c r="C1515" s="29"/>
      <c r="D1515" s="30"/>
      <c r="E1515" s="33"/>
      <c r="F1515" s="89"/>
    </row>
    <row r="1516" spans="2:6" s="6" customFormat="1" x14ac:dyDescent="0.3">
      <c r="B1516" s="29"/>
      <c r="C1516" s="29"/>
      <c r="D1516" s="30"/>
      <c r="E1516" s="33"/>
      <c r="F1516" s="89"/>
    </row>
    <row r="1517" spans="2:6" s="6" customFormat="1" x14ac:dyDescent="0.3">
      <c r="B1517" s="29"/>
      <c r="C1517" s="29"/>
      <c r="D1517" s="30"/>
      <c r="E1517" s="33"/>
      <c r="F1517" s="89"/>
    </row>
    <row r="1518" spans="2:6" s="6" customFormat="1" x14ac:dyDescent="0.3">
      <c r="B1518" s="29"/>
      <c r="C1518" s="29"/>
      <c r="D1518" s="30"/>
      <c r="E1518" s="33"/>
      <c r="F1518" s="89"/>
    </row>
    <row r="1519" spans="2:6" s="6" customFormat="1" x14ac:dyDescent="0.3">
      <c r="B1519" s="29"/>
      <c r="C1519" s="29"/>
      <c r="D1519" s="30"/>
      <c r="E1519" s="33"/>
      <c r="F1519" s="89"/>
    </row>
    <row r="1520" spans="2:6" s="6" customFormat="1" x14ac:dyDescent="0.3">
      <c r="B1520" s="29"/>
      <c r="C1520" s="29"/>
      <c r="D1520" s="30"/>
      <c r="E1520" s="33"/>
      <c r="F1520" s="89"/>
    </row>
    <row r="1521" spans="2:6" s="6" customFormat="1" x14ac:dyDescent="0.3">
      <c r="B1521" s="29"/>
      <c r="C1521" s="29"/>
      <c r="D1521" s="30"/>
      <c r="E1521" s="33"/>
      <c r="F1521" s="89"/>
    </row>
    <row r="1522" spans="2:6" s="6" customFormat="1" x14ac:dyDescent="0.3">
      <c r="B1522" s="29"/>
      <c r="C1522" s="29"/>
      <c r="D1522" s="30"/>
      <c r="E1522" s="33"/>
      <c r="F1522" s="89"/>
    </row>
    <row r="1523" spans="2:6" s="6" customFormat="1" x14ac:dyDescent="0.3">
      <c r="B1523" s="29"/>
      <c r="C1523" s="29"/>
      <c r="D1523" s="30"/>
      <c r="E1523" s="33"/>
      <c r="F1523" s="89"/>
    </row>
    <row r="1524" spans="2:6" s="6" customFormat="1" x14ac:dyDescent="0.3">
      <c r="B1524" s="29"/>
      <c r="C1524" s="29"/>
      <c r="D1524" s="30"/>
      <c r="E1524" s="33"/>
      <c r="F1524" s="89"/>
    </row>
    <row r="1525" spans="2:6" s="6" customFormat="1" x14ac:dyDescent="0.3">
      <c r="B1525" s="29"/>
      <c r="C1525" s="29"/>
      <c r="D1525" s="30"/>
      <c r="E1525" s="33"/>
      <c r="F1525" s="89"/>
    </row>
    <row r="1526" spans="2:6" s="6" customFormat="1" x14ac:dyDescent="0.3">
      <c r="B1526" s="29"/>
      <c r="C1526" s="29"/>
      <c r="D1526" s="30"/>
      <c r="E1526" s="33"/>
      <c r="F1526" s="89"/>
    </row>
    <row r="1527" spans="2:6" s="6" customFormat="1" x14ac:dyDescent="0.3">
      <c r="B1527" s="29"/>
      <c r="C1527" s="29"/>
      <c r="D1527" s="30"/>
      <c r="E1527" s="33"/>
      <c r="F1527" s="89"/>
    </row>
    <row r="1528" spans="2:6" s="6" customFormat="1" x14ac:dyDescent="0.3">
      <c r="B1528" s="29"/>
      <c r="C1528" s="29"/>
      <c r="D1528" s="30"/>
      <c r="E1528" s="33"/>
      <c r="F1528" s="89"/>
    </row>
    <row r="1529" spans="2:6" s="6" customFormat="1" x14ac:dyDescent="0.3">
      <c r="B1529" s="29"/>
      <c r="C1529" s="29"/>
      <c r="D1529" s="30"/>
      <c r="E1529" s="33"/>
      <c r="F1529" s="89"/>
    </row>
    <row r="1530" spans="2:6" s="6" customFormat="1" x14ac:dyDescent="0.3">
      <c r="B1530" s="29"/>
      <c r="C1530" s="29"/>
      <c r="D1530" s="30"/>
      <c r="E1530" s="33"/>
      <c r="F1530" s="89"/>
    </row>
    <row r="1531" spans="2:6" s="6" customFormat="1" x14ac:dyDescent="0.3">
      <c r="B1531" s="29"/>
      <c r="C1531" s="29"/>
      <c r="D1531" s="30"/>
      <c r="E1531" s="33"/>
      <c r="F1531" s="89"/>
    </row>
    <row r="1532" spans="2:6" s="6" customFormat="1" x14ac:dyDescent="0.3">
      <c r="B1532" s="29"/>
      <c r="C1532" s="29"/>
      <c r="D1532" s="30"/>
      <c r="E1532" s="33"/>
      <c r="F1532" s="89"/>
    </row>
    <row r="1533" spans="2:6" s="6" customFormat="1" x14ac:dyDescent="0.3">
      <c r="B1533" s="29"/>
      <c r="C1533" s="29"/>
      <c r="D1533" s="30"/>
      <c r="E1533" s="33"/>
      <c r="F1533" s="89"/>
    </row>
    <row r="1534" spans="2:6" s="6" customFormat="1" x14ac:dyDescent="0.3">
      <c r="B1534" s="29"/>
      <c r="C1534" s="29"/>
      <c r="D1534" s="30"/>
      <c r="E1534" s="33"/>
      <c r="F1534" s="89"/>
    </row>
    <row r="1535" spans="2:6" s="6" customFormat="1" x14ac:dyDescent="0.3">
      <c r="B1535" s="29"/>
      <c r="C1535" s="29"/>
      <c r="D1535" s="30"/>
      <c r="E1535" s="33"/>
      <c r="F1535" s="89"/>
    </row>
    <row r="1536" spans="2:6" s="6" customFormat="1" x14ac:dyDescent="0.3">
      <c r="B1536" s="29"/>
      <c r="C1536" s="29"/>
      <c r="D1536" s="30"/>
      <c r="E1536" s="33"/>
      <c r="F1536" s="89"/>
    </row>
    <row r="1537" spans="2:6" s="6" customFormat="1" x14ac:dyDescent="0.3">
      <c r="B1537" s="29"/>
      <c r="C1537" s="29"/>
      <c r="D1537" s="30"/>
      <c r="E1537" s="33"/>
      <c r="F1537" s="89"/>
    </row>
    <row r="1538" spans="2:6" s="6" customFormat="1" x14ac:dyDescent="0.3">
      <c r="B1538" s="29"/>
      <c r="C1538" s="29"/>
      <c r="D1538" s="30"/>
      <c r="E1538" s="33"/>
      <c r="F1538" s="89"/>
    </row>
    <row r="1539" spans="2:6" s="6" customFormat="1" x14ac:dyDescent="0.3">
      <c r="B1539" s="29"/>
      <c r="C1539" s="29"/>
      <c r="D1539" s="30"/>
      <c r="E1539" s="33"/>
      <c r="F1539" s="89"/>
    </row>
    <row r="1540" spans="2:6" s="6" customFormat="1" x14ac:dyDescent="0.3">
      <c r="B1540" s="29"/>
      <c r="C1540" s="29"/>
      <c r="D1540" s="30"/>
      <c r="E1540" s="33"/>
      <c r="F1540" s="89"/>
    </row>
    <row r="1541" spans="2:6" s="6" customFormat="1" x14ac:dyDescent="0.3">
      <c r="B1541" s="29"/>
      <c r="C1541" s="29"/>
      <c r="D1541" s="30"/>
      <c r="E1541" s="33"/>
      <c r="F1541" s="89"/>
    </row>
    <row r="1542" spans="2:6" s="6" customFormat="1" x14ac:dyDescent="0.3">
      <c r="B1542" s="29"/>
      <c r="C1542" s="29"/>
      <c r="D1542" s="30"/>
      <c r="E1542" s="33"/>
      <c r="F1542" s="89"/>
    </row>
    <row r="1543" spans="2:6" s="6" customFormat="1" x14ac:dyDescent="0.3">
      <c r="B1543" s="29"/>
      <c r="C1543" s="29"/>
      <c r="D1543" s="30"/>
      <c r="E1543" s="33"/>
      <c r="F1543" s="89"/>
    </row>
    <row r="1544" spans="2:6" s="6" customFormat="1" x14ac:dyDescent="0.3">
      <c r="B1544" s="29"/>
      <c r="C1544" s="29"/>
      <c r="D1544" s="30"/>
      <c r="E1544" s="33"/>
      <c r="F1544" s="89"/>
    </row>
    <row r="1545" spans="2:6" s="6" customFormat="1" x14ac:dyDescent="0.3">
      <c r="B1545" s="29"/>
      <c r="C1545" s="29"/>
      <c r="D1545" s="30"/>
      <c r="E1545" s="33"/>
      <c r="F1545" s="89"/>
    </row>
    <row r="1546" spans="2:6" s="6" customFormat="1" x14ac:dyDescent="0.3">
      <c r="B1546" s="29"/>
      <c r="C1546" s="29"/>
      <c r="D1546" s="30"/>
      <c r="E1546" s="33"/>
      <c r="F1546" s="89"/>
    </row>
    <row r="1547" spans="2:6" s="6" customFormat="1" x14ac:dyDescent="0.3">
      <c r="B1547" s="29"/>
      <c r="C1547" s="29"/>
      <c r="D1547" s="30"/>
      <c r="E1547" s="33"/>
      <c r="F1547" s="89"/>
    </row>
    <row r="1548" spans="2:6" s="6" customFormat="1" x14ac:dyDescent="0.3">
      <c r="B1548" s="29"/>
      <c r="C1548" s="29"/>
      <c r="D1548" s="30"/>
      <c r="E1548" s="33"/>
      <c r="F1548" s="89"/>
    </row>
    <row r="1549" spans="2:6" s="6" customFormat="1" x14ac:dyDescent="0.3">
      <c r="B1549" s="29"/>
      <c r="C1549" s="29"/>
      <c r="D1549" s="30"/>
      <c r="E1549" s="33"/>
      <c r="F1549" s="89"/>
    </row>
    <row r="1550" spans="2:6" s="6" customFormat="1" x14ac:dyDescent="0.3">
      <c r="B1550" s="29"/>
      <c r="C1550" s="29"/>
      <c r="D1550" s="30"/>
      <c r="E1550" s="33"/>
      <c r="F1550" s="89"/>
    </row>
    <row r="1551" spans="2:6" s="6" customFormat="1" x14ac:dyDescent="0.3">
      <c r="B1551" s="29"/>
      <c r="C1551" s="29"/>
      <c r="D1551" s="30"/>
      <c r="E1551" s="33"/>
      <c r="F1551" s="89"/>
    </row>
    <row r="1552" spans="2:6" s="6" customFormat="1" x14ac:dyDescent="0.3">
      <c r="B1552" s="29"/>
      <c r="C1552" s="29"/>
      <c r="D1552" s="30"/>
      <c r="E1552" s="33"/>
      <c r="F1552" s="89"/>
    </row>
    <row r="1553" spans="2:6" s="6" customFormat="1" x14ac:dyDescent="0.3">
      <c r="B1553" s="29"/>
      <c r="C1553" s="29"/>
      <c r="D1553" s="30"/>
      <c r="E1553" s="33"/>
      <c r="F1553" s="89"/>
    </row>
    <row r="1554" spans="2:6" s="6" customFormat="1" x14ac:dyDescent="0.3">
      <c r="B1554" s="29"/>
      <c r="C1554" s="29"/>
      <c r="D1554" s="30"/>
      <c r="E1554" s="33"/>
      <c r="F1554" s="89"/>
    </row>
    <row r="1555" spans="2:6" s="6" customFormat="1" x14ac:dyDescent="0.3">
      <c r="B1555" s="29"/>
      <c r="C1555" s="29"/>
      <c r="D1555" s="30"/>
      <c r="E1555" s="33"/>
      <c r="F1555" s="89"/>
    </row>
    <row r="1556" spans="2:6" s="6" customFormat="1" x14ac:dyDescent="0.3">
      <c r="B1556" s="29"/>
      <c r="C1556" s="29"/>
      <c r="D1556" s="30"/>
      <c r="E1556" s="33"/>
      <c r="F1556" s="89"/>
    </row>
    <row r="1557" spans="2:6" s="6" customFormat="1" x14ac:dyDescent="0.3">
      <c r="B1557" s="29"/>
      <c r="C1557" s="29"/>
      <c r="D1557" s="30"/>
      <c r="E1557" s="33"/>
      <c r="F1557" s="89"/>
    </row>
    <row r="1558" spans="2:6" s="6" customFormat="1" x14ac:dyDescent="0.3">
      <c r="B1558" s="29"/>
      <c r="C1558" s="29"/>
      <c r="D1558" s="30"/>
      <c r="E1558" s="33"/>
      <c r="F1558" s="89"/>
    </row>
    <row r="1559" spans="2:6" s="6" customFormat="1" x14ac:dyDescent="0.3">
      <c r="B1559" s="29"/>
      <c r="C1559" s="29"/>
      <c r="D1559" s="30"/>
      <c r="E1559" s="33"/>
      <c r="F1559" s="89"/>
    </row>
    <row r="1560" spans="2:6" s="6" customFormat="1" x14ac:dyDescent="0.3">
      <c r="B1560" s="29"/>
      <c r="C1560" s="29"/>
      <c r="D1560" s="30"/>
      <c r="E1560" s="33"/>
      <c r="F1560" s="89"/>
    </row>
    <row r="1561" spans="2:6" s="6" customFormat="1" x14ac:dyDescent="0.3">
      <c r="B1561" s="29"/>
      <c r="C1561" s="29"/>
      <c r="D1561" s="30"/>
      <c r="E1561" s="33"/>
      <c r="F1561" s="89"/>
    </row>
    <row r="1562" spans="2:6" s="6" customFormat="1" x14ac:dyDescent="0.3">
      <c r="B1562" s="29"/>
      <c r="C1562" s="29"/>
      <c r="D1562" s="30"/>
      <c r="E1562" s="33"/>
      <c r="F1562" s="89"/>
    </row>
    <row r="1563" spans="2:6" s="6" customFormat="1" x14ac:dyDescent="0.3">
      <c r="B1563" s="29"/>
      <c r="C1563" s="29"/>
      <c r="D1563" s="30"/>
      <c r="E1563" s="33"/>
      <c r="F1563" s="89"/>
    </row>
    <row r="1564" spans="2:6" s="6" customFormat="1" x14ac:dyDescent="0.3">
      <c r="B1564" s="29"/>
      <c r="C1564" s="29"/>
      <c r="D1564" s="30"/>
      <c r="E1564" s="33"/>
      <c r="F1564" s="89"/>
    </row>
    <row r="1565" spans="2:6" s="6" customFormat="1" x14ac:dyDescent="0.3">
      <c r="B1565" s="29"/>
      <c r="C1565" s="29"/>
      <c r="D1565" s="30"/>
      <c r="E1565" s="33"/>
      <c r="F1565" s="89"/>
    </row>
    <row r="1566" spans="2:6" s="6" customFormat="1" x14ac:dyDescent="0.3">
      <c r="B1566" s="29"/>
      <c r="C1566" s="29"/>
      <c r="D1566" s="30"/>
      <c r="E1566" s="33"/>
      <c r="F1566" s="89"/>
    </row>
    <row r="1567" spans="2:6" s="6" customFormat="1" x14ac:dyDescent="0.3">
      <c r="B1567" s="29"/>
      <c r="C1567" s="29"/>
      <c r="D1567" s="30"/>
      <c r="E1567" s="33"/>
      <c r="F1567" s="89"/>
    </row>
    <row r="1568" spans="2:6" s="6" customFormat="1" x14ac:dyDescent="0.3">
      <c r="B1568" s="29"/>
      <c r="C1568" s="29"/>
      <c r="D1568" s="30"/>
      <c r="E1568" s="33"/>
      <c r="F1568" s="89"/>
    </row>
    <row r="1569" spans="2:6" s="6" customFormat="1" x14ac:dyDescent="0.3">
      <c r="B1569" s="29"/>
      <c r="C1569" s="29"/>
      <c r="D1569" s="30"/>
      <c r="E1569" s="33"/>
      <c r="F1569" s="89"/>
    </row>
    <row r="1570" spans="2:6" s="6" customFormat="1" x14ac:dyDescent="0.3">
      <c r="B1570" s="29"/>
      <c r="C1570" s="29"/>
      <c r="D1570" s="30"/>
      <c r="E1570" s="33"/>
      <c r="F1570" s="89"/>
    </row>
    <row r="1571" spans="2:6" s="6" customFormat="1" x14ac:dyDescent="0.3">
      <c r="B1571" s="29"/>
      <c r="C1571" s="29"/>
      <c r="D1571" s="30"/>
      <c r="E1571" s="33"/>
      <c r="F1571" s="89"/>
    </row>
    <row r="1572" spans="2:6" s="6" customFormat="1" x14ac:dyDescent="0.3">
      <c r="B1572" s="29"/>
      <c r="C1572" s="29"/>
      <c r="D1572" s="30"/>
      <c r="E1572" s="33"/>
      <c r="F1572" s="89"/>
    </row>
    <row r="1573" spans="2:6" s="6" customFormat="1" x14ac:dyDescent="0.3">
      <c r="B1573" s="29"/>
      <c r="C1573" s="29"/>
      <c r="D1573" s="30"/>
      <c r="E1573" s="33"/>
      <c r="F1573" s="89"/>
    </row>
    <row r="1574" spans="2:6" s="6" customFormat="1" x14ac:dyDescent="0.3">
      <c r="B1574" s="29"/>
      <c r="C1574" s="29"/>
      <c r="D1574" s="30"/>
      <c r="E1574" s="33"/>
      <c r="F1574" s="89"/>
    </row>
    <row r="1575" spans="2:6" s="6" customFormat="1" x14ac:dyDescent="0.3">
      <c r="B1575" s="29"/>
      <c r="C1575" s="29"/>
      <c r="D1575" s="30"/>
      <c r="E1575" s="33"/>
      <c r="F1575" s="89"/>
    </row>
    <row r="1576" spans="2:6" s="6" customFormat="1" x14ac:dyDescent="0.3">
      <c r="B1576" s="29"/>
      <c r="C1576" s="29"/>
      <c r="D1576" s="30"/>
      <c r="E1576" s="33"/>
      <c r="F1576" s="89"/>
    </row>
    <row r="1577" spans="2:6" s="6" customFormat="1" x14ac:dyDescent="0.3">
      <c r="B1577" s="29"/>
      <c r="C1577" s="29"/>
      <c r="D1577" s="30"/>
      <c r="E1577" s="33"/>
      <c r="F1577" s="89"/>
    </row>
    <row r="1578" spans="2:6" s="6" customFormat="1" x14ac:dyDescent="0.3">
      <c r="B1578" s="29"/>
      <c r="C1578" s="29"/>
      <c r="D1578" s="30"/>
      <c r="E1578" s="33"/>
      <c r="F1578" s="89"/>
    </row>
    <row r="1579" spans="2:6" s="6" customFormat="1" x14ac:dyDescent="0.3">
      <c r="B1579" s="29"/>
      <c r="C1579" s="29"/>
      <c r="D1579" s="30"/>
      <c r="E1579" s="33"/>
      <c r="F1579" s="89"/>
    </row>
    <row r="1580" spans="2:6" s="6" customFormat="1" x14ac:dyDescent="0.3">
      <c r="B1580" s="29"/>
      <c r="C1580" s="29"/>
      <c r="D1580" s="30"/>
      <c r="E1580" s="33"/>
      <c r="F1580" s="89"/>
    </row>
    <row r="1581" spans="2:6" s="6" customFormat="1" x14ac:dyDescent="0.3">
      <c r="B1581" s="29"/>
      <c r="C1581" s="29"/>
      <c r="D1581" s="30"/>
      <c r="E1581" s="33"/>
      <c r="F1581" s="89"/>
    </row>
    <row r="1582" spans="2:6" s="6" customFormat="1" x14ac:dyDescent="0.3">
      <c r="B1582" s="29"/>
      <c r="C1582" s="29"/>
      <c r="D1582" s="30"/>
      <c r="E1582" s="33"/>
      <c r="F1582" s="89"/>
    </row>
    <row r="1583" spans="2:6" s="6" customFormat="1" x14ac:dyDescent="0.3">
      <c r="B1583" s="29"/>
      <c r="C1583" s="29"/>
      <c r="D1583" s="30"/>
      <c r="E1583" s="33"/>
      <c r="F1583" s="89"/>
    </row>
    <row r="1584" spans="2:6" s="6" customFormat="1" x14ac:dyDescent="0.3">
      <c r="B1584" s="29"/>
      <c r="C1584" s="29"/>
      <c r="D1584" s="30"/>
      <c r="E1584" s="33"/>
      <c r="F1584" s="89"/>
    </row>
    <row r="1585" spans="2:6" s="6" customFormat="1" x14ac:dyDescent="0.3">
      <c r="B1585" s="29"/>
      <c r="C1585" s="29"/>
      <c r="D1585" s="30"/>
      <c r="E1585" s="33"/>
      <c r="F1585" s="89"/>
    </row>
    <row r="1586" spans="2:6" s="6" customFormat="1" x14ac:dyDescent="0.3">
      <c r="B1586" s="29"/>
      <c r="C1586" s="29"/>
      <c r="D1586" s="30"/>
      <c r="E1586" s="33"/>
      <c r="F1586" s="89"/>
    </row>
    <row r="1587" spans="2:6" s="6" customFormat="1" x14ac:dyDescent="0.3">
      <c r="B1587" s="29"/>
      <c r="C1587" s="29"/>
      <c r="D1587" s="30"/>
      <c r="E1587" s="33"/>
      <c r="F1587" s="89"/>
    </row>
    <row r="1588" spans="2:6" s="6" customFormat="1" x14ac:dyDescent="0.3">
      <c r="B1588" s="29"/>
      <c r="C1588" s="29"/>
      <c r="D1588" s="30"/>
      <c r="E1588" s="33"/>
      <c r="F1588" s="89"/>
    </row>
    <row r="1589" spans="2:6" s="6" customFormat="1" x14ac:dyDescent="0.3">
      <c r="B1589" s="29"/>
      <c r="C1589" s="29"/>
      <c r="D1589" s="30"/>
      <c r="E1589" s="33"/>
      <c r="F1589" s="89"/>
    </row>
    <row r="1590" spans="2:6" s="6" customFormat="1" x14ac:dyDescent="0.3">
      <c r="B1590" s="29"/>
      <c r="C1590" s="29"/>
      <c r="D1590" s="30"/>
      <c r="E1590" s="33"/>
      <c r="F1590" s="89"/>
    </row>
    <row r="1591" spans="2:6" s="6" customFormat="1" x14ac:dyDescent="0.3">
      <c r="B1591" s="29"/>
      <c r="C1591" s="29"/>
      <c r="D1591" s="30"/>
      <c r="E1591" s="33"/>
      <c r="F1591" s="89"/>
    </row>
    <row r="1592" spans="2:6" s="6" customFormat="1" x14ac:dyDescent="0.3">
      <c r="B1592" s="29"/>
      <c r="C1592" s="29"/>
      <c r="D1592" s="30"/>
      <c r="E1592" s="33"/>
      <c r="F1592" s="89"/>
    </row>
    <row r="1593" spans="2:6" s="6" customFormat="1" x14ac:dyDescent="0.3">
      <c r="B1593" s="29"/>
      <c r="C1593" s="29"/>
      <c r="D1593" s="30"/>
      <c r="E1593" s="33"/>
      <c r="F1593" s="89"/>
    </row>
    <row r="1594" spans="2:6" s="6" customFormat="1" x14ac:dyDescent="0.3">
      <c r="B1594" s="29"/>
      <c r="C1594" s="29"/>
      <c r="D1594" s="30"/>
      <c r="E1594" s="33"/>
      <c r="F1594" s="89"/>
    </row>
    <row r="1595" spans="2:6" s="6" customFormat="1" x14ac:dyDescent="0.3">
      <c r="B1595" s="29"/>
      <c r="C1595" s="29"/>
      <c r="D1595" s="30"/>
      <c r="E1595" s="33"/>
      <c r="F1595" s="89"/>
    </row>
    <row r="1596" spans="2:6" s="6" customFormat="1" x14ac:dyDescent="0.3">
      <c r="B1596" s="29"/>
      <c r="C1596" s="29"/>
      <c r="D1596" s="30"/>
      <c r="E1596" s="33"/>
      <c r="F1596" s="89"/>
    </row>
    <row r="1597" spans="2:6" s="6" customFormat="1" x14ac:dyDescent="0.3">
      <c r="B1597" s="29"/>
      <c r="C1597" s="29"/>
      <c r="D1597" s="30"/>
      <c r="E1597" s="33"/>
      <c r="F1597" s="89"/>
    </row>
    <row r="1598" spans="2:6" s="6" customFormat="1" x14ac:dyDescent="0.3">
      <c r="B1598" s="29"/>
      <c r="C1598" s="29"/>
      <c r="D1598" s="30"/>
      <c r="E1598" s="33"/>
      <c r="F1598" s="89"/>
    </row>
    <row r="1599" spans="2:6" s="6" customFormat="1" x14ac:dyDescent="0.3">
      <c r="B1599" s="29"/>
      <c r="C1599" s="29"/>
      <c r="D1599" s="30"/>
      <c r="E1599" s="33"/>
      <c r="F1599" s="89"/>
    </row>
    <row r="1600" spans="2:6" s="6" customFormat="1" x14ac:dyDescent="0.3">
      <c r="B1600" s="29"/>
      <c r="C1600" s="29"/>
      <c r="D1600" s="30"/>
      <c r="E1600" s="33"/>
      <c r="F1600" s="89"/>
    </row>
    <row r="1601" spans="2:6" s="6" customFormat="1" x14ac:dyDescent="0.3">
      <c r="B1601" s="29"/>
      <c r="C1601" s="29"/>
      <c r="D1601" s="30"/>
      <c r="E1601" s="33"/>
      <c r="F1601" s="89"/>
    </row>
    <row r="1602" spans="2:6" s="6" customFormat="1" x14ac:dyDescent="0.3">
      <c r="B1602" s="29"/>
      <c r="C1602" s="29"/>
      <c r="D1602" s="30"/>
      <c r="E1602" s="33"/>
      <c r="F1602" s="89"/>
    </row>
    <row r="1603" spans="2:6" s="6" customFormat="1" x14ac:dyDescent="0.3">
      <c r="B1603" s="29"/>
      <c r="C1603" s="29"/>
      <c r="D1603" s="30"/>
      <c r="E1603" s="33"/>
      <c r="F1603" s="89"/>
    </row>
    <row r="1604" spans="2:6" s="6" customFormat="1" x14ac:dyDescent="0.3">
      <c r="B1604" s="29"/>
      <c r="C1604" s="29"/>
      <c r="D1604" s="30"/>
      <c r="E1604" s="33"/>
      <c r="F1604" s="89"/>
    </row>
    <row r="1605" spans="2:6" s="6" customFormat="1" x14ac:dyDescent="0.3">
      <c r="B1605" s="29"/>
      <c r="C1605" s="29"/>
      <c r="D1605" s="30"/>
      <c r="E1605" s="33"/>
      <c r="F1605" s="89"/>
    </row>
    <row r="1606" spans="2:6" s="6" customFormat="1" x14ac:dyDescent="0.3">
      <c r="B1606" s="29"/>
      <c r="C1606" s="29"/>
      <c r="D1606" s="30"/>
      <c r="E1606" s="33"/>
      <c r="F1606" s="89"/>
    </row>
    <row r="1607" spans="2:6" s="6" customFormat="1" x14ac:dyDescent="0.3">
      <c r="B1607" s="29"/>
      <c r="C1607" s="29"/>
      <c r="D1607" s="30"/>
      <c r="E1607" s="33"/>
      <c r="F1607" s="89"/>
    </row>
    <row r="1608" spans="2:6" s="6" customFormat="1" x14ac:dyDescent="0.3">
      <c r="B1608" s="29"/>
      <c r="C1608" s="29"/>
      <c r="D1608" s="30"/>
      <c r="E1608" s="33"/>
      <c r="F1608" s="89"/>
    </row>
    <row r="1609" spans="2:6" s="6" customFormat="1" x14ac:dyDescent="0.3">
      <c r="B1609" s="29"/>
      <c r="C1609" s="29"/>
      <c r="D1609" s="30"/>
      <c r="E1609" s="33"/>
      <c r="F1609" s="89"/>
    </row>
    <row r="1610" spans="2:6" s="6" customFormat="1" x14ac:dyDescent="0.3">
      <c r="B1610" s="29"/>
      <c r="C1610" s="29"/>
      <c r="D1610" s="30"/>
      <c r="E1610" s="33"/>
      <c r="F1610" s="89"/>
    </row>
    <row r="1611" spans="2:6" s="6" customFormat="1" x14ac:dyDescent="0.3">
      <c r="B1611" s="29"/>
      <c r="C1611" s="29"/>
      <c r="D1611" s="30"/>
      <c r="E1611" s="33"/>
      <c r="F1611" s="89"/>
    </row>
    <row r="1612" spans="2:6" s="6" customFormat="1" x14ac:dyDescent="0.3">
      <c r="B1612" s="29"/>
      <c r="C1612" s="29"/>
      <c r="D1612" s="30"/>
      <c r="E1612" s="33"/>
      <c r="F1612" s="89"/>
    </row>
    <row r="1613" spans="2:6" s="6" customFormat="1" x14ac:dyDescent="0.3">
      <c r="B1613" s="29"/>
      <c r="C1613" s="29"/>
      <c r="D1613" s="30"/>
      <c r="E1613" s="33"/>
      <c r="F1613" s="89"/>
    </row>
    <row r="1614" spans="2:6" s="6" customFormat="1" x14ac:dyDescent="0.3">
      <c r="B1614" s="29"/>
      <c r="C1614" s="29"/>
      <c r="D1614" s="30"/>
      <c r="E1614" s="33"/>
      <c r="F1614" s="89"/>
    </row>
    <row r="1615" spans="2:6" s="6" customFormat="1" x14ac:dyDescent="0.3">
      <c r="B1615" s="29"/>
      <c r="C1615" s="29"/>
      <c r="D1615" s="30"/>
      <c r="E1615" s="33"/>
      <c r="F1615" s="89"/>
    </row>
    <row r="1616" spans="2:6" s="6" customFormat="1" x14ac:dyDescent="0.3">
      <c r="B1616" s="29"/>
      <c r="C1616" s="29"/>
      <c r="D1616" s="30"/>
      <c r="E1616" s="33"/>
      <c r="F1616" s="89"/>
    </row>
    <row r="1617" spans="2:6" s="6" customFormat="1" x14ac:dyDescent="0.3">
      <c r="B1617" s="29"/>
      <c r="C1617" s="29"/>
      <c r="D1617" s="30"/>
      <c r="E1617" s="33"/>
      <c r="F1617" s="89"/>
    </row>
    <row r="1618" spans="2:6" s="6" customFormat="1" x14ac:dyDescent="0.3">
      <c r="B1618" s="29"/>
      <c r="C1618" s="29"/>
      <c r="D1618" s="30"/>
      <c r="E1618" s="33"/>
      <c r="F1618" s="89"/>
    </row>
    <row r="1619" spans="2:6" s="6" customFormat="1" x14ac:dyDescent="0.3">
      <c r="B1619" s="29"/>
      <c r="C1619" s="29"/>
      <c r="D1619" s="30"/>
      <c r="E1619" s="33"/>
      <c r="F1619" s="89"/>
    </row>
    <row r="1620" spans="2:6" s="6" customFormat="1" x14ac:dyDescent="0.3">
      <c r="B1620" s="29"/>
      <c r="C1620" s="29"/>
      <c r="D1620" s="30"/>
      <c r="E1620" s="33"/>
      <c r="F1620" s="89"/>
    </row>
    <row r="1621" spans="2:6" s="6" customFormat="1" x14ac:dyDescent="0.3">
      <c r="B1621" s="29"/>
      <c r="C1621" s="29"/>
      <c r="D1621" s="30"/>
      <c r="E1621" s="33"/>
      <c r="F1621" s="89"/>
    </row>
    <row r="1622" spans="2:6" s="6" customFormat="1" x14ac:dyDescent="0.3">
      <c r="B1622" s="29"/>
      <c r="C1622" s="29"/>
      <c r="D1622" s="30"/>
      <c r="E1622" s="33"/>
      <c r="F1622" s="89"/>
    </row>
    <row r="1623" spans="2:6" s="6" customFormat="1" x14ac:dyDescent="0.3">
      <c r="B1623" s="29"/>
      <c r="C1623" s="29"/>
      <c r="D1623" s="30"/>
      <c r="E1623" s="33"/>
      <c r="F1623" s="89"/>
    </row>
    <row r="1624" spans="2:6" s="6" customFormat="1" x14ac:dyDescent="0.3">
      <c r="B1624" s="29"/>
      <c r="C1624" s="29"/>
      <c r="D1624" s="30"/>
      <c r="E1624" s="33"/>
      <c r="F1624" s="89"/>
    </row>
    <row r="1625" spans="2:6" s="6" customFormat="1" x14ac:dyDescent="0.3">
      <c r="B1625" s="29"/>
      <c r="C1625" s="29"/>
      <c r="D1625" s="30"/>
      <c r="E1625" s="33"/>
      <c r="F1625" s="89"/>
    </row>
    <row r="1626" spans="2:6" s="6" customFormat="1" x14ac:dyDescent="0.3">
      <c r="B1626" s="29"/>
      <c r="C1626" s="29"/>
      <c r="D1626" s="30"/>
      <c r="E1626" s="33"/>
      <c r="F1626" s="89"/>
    </row>
    <row r="1627" spans="2:6" s="6" customFormat="1" x14ac:dyDescent="0.3">
      <c r="B1627" s="29"/>
      <c r="C1627" s="29"/>
      <c r="D1627" s="30"/>
      <c r="E1627" s="33"/>
      <c r="F1627" s="89"/>
    </row>
    <row r="1628" spans="2:6" s="6" customFormat="1" x14ac:dyDescent="0.3">
      <c r="B1628" s="29"/>
      <c r="C1628" s="29"/>
      <c r="D1628" s="30"/>
      <c r="E1628" s="33"/>
      <c r="F1628" s="89"/>
    </row>
    <row r="1629" spans="2:6" s="6" customFormat="1" x14ac:dyDescent="0.3">
      <c r="B1629" s="29"/>
      <c r="C1629" s="29"/>
      <c r="D1629" s="30"/>
      <c r="E1629" s="33"/>
      <c r="F1629" s="89"/>
    </row>
    <row r="1630" spans="2:6" s="6" customFormat="1" x14ac:dyDescent="0.3">
      <c r="B1630" s="29"/>
      <c r="C1630" s="29"/>
      <c r="D1630" s="30"/>
      <c r="E1630" s="33"/>
      <c r="F1630" s="89"/>
    </row>
    <row r="1631" spans="2:6" s="6" customFormat="1" x14ac:dyDescent="0.3">
      <c r="B1631" s="29"/>
      <c r="C1631" s="29"/>
      <c r="D1631" s="30"/>
      <c r="E1631" s="33"/>
      <c r="F1631" s="89"/>
    </row>
    <row r="1632" spans="2:6" s="6" customFormat="1" x14ac:dyDescent="0.3">
      <c r="B1632" s="29"/>
      <c r="C1632" s="29"/>
      <c r="D1632" s="30"/>
      <c r="E1632" s="33"/>
      <c r="F1632" s="89"/>
    </row>
    <row r="1633" spans="2:6" s="6" customFormat="1" x14ac:dyDescent="0.3">
      <c r="B1633" s="29"/>
      <c r="C1633" s="29"/>
      <c r="D1633" s="30"/>
      <c r="E1633" s="33"/>
      <c r="F1633" s="89"/>
    </row>
    <row r="1634" spans="2:6" s="6" customFormat="1" x14ac:dyDescent="0.3">
      <c r="B1634" s="29"/>
      <c r="C1634" s="29"/>
      <c r="D1634" s="30"/>
      <c r="E1634" s="33"/>
      <c r="F1634" s="89"/>
    </row>
    <row r="1635" spans="2:6" s="6" customFormat="1" x14ac:dyDescent="0.3">
      <c r="B1635" s="29"/>
      <c r="C1635" s="29"/>
      <c r="D1635" s="30"/>
      <c r="E1635" s="33"/>
      <c r="F1635" s="89"/>
    </row>
    <row r="1636" spans="2:6" s="6" customFormat="1" x14ac:dyDescent="0.3">
      <c r="B1636" s="29"/>
      <c r="C1636" s="29"/>
      <c r="D1636" s="30"/>
      <c r="E1636" s="33"/>
      <c r="F1636" s="89"/>
    </row>
    <row r="1637" spans="2:6" s="6" customFormat="1" x14ac:dyDescent="0.3">
      <c r="B1637" s="29"/>
      <c r="C1637" s="29"/>
      <c r="D1637" s="30"/>
      <c r="E1637" s="33"/>
      <c r="F1637" s="89"/>
    </row>
    <row r="1638" spans="2:6" s="6" customFormat="1" x14ac:dyDescent="0.3">
      <c r="B1638" s="29"/>
      <c r="C1638" s="29"/>
      <c r="D1638" s="30"/>
      <c r="E1638" s="33"/>
      <c r="F1638" s="89"/>
    </row>
    <row r="1639" spans="2:6" s="6" customFormat="1" x14ac:dyDescent="0.3">
      <c r="B1639" s="29"/>
      <c r="C1639" s="29"/>
      <c r="D1639" s="30"/>
      <c r="E1639" s="33"/>
      <c r="F1639" s="89"/>
    </row>
    <row r="1640" spans="2:6" s="6" customFormat="1" x14ac:dyDescent="0.3">
      <c r="B1640" s="29"/>
      <c r="C1640" s="29"/>
      <c r="D1640" s="30"/>
      <c r="E1640" s="33"/>
      <c r="F1640" s="89"/>
    </row>
    <row r="1641" spans="2:6" s="6" customFormat="1" x14ac:dyDescent="0.3">
      <c r="B1641" s="29"/>
      <c r="C1641" s="29"/>
      <c r="D1641" s="30"/>
      <c r="E1641" s="33"/>
      <c r="F1641" s="89"/>
    </row>
    <row r="1642" spans="2:6" s="6" customFormat="1" x14ac:dyDescent="0.3">
      <c r="B1642" s="29"/>
      <c r="C1642" s="29"/>
      <c r="D1642" s="30"/>
      <c r="E1642" s="33"/>
      <c r="F1642" s="89"/>
    </row>
    <row r="1643" spans="2:6" s="6" customFormat="1" x14ac:dyDescent="0.3">
      <c r="B1643" s="29"/>
      <c r="C1643" s="29"/>
      <c r="D1643" s="30"/>
      <c r="E1643" s="33"/>
      <c r="F1643" s="89"/>
    </row>
    <row r="1644" spans="2:6" s="6" customFormat="1" x14ac:dyDescent="0.3">
      <c r="B1644" s="29"/>
      <c r="C1644" s="29"/>
      <c r="D1644" s="30"/>
      <c r="E1644" s="33"/>
      <c r="F1644" s="89"/>
    </row>
    <row r="1645" spans="2:6" s="6" customFormat="1" x14ac:dyDescent="0.3">
      <c r="B1645" s="29"/>
      <c r="C1645" s="29"/>
      <c r="D1645" s="30"/>
      <c r="E1645" s="33"/>
      <c r="F1645" s="89"/>
    </row>
    <row r="1646" spans="2:6" s="6" customFormat="1" x14ac:dyDescent="0.3">
      <c r="B1646" s="29"/>
      <c r="C1646" s="29"/>
      <c r="D1646" s="30"/>
      <c r="E1646" s="33"/>
      <c r="F1646" s="89"/>
    </row>
    <row r="1647" spans="2:6" s="6" customFormat="1" x14ac:dyDescent="0.3">
      <c r="B1647" s="29"/>
      <c r="C1647" s="29"/>
      <c r="D1647" s="30"/>
      <c r="E1647" s="33"/>
      <c r="F1647" s="89"/>
    </row>
    <row r="1648" spans="2:6" s="6" customFormat="1" x14ac:dyDescent="0.3">
      <c r="B1648" s="29"/>
      <c r="C1648" s="29"/>
      <c r="D1648" s="30"/>
      <c r="E1648" s="33"/>
      <c r="F1648" s="89"/>
    </row>
    <row r="1649" spans="2:6" s="6" customFormat="1" x14ac:dyDescent="0.3">
      <c r="B1649" s="29"/>
      <c r="C1649" s="29"/>
      <c r="D1649" s="30"/>
      <c r="E1649" s="33"/>
      <c r="F1649" s="89"/>
    </row>
    <row r="1650" spans="2:6" s="6" customFormat="1" x14ac:dyDescent="0.3">
      <c r="B1650" s="29"/>
      <c r="C1650" s="29"/>
      <c r="D1650" s="30"/>
      <c r="E1650" s="33"/>
      <c r="F1650" s="89"/>
    </row>
    <row r="1651" spans="2:6" s="6" customFormat="1" x14ac:dyDescent="0.3">
      <c r="B1651" s="29"/>
      <c r="C1651" s="29"/>
      <c r="D1651" s="30"/>
      <c r="E1651" s="33"/>
      <c r="F1651" s="89"/>
    </row>
    <row r="1652" spans="2:6" s="6" customFormat="1" x14ac:dyDescent="0.3">
      <c r="B1652" s="29"/>
      <c r="C1652" s="29"/>
      <c r="D1652" s="30"/>
      <c r="E1652" s="33"/>
      <c r="F1652" s="89"/>
    </row>
    <row r="1653" spans="2:6" s="6" customFormat="1" x14ac:dyDescent="0.3">
      <c r="B1653" s="29"/>
      <c r="C1653" s="29"/>
      <c r="D1653" s="30"/>
      <c r="E1653" s="33"/>
      <c r="F1653" s="89"/>
    </row>
    <row r="1654" spans="2:6" s="6" customFormat="1" x14ac:dyDescent="0.3">
      <c r="B1654" s="29"/>
      <c r="C1654" s="29"/>
      <c r="D1654" s="30"/>
      <c r="E1654" s="33"/>
      <c r="F1654" s="89"/>
    </row>
    <row r="1655" spans="2:6" s="6" customFormat="1" x14ac:dyDescent="0.3">
      <c r="B1655" s="29"/>
      <c r="C1655" s="29"/>
      <c r="D1655" s="30"/>
      <c r="E1655" s="33"/>
      <c r="F1655" s="89"/>
    </row>
    <row r="1656" spans="2:6" s="6" customFormat="1" x14ac:dyDescent="0.3">
      <c r="B1656" s="29"/>
      <c r="C1656" s="29"/>
      <c r="D1656" s="30"/>
      <c r="E1656" s="33"/>
      <c r="F1656" s="89"/>
    </row>
    <row r="1657" spans="2:6" s="6" customFormat="1" x14ac:dyDescent="0.3">
      <c r="B1657" s="29"/>
      <c r="C1657" s="29"/>
      <c r="D1657" s="30"/>
      <c r="E1657" s="33"/>
      <c r="F1657" s="89"/>
    </row>
    <row r="1658" spans="2:6" s="6" customFormat="1" x14ac:dyDescent="0.3">
      <c r="B1658" s="29"/>
      <c r="C1658" s="29"/>
      <c r="D1658" s="30"/>
      <c r="E1658" s="33"/>
      <c r="F1658" s="89"/>
    </row>
    <row r="1659" spans="2:6" s="6" customFormat="1" x14ac:dyDescent="0.3">
      <c r="B1659" s="29"/>
      <c r="C1659" s="29"/>
      <c r="D1659" s="30"/>
      <c r="E1659" s="33"/>
      <c r="F1659" s="89"/>
    </row>
    <row r="1660" spans="2:6" s="6" customFormat="1" x14ac:dyDescent="0.3">
      <c r="B1660" s="29"/>
      <c r="C1660" s="29"/>
      <c r="D1660" s="30"/>
      <c r="E1660" s="33"/>
      <c r="F1660" s="89"/>
    </row>
    <row r="1661" spans="2:6" s="6" customFormat="1" x14ac:dyDescent="0.3">
      <c r="B1661" s="29"/>
      <c r="C1661" s="29"/>
      <c r="D1661" s="30"/>
      <c r="E1661" s="33"/>
      <c r="F1661" s="89"/>
    </row>
    <row r="1662" spans="2:6" s="6" customFormat="1" x14ac:dyDescent="0.3">
      <c r="B1662" s="29"/>
      <c r="C1662" s="29"/>
      <c r="D1662" s="30"/>
      <c r="E1662" s="33"/>
      <c r="F1662" s="89"/>
    </row>
    <row r="1663" spans="2:6" s="6" customFormat="1" x14ac:dyDescent="0.3">
      <c r="B1663" s="29"/>
      <c r="C1663" s="29"/>
      <c r="D1663" s="30"/>
      <c r="E1663" s="33"/>
      <c r="F1663" s="89"/>
    </row>
    <row r="1664" spans="2:6" s="6" customFormat="1" x14ac:dyDescent="0.3">
      <c r="B1664" s="29"/>
      <c r="C1664" s="29"/>
      <c r="D1664" s="30"/>
      <c r="E1664" s="33"/>
      <c r="F1664" s="89"/>
    </row>
    <row r="1665" spans="2:6" s="6" customFormat="1" x14ac:dyDescent="0.3">
      <c r="B1665" s="29"/>
      <c r="C1665" s="29"/>
      <c r="D1665" s="30"/>
      <c r="E1665" s="33"/>
      <c r="F1665" s="89"/>
    </row>
    <row r="1666" spans="2:6" s="6" customFormat="1" x14ac:dyDescent="0.3">
      <c r="B1666" s="29"/>
      <c r="C1666" s="29"/>
      <c r="D1666" s="30"/>
      <c r="E1666" s="33"/>
      <c r="F1666" s="89"/>
    </row>
    <row r="1667" spans="2:6" s="6" customFormat="1" x14ac:dyDescent="0.3">
      <c r="B1667" s="29"/>
      <c r="C1667" s="29"/>
      <c r="D1667" s="30"/>
      <c r="E1667" s="33"/>
      <c r="F1667" s="89"/>
    </row>
    <row r="1668" spans="2:6" s="6" customFormat="1" x14ac:dyDescent="0.3">
      <c r="B1668" s="29"/>
      <c r="C1668" s="29"/>
      <c r="D1668" s="30"/>
      <c r="E1668" s="33"/>
      <c r="F1668" s="89"/>
    </row>
    <row r="1669" spans="2:6" s="6" customFormat="1" x14ac:dyDescent="0.3">
      <c r="B1669" s="29"/>
      <c r="C1669" s="29"/>
      <c r="D1669" s="30"/>
      <c r="E1669" s="33"/>
      <c r="F1669" s="89"/>
    </row>
    <row r="1670" spans="2:6" s="6" customFormat="1" x14ac:dyDescent="0.3">
      <c r="B1670" s="29"/>
      <c r="C1670" s="29"/>
      <c r="D1670" s="30"/>
      <c r="E1670" s="33"/>
      <c r="F1670" s="89"/>
    </row>
    <row r="1671" spans="2:6" s="6" customFormat="1" x14ac:dyDescent="0.3">
      <c r="B1671" s="29"/>
      <c r="C1671" s="29"/>
      <c r="D1671" s="30"/>
      <c r="E1671" s="33"/>
      <c r="F1671" s="89"/>
    </row>
    <row r="1672" spans="2:6" s="6" customFormat="1" x14ac:dyDescent="0.3">
      <c r="B1672" s="29"/>
      <c r="C1672" s="29"/>
      <c r="D1672" s="30"/>
      <c r="E1672" s="33"/>
      <c r="F1672" s="89"/>
    </row>
    <row r="1673" spans="2:6" s="6" customFormat="1" x14ac:dyDescent="0.3">
      <c r="B1673" s="29"/>
      <c r="C1673" s="29"/>
      <c r="D1673" s="30"/>
      <c r="E1673" s="33"/>
      <c r="F1673" s="89"/>
    </row>
    <row r="1674" spans="2:6" s="6" customFormat="1" x14ac:dyDescent="0.3">
      <c r="B1674" s="29"/>
      <c r="C1674" s="29"/>
      <c r="D1674" s="30"/>
      <c r="E1674" s="33"/>
      <c r="F1674" s="89"/>
    </row>
    <row r="1675" spans="2:6" s="6" customFormat="1" x14ac:dyDescent="0.3">
      <c r="B1675" s="29"/>
      <c r="C1675" s="29"/>
      <c r="D1675" s="30"/>
      <c r="E1675" s="33"/>
      <c r="F1675" s="89"/>
    </row>
    <row r="1676" spans="2:6" s="6" customFormat="1" x14ac:dyDescent="0.3">
      <c r="B1676" s="29"/>
      <c r="C1676" s="29"/>
      <c r="D1676" s="30"/>
      <c r="E1676" s="33"/>
      <c r="F1676" s="89"/>
    </row>
    <row r="1677" spans="2:6" s="6" customFormat="1" x14ac:dyDescent="0.3">
      <c r="B1677" s="29"/>
      <c r="C1677" s="29"/>
      <c r="D1677" s="30"/>
      <c r="E1677" s="33"/>
      <c r="F1677" s="89"/>
    </row>
    <row r="1678" spans="2:6" s="6" customFormat="1" x14ac:dyDescent="0.3">
      <c r="B1678" s="29"/>
      <c r="C1678" s="29"/>
      <c r="D1678" s="30"/>
      <c r="E1678" s="33"/>
      <c r="F1678" s="89"/>
    </row>
    <row r="1679" spans="2:6" s="6" customFormat="1" x14ac:dyDescent="0.3">
      <c r="B1679" s="29"/>
      <c r="C1679" s="29"/>
      <c r="D1679" s="30"/>
      <c r="E1679" s="33"/>
      <c r="F1679" s="89"/>
    </row>
    <row r="1680" spans="2:6" s="6" customFormat="1" x14ac:dyDescent="0.3">
      <c r="B1680" s="29"/>
      <c r="C1680" s="29"/>
      <c r="D1680" s="30"/>
      <c r="E1680" s="33"/>
      <c r="F1680" s="89"/>
    </row>
    <row r="1681" spans="2:6" s="6" customFormat="1" x14ac:dyDescent="0.3">
      <c r="B1681" s="29"/>
      <c r="C1681" s="29"/>
      <c r="D1681" s="30"/>
      <c r="E1681" s="33"/>
      <c r="F1681" s="89"/>
    </row>
    <row r="1682" spans="2:6" s="6" customFormat="1" x14ac:dyDescent="0.3">
      <c r="B1682" s="29"/>
      <c r="C1682" s="29"/>
      <c r="D1682" s="30"/>
      <c r="E1682" s="33"/>
      <c r="F1682" s="89"/>
    </row>
    <row r="1683" spans="2:6" s="6" customFormat="1" x14ac:dyDescent="0.3">
      <c r="B1683" s="29"/>
      <c r="C1683" s="29"/>
      <c r="D1683" s="30"/>
      <c r="E1683" s="33"/>
      <c r="F1683" s="89"/>
    </row>
    <row r="1684" spans="2:6" s="6" customFormat="1" x14ac:dyDescent="0.3">
      <c r="B1684" s="29"/>
      <c r="C1684" s="29"/>
      <c r="D1684" s="30"/>
      <c r="E1684" s="33"/>
      <c r="F1684" s="89"/>
    </row>
    <row r="1685" spans="2:6" s="6" customFormat="1" x14ac:dyDescent="0.3">
      <c r="B1685" s="29"/>
      <c r="C1685" s="29"/>
      <c r="D1685" s="30"/>
      <c r="E1685" s="33"/>
      <c r="F1685" s="89"/>
    </row>
    <row r="1686" spans="2:6" s="6" customFormat="1" x14ac:dyDescent="0.3">
      <c r="B1686" s="29"/>
      <c r="C1686" s="29"/>
      <c r="D1686" s="30"/>
      <c r="E1686" s="33"/>
      <c r="F1686" s="89"/>
    </row>
    <row r="1687" spans="2:6" s="6" customFormat="1" x14ac:dyDescent="0.3">
      <c r="B1687" s="29"/>
      <c r="C1687" s="29"/>
      <c r="D1687" s="30"/>
      <c r="E1687" s="33"/>
      <c r="F1687" s="89"/>
    </row>
    <row r="1688" spans="2:6" s="6" customFormat="1" x14ac:dyDescent="0.3">
      <c r="B1688" s="29"/>
      <c r="C1688" s="29"/>
      <c r="D1688" s="30"/>
      <c r="E1688" s="33"/>
      <c r="F1688" s="89"/>
    </row>
    <row r="1689" spans="2:6" s="6" customFormat="1" x14ac:dyDescent="0.3">
      <c r="B1689" s="29"/>
      <c r="C1689" s="29"/>
      <c r="D1689" s="30"/>
      <c r="E1689" s="33"/>
      <c r="F1689" s="89"/>
    </row>
    <row r="1690" spans="2:6" s="6" customFormat="1" x14ac:dyDescent="0.3">
      <c r="B1690" s="29"/>
      <c r="C1690" s="29"/>
      <c r="D1690" s="30"/>
      <c r="E1690" s="33"/>
      <c r="F1690" s="89"/>
    </row>
    <row r="1691" spans="2:6" s="6" customFormat="1" x14ac:dyDescent="0.3">
      <c r="B1691" s="29"/>
      <c r="C1691" s="29"/>
      <c r="D1691" s="30"/>
      <c r="E1691" s="33"/>
      <c r="F1691" s="89"/>
    </row>
    <row r="1692" spans="2:6" s="6" customFormat="1" x14ac:dyDescent="0.3">
      <c r="B1692" s="29"/>
      <c r="C1692" s="29"/>
      <c r="D1692" s="30"/>
      <c r="E1692" s="33"/>
      <c r="F1692" s="89"/>
    </row>
    <row r="1693" spans="2:6" s="6" customFormat="1" x14ac:dyDescent="0.3">
      <c r="B1693" s="29"/>
      <c r="C1693" s="29"/>
      <c r="D1693" s="30"/>
      <c r="E1693" s="33"/>
      <c r="F1693" s="89"/>
    </row>
    <row r="1694" spans="2:6" s="6" customFormat="1" x14ac:dyDescent="0.3">
      <c r="B1694" s="29"/>
      <c r="C1694" s="29"/>
      <c r="D1694" s="30"/>
      <c r="E1694" s="33"/>
      <c r="F1694" s="89"/>
    </row>
    <row r="1695" spans="2:6" s="6" customFormat="1" x14ac:dyDescent="0.3">
      <c r="B1695" s="29"/>
      <c r="C1695" s="29"/>
      <c r="D1695" s="30"/>
      <c r="E1695" s="33"/>
      <c r="F1695" s="89"/>
    </row>
    <row r="1696" spans="2:6" s="6" customFormat="1" x14ac:dyDescent="0.3">
      <c r="B1696" s="29"/>
      <c r="C1696" s="29"/>
      <c r="D1696" s="30"/>
      <c r="E1696" s="33"/>
      <c r="F1696" s="89"/>
    </row>
    <row r="1697" spans="2:6" s="6" customFormat="1" x14ac:dyDescent="0.3">
      <c r="B1697" s="29"/>
      <c r="C1697" s="29"/>
      <c r="D1697" s="30"/>
      <c r="E1697" s="33"/>
      <c r="F1697" s="89"/>
    </row>
    <row r="1698" spans="2:6" s="6" customFormat="1" x14ac:dyDescent="0.3">
      <c r="B1698" s="29"/>
      <c r="C1698" s="29"/>
      <c r="D1698" s="30"/>
      <c r="E1698" s="33"/>
      <c r="F1698" s="89"/>
    </row>
    <row r="1699" spans="2:6" s="6" customFormat="1" x14ac:dyDescent="0.3">
      <c r="B1699" s="29"/>
      <c r="C1699" s="29"/>
      <c r="D1699" s="30"/>
      <c r="E1699" s="33"/>
      <c r="F1699" s="89"/>
    </row>
    <row r="1700" spans="2:6" s="6" customFormat="1" x14ac:dyDescent="0.3">
      <c r="B1700" s="29"/>
      <c r="C1700" s="29"/>
      <c r="D1700" s="30"/>
      <c r="E1700" s="33"/>
      <c r="F1700" s="89"/>
    </row>
    <row r="1701" spans="2:6" s="6" customFormat="1" x14ac:dyDescent="0.3">
      <c r="B1701" s="29"/>
      <c r="C1701" s="29"/>
      <c r="D1701" s="30"/>
      <c r="E1701" s="33"/>
      <c r="F1701" s="89"/>
    </row>
    <row r="1702" spans="2:6" s="6" customFormat="1" x14ac:dyDescent="0.3">
      <c r="B1702" s="29"/>
      <c r="C1702" s="29"/>
      <c r="D1702" s="30"/>
      <c r="E1702" s="33"/>
      <c r="F1702" s="89"/>
    </row>
    <row r="1703" spans="2:6" s="6" customFormat="1" x14ac:dyDescent="0.3">
      <c r="B1703" s="29"/>
      <c r="C1703" s="29"/>
      <c r="D1703" s="30"/>
      <c r="E1703" s="33"/>
      <c r="F1703" s="89"/>
    </row>
    <row r="1704" spans="2:6" s="6" customFormat="1" x14ac:dyDescent="0.3">
      <c r="B1704" s="29"/>
      <c r="C1704" s="29"/>
      <c r="D1704" s="30"/>
      <c r="E1704" s="33"/>
      <c r="F1704" s="89"/>
    </row>
    <row r="1705" spans="2:6" s="6" customFormat="1" x14ac:dyDescent="0.3">
      <c r="B1705" s="29"/>
      <c r="C1705" s="29"/>
      <c r="D1705" s="30"/>
      <c r="E1705" s="33"/>
      <c r="F1705" s="89"/>
    </row>
    <row r="1706" spans="2:6" s="6" customFormat="1" x14ac:dyDescent="0.3">
      <c r="B1706" s="29"/>
      <c r="C1706" s="29"/>
      <c r="D1706" s="30"/>
      <c r="E1706" s="33"/>
      <c r="F1706" s="89"/>
    </row>
    <row r="1707" spans="2:6" s="6" customFormat="1" x14ac:dyDescent="0.3">
      <c r="B1707" s="29"/>
      <c r="C1707" s="29"/>
      <c r="D1707" s="30"/>
      <c r="E1707" s="33"/>
      <c r="F1707" s="89"/>
    </row>
    <row r="1708" spans="2:6" s="6" customFormat="1" x14ac:dyDescent="0.3">
      <c r="B1708" s="29"/>
      <c r="C1708" s="29"/>
      <c r="D1708" s="30"/>
      <c r="E1708" s="33"/>
      <c r="F1708" s="89"/>
    </row>
    <row r="1709" spans="2:6" s="6" customFormat="1" x14ac:dyDescent="0.3">
      <c r="B1709" s="29"/>
      <c r="C1709" s="29"/>
      <c r="D1709" s="30"/>
      <c r="E1709" s="33"/>
      <c r="F1709" s="89"/>
    </row>
    <row r="1710" spans="2:6" s="6" customFormat="1" x14ac:dyDescent="0.3">
      <c r="B1710" s="29"/>
      <c r="C1710" s="29"/>
      <c r="D1710" s="30"/>
      <c r="E1710" s="33"/>
      <c r="F1710" s="89"/>
    </row>
    <row r="1711" spans="2:6" s="6" customFormat="1" x14ac:dyDescent="0.3">
      <c r="B1711" s="29"/>
      <c r="C1711" s="29"/>
      <c r="D1711" s="30"/>
      <c r="E1711" s="33"/>
      <c r="F1711" s="89"/>
    </row>
    <row r="1712" spans="2:6" s="6" customFormat="1" x14ac:dyDescent="0.3">
      <c r="B1712" s="29"/>
      <c r="C1712" s="29"/>
      <c r="D1712" s="30"/>
      <c r="E1712" s="33"/>
      <c r="F1712" s="89"/>
    </row>
    <row r="1713" spans="2:6" s="6" customFormat="1" x14ac:dyDescent="0.3">
      <c r="B1713" s="29"/>
      <c r="C1713" s="29"/>
      <c r="D1713" s="30"/>
      <c r="E1713" s="33"/>
      <c r="F1713" s="89"/>
    </row>
    <row r="1714" spans="2:6" s="6" customFormat="1" x14ac:dyDescent="0.3">
      <c r="B1714" s="29"/>
      <c r="C1714" s="29"/>
      <c r="D1714" s="30"/>
      <c r="E1714" s="33"/>
      <c r="F1714" s="89"/>
    </row>
    <row r="1715" spans="2:6" s="6" customFormat="1" x14ac:dyDescent="0.3">
      <c r="B1715" s="29"/>
      <c r="C1715" s="29"/>
      <c r="D1715" s="30"/>
      <c r="E1715" s="33"/>
      <c r="F1715" s="89"/>
    </row>
    <row r="1716" spans="2:6" s="6" customFormat="1" x14ac:dyDescent="0.3">
      <c r="B1716" s="29"/>
      <c r="C1716" s="29"/>
      <c r="D1716" s="30"/>
      <c r="E1716" s="33"/>
      <c r="F1716" s="89"/>
    </row>
    <row r="1717" spans="2:6" s="6" customFormat="1" x14ac:dyDescent="0.3">
      <c r="B1717" s="29"/>
      <c r="C1717" s="29"/>
      <c r="D1717" s="30"/>
      <c r="E1717" s="33"/>
      <c r="F1717" s="89"/>
    </row>
    <row r="1718" spans="2:6" s="6" customFormat="1" x14ac:dyDescent="0.3">
      <c r="B1718" s="29"/>
      <c r="C1718" s="29"/>
      <c r="D1718" s="30"/>
      <c r="E1718" s="33"/>
      <c r="F1718" s="89"/>
    </row>
    <row r="1719" spans="2:6" s="6" customFormat="1" x14ac:dyDescent="0.3">
      <c r="B1719" s="29"/>
      <c r="C1719" s="29"/>
      <c r="D1719" s="30"/>
      <c r="E1719" s="33"/>
      <c r="F1719" s="89"/>
    </row>
    <row r="1720" spans="2:6" s="6" customFormat="1" x14ac:dyDescent="0.3">
      <c r="B1720" s="29"/>
      <c r="C1720" s="29"/>
      <c r="D1720" s="30"/>
      <c r="E1720" s="33"/>
      <c r="F1720" s="89"/>
    </row>
    <row r="1721" spans="2:6" s="6" customFormat="1" x14ac:dyDescent="0.3">
      <c r="B1721" s="29"/>
      <c r="C1721" s="29"/>
      <c r="D1721" s="30"/>
      <c r="E1721" s="33"/>
      <c r="F1721" s="89"/>
    </row>
    <row r="1722" spans="2:6" s="6" customFormat="1" x14ac:dyDescent="0.3">
      <c r="B1722" s="29"/>
      <c r="C1722" s="29"/>
      <c r="D1722" s="30"/>
      <c r="E1722" s="33"/>
      <c r="F1722" s="89"/>
    </row>
    <row r="1723" spans="2:6" s="6" customFormat="1" x14ac:dyDescent="0.3">
      <c r="B1723" s="29"/>
      <c r="C1723" s="29"/>
      <c r="D1723" s="30"/>
      <c r="E1723" s="33"/>
      <c r="F1723" s="89"/>
    </row>
    <row r="1724" spans="2:6" s="6" customFormat="1" x14ac:dyDescent="0.3">
      <c r="B1724" s="29"/>
      <c r="C1724" s="29"/>
      <c r="D1724" s="30"/>
      <c r="E1724" s="33"/>
      <c r="F1724" s="89"/>
    </row>
    <row r="1725" spans="2:6" s="6" customFormat="1" x14ac:dyDescent="0.3">
      <c r="B1725" s="29"/>
      <c r="C1725" s="29"/>
      <c r="D1725" s="30"/>
      <c r="E1725" s="33"/>
      <c r="F1725" s="89"/>
    </row>
    <row r="1726" spans="2:6" s="6" customFormat="1" x14ac:dyDescent="0.3">
      <c r="B1726" s="29"/>
      <c r="C1726" s="29"/>
      <c r="D1726" s="30"/>
      <c r="E1726" s="33"/>
      <c r="F1726" s="89"/>
    </row>
    <row r="1727" spans="2:6" s="6" customFormat="1" x14ac:dyDescent="0.3">
      <c r="B1727" s="29"/>
      <c r="C1727" s="29"/>
      <c r="D1727" s="30"/>
      <c r="E1727" s="33"/>
      <c r="F1727" s="89"/>
    </row>
    <row r="1728" spans="2:6" s="6" customFormat="1" x14ac:dyDescent="0.3">
      <c r="B1728" s="29"/>
      <c r="C1728" s="29"/>
      <c r="D1728" s="30"/>
      <c r="E1728" s="33"/>
      <c r="F1728" s="89"/>
    </row>
    <row r="1729" spans="2:6" s="6" customFormat="1" x14ac:dyDescent="0.3">
      <c r="B1729" s="29"/>
      <c r="C1729" s="29"/>
      <c r="D1729" s="30"/>
      <c r="E1729" s="33"/>
      <c r="F1729" s="89"/>
    </row>
    <row r="1730" spans="2:6" s="6" customFormat="1" x14ac:dyDescent="0.3">
      <c r="B1730" s="29"/>
      <c r="C1730" s="29"/>
      <c r="D1730" s="30"/>
      <c r="E1730" s="33"/>
      <c r="F1730" s="89"/>
    </row>
    <row r="1731" spans="2:6" s="6" customFormat="1" x14ac:dyDescent="0.3">
      <c r="B1731" s="29"/>
      <c r="C1731" s="29"/>
      <c r="D1731" s="30"/>
      <c r="E1731" s="33"/>
      <c r="F1731" s="89"/>
    </row>
    <row r="1732" spans="2:6" s="6" customFormat="1" x14ac:dyDescent="0.3">
      <c r="B1732" s="29"/>
      <c r="C1732" s="29"/>
      <c r="D1732" s="30"/>
      <c r="E1732" s="33"/>
      <c r="F1732" s="89"/>
    </row>
    <row r="1733" spans="2:6" s="6" customFormat="1" x14ac:dyDescent="0.3">
      <c r="B1733" s="29"/>
      <c r="C1733" s="29"/>
      <c r="D1733" s="30"/>
      <c r="E1733" s="33"/>
      <c r="F1733" s="89"/>
    </row>
    <row r="1734" spans="2:6" s="6" customFormat="1" x14ac:dyDescent="0.3">
      <c r="B1734" s="29"/>
      <c r="C1734" s="29"/>
      <c r="D1734" s="30"/>
      <c r="E1734" s="33"/>
      <c r="F1734" s="89"/>
    </row>
    <row r="1735" spans="2:6" s="6" customFormat="1" x14ac:dyDescent="0.3">
      <c r="B1735" s="29"/>
      <c r="C1735" s="29"/>
      <c r="D1735" s="30"/>
      <c r="E1735" s="33"/>
      <c r="F1735" s="89"/>
    </row>
    <row r="1736" spans="2:6" s="6" customFormat="1" x14ac:dyDescent="0.3">
      <c r="B1736" s="29"/>
      <c r="C1736" s="29"/>
      <c r="D1736" s="30"/>
      <c r="E1736" s="33"/>
      <c r="F1736" s="89"/>
    </row>
    <row r="1737" spans="2:6" s="6" customFormat="1" x14ac:dyDescent="0.3">
      <c r="B1737" s="29"/>
      <c r="C1737" s="29"/>
      <c r="D1737" s="30"/>
      <c r="E1737" s="33"/>
      <c r="F1737" s="89"/>
    </row>
    <row r="1738" spans="2:6" s="6" customFormat="1" x14ac:dyDescent="0.3">
      <c r="B1738" s="29"/>
      <c r="C1738" s="29"/>
      <c r="D1738" s="30"/>
      <c r="E1738" s="33"/>
      <c r="F1738" s="89"/>
    </row>
    <row r="1739" spans="2:6" s="6" customFormat="1" x14ac:dyDescent="0.3">
      <c r="B1739" s="29"/>
      <c r="C1739" s="29"/>
      <c r="D1739" s="30"/>
      <c r="E1739" s="33"/>
      <c r="F1739" s="89"/>
    </row>
    <row r="1740" spans="2:6" s="6" customFormat="1" x14ac:dyDescent="0.3">
      <c r="B1740" s="29"/>
      <c r="C1740" s="29"/>
      <c r="D1740" s="30"/>
      <c r="E1740" s="33"/>
      <c r="F1740" s="89"/>
    </row>
    <row r="1741" spans="2:6" s="6" customFormat="1" x14ac:dyDescent="0.3">
      <c r="B1741" s="29"/>
      <c r="C1741" s="29"/>
      <c r="D1741" s="30"/>
      <c r="E1741" s="33"/>
      <c r="F1741" s="89"/>
    </row>
    <row r="1742" spans="2:6" s="6" customFormat="1" x14ac:dyDescent="0.3">
      <c r="B1742" s="29"/>
      <c r="C1742" s="29"/>
      <c r="D1742" s="30"/>
      <c r="E1742" s="33"/>
      <c r="F1742" s="89"/>
    </row>
    <row r="1743" spans="2:6" s="6" customFormat="1" x14ac:dyDescent="0.3">
      <c r="B1743" s="29"/>
      <c r="C1743" s="29"/>
      <c r="D1743" s="30"/>
      <c r="E1743" s="33"/>
      <c r="F1743" s="89"/>
    </row>
    <row r="1744" spans="2:6" s="6" customFormat="1" x14ac:dyDescent="0.3">
      <c r="B1744" s="29"/>
      <c r="C1744" s="29"/>
      <c r="D1744" s="30"/>
      <c r="E1744" s="33"/>
      <c r="F1744" s="89"/>
    </row>
    <row r="1745" spans="2:6" s="6" customFormat="1" x14ac:dyDescent="0.3">
      <c r="B1745" s="29"/>
      <c r="C1745" s="29"/>
      <c r="D1745" s="30"/>
      <c r="E1745" s="33"/>
      <c r="F1745" s="89"/>
    </row>
    <row r="1746" spans="2:6" s="6" customFormat="1" x14ac:dyDescent="0.3">
      <c r="B1746" s="29"/>
      <c r="C1746" s="29"/>
      <c r="D1746" s="30"/>
      <c r="E1746" s="33"/>
      <c r="F1746" s="89"/>
    </row>
    <row r="1747" spans="2:6" s="6" customFormat="1" x14ac:dyDescent="0.3">
      <c r="B1747" s="29"/>
      <c r="C1747" s="29"/>
      <c r="D1747" s="30"/>
      <c r="E1747" s="33"/>
      <c r="F1747" s="89"/>
    </row>
    <row r="1748" spans="2:6" s="6" customFormat="1" x14ac:dyDescent="0.3">
      <c r="B1748" s="29"/>
      <c r="C1748" s="29"/>
      <c r="D1748" s="30"/>
      <c r="E1748" s="33"/>
      <c r="F1748" s="89"/>
    </row>
    <row r="1749" spans="2:6" s="6" customFormat="1" x14ac:dyDescent="0.3">
      <c r="B1749" s="29"/>
      <c r="C1749" s="29"/>
      <c r="D1749" s="30"/>
      <c r="E1749" s="33"/>
      <c r="F1749" s="89"/>
    </row>
    <row r="1750" spans="2:6" s="6" customFormat="1" x14ac:dyDescent="0.3">
      <c r="B1750" s="29"/>
      <c r="C1750" s="29"/>
      <c r="D1750" s="30"/>
      <c r="E1750" s="33"/>
      <c r="F1750" s="89"/>
    </row>
    <row r="1751" spans="2:6" s="6" customFormat="1" x14ac:dyDescent="0.3">
      <c r="B1751" s="29"/>
      <c r="C1751" s="29"/>
      <c r="D1751" s="30"/>
      <c r="E1751" s="33"/>
      <c r="F1751" s="89"/>
    </row>
    <row r="1752" spans="2:6" s="6" customFormat="1" x14ac:dyDescent="0.3">
      <c r="B1752" s="29"/>
      <c r="C1752" s="29"/>
      <c r="D1752" s="30"/>
      <c r="E1752" s="33"/>
      <c r="F1752" s="89"/>
    </row>
    <row r="1753" spans="2:6" s="6" customFormat="1" x14ac:dyDescent="0.3">
      <c r="B1753" s="29"/>
      <c r="C1753" s="29"/>
      <c r="D1753" s="30"/>
      <c r="E1753" s="33"/>
      <c r="F1753" s="89"/>
    </row>
    <row r="1754" spans="2:6" s="6" customFormat="1" x14ac:dyDescent="0.3">
      <c r="B1754" s="29"/>
      <c r="C1754" s="29"/>
      <c r="D1754" s="30"/>
      <c r="E1754" s="33"/>
      <c r="F1754" s="89"/>
    </row>
    <row r="1755" spans="2:6" s="6" customFormat="1" x14ac:dyDescent="0.3">
      <c r="B1755" s="29"/>
      <c r="C1755" s="29"/>
      <c r="D1755" s="30"/>
      <c r="E1755" s="33"/>
      <c r="F1755" s="89"/>
    </row>
    <row r="1756" spans="2:6" s="6" customFormat="1" x14ac:dyDescent="0.3">
      <c r="B1756" s="29"/>
      <c r="C1756" s="29"/>
      <c r="D1756" s="30"/>
      <c r="E1756" s="33"/>
      <c r="F1756" s="89"/>
    </row>
    <row r="1757" spans="2:6" s="6" customFormat="1" x14ac:dyDescent="0.3">
      <c r="B1757" s="29"/>
      <c r="C1757" s="29"/>
      <c r="D1757" s="30"/>
      <c r="E1757" s="33"/>
      <c r="F1757" s="89"/>
    </row>
    <row r="1758" spans="2:6" s="6" customFormat="1" x14ac:dyDescent="0.3">
      <c r="B1758" s="29"/>
      <c r="C1758" s="29"/>
      <c r="D1758" s="30"/>
      <c r="E1758" s="33"/>
      <c r="F1758" s="89"/>
    </row>
    <row r="1759" spans="2:6" s="6" customFormat="1" x14ac:dyDescent="0.3">
      <c r="B1759" s="29"/>
      <c r="C1759" s="29"/>
      <c r="D1759" s="30"/>
      <c r="E1759" s="33"/>
      <c r="F1759" s="89"/>
    </row>
    <row r="1760" spans="2:6" s="6" customFormat="1" x14ac:dyDescent="0.3">
      <c r="B1760" s="29"/>
      <c r="C1760" s="29"/>
      <c r="D1760" s="30"/>
      <c r="E1760" s="33"/>
      <c r="F1760" s="89"/>
    </row>
    <row r="1761" spans="2:6" s="6" customFormat="1" x14ac:dyDescent="0.3">
      <c r="B1761" s="29"/>
      <c r="C1761" s="29"/>
      <c r="D1761" s="30"/>
      <c r="E1761" s="33"/>
      <c r="F1761" s="89"/>
    </row>
    <row r="1762" spans="2:6" s="6" customFormat="1" x14ac:dyDescent="0.3">
      <c r="B1762" s="29"/>
      <c r="C1762" s="29"/>
      <c r="D1762" s="30"/>
      <c r="E1762" s="33"/>
      <c r="F1762" s="89"/>
    </row>
    <row r="1763" spans="2:6" s="6" customFormat="1" x14ac:dyDescent="0.3">
      <c r="B1763" s="29"/>
      <c r="C1763" s="29"/>
      <c r="D1763" s="30"/>
      <c r="E1763" s="33"/>
      <c r="F1763" s="89"/>
    </row>
    <row r="1764" spans="2:6" s="6" customFormat="1" x14ac:dyDescent="0.3">
      <c r="B1764" s="29"/>
      <c r="C1764" s="29"/>
      <c r="D1764" s="30"/>
      <c r="E1764" s="33"/>
      <c r="F1764" s="89"/>
    </row>
    <row r="1765" spans="2:6" s="6" customFormat="1" x14ac:dyDescent="0.3">
      <c r="B1765" s="29"/>
      <c r="C1765" s="29"/>
      <c r="D1765" s="30"/>
      <c r="E1765" s="33"/>
      <c r="F1765" s="89"/>
    </row>
    <row r="1766" spans="2:6" s="6" customFormat="1" x14ac:dyDescent="0.3">
      <c r="B1766" s="29"/>
      <c r="C1766" s="29"/>
      <c r="D1766" s="30"/>
      <c r="E1766" s="33"/>
      <c r="F1766" s="89"/>
    </row>
    <row r="1767" spans="2:6" s="6" customFormat="1" x14ac:dyDescent="0.3">
      <c r="B1767" s="29"/>
      <c r="C1767" s="29"/>
      <c r="D1767" s="30"/>
      <c r="E1767" s="33"/>
      <c r="F1767" s="89"/>
    </row>
    <row r="1768" spans="2:6" s="6" customFormat="1" x14ac:dyDescent="0.3">
      <c r="B1768" s="29"/>
      <c r="C1768" s="29"/>
      <c r="D1768" s="30"/>
      <c r="E1768" s="33"/>
      <c r="F1768" s="89"/>
    </row>
    <row r="1769" spans="2:6" s="6" customFormat="1" x14ac:dyDescent="0.3">
      <c r="B1769" s="29"/>
      <c r="C1769" s="29"/>
      <c r="D1769" s="30"/>
      <c r="E1769" s="33"/>
      <c r="F1769" s="89"/>
    </row>
    <row r="1770" spans="2:6" s="6" customFormat="1" x14ac:dyDescent="0.3">
      <c r="B1770" s="29"/>
      <c r="C1770" s="29"/>
      <c r="D1770" s="30"/>
      <c r="E1770" s="33"/>
      <c r="F1770" s="89"/>
    </row>
    <row r="1771" spans="2:6" s="6" customFormat="1" x14ac:dyDescent="0.3">
      <c r="B1771" s="29"/>
      <c r="C1771" s="29"/>
      <c r="D1771" s="30"/>
      <c r="E1771" s="33"/>
      <c r="F1771" s="89"/>
    </row>
    <row r="1772" spans="2:6" s="6" customFormat="1" x14ac:dyDescent="0.3">
      <c r="B1772" s="29"/>
      <c r="C1772" s="29"/>
      <c r="D1772" s="30"/>
      <c r="E1772" s="33"/>
      <c r="F1772" s="89"/>
    </row>
    <row r="1773" spans="2:6" s="6" customFormat="1" x14ac:dyDescent="0.3">
      <c r="B1773" s="29"/>
      <c r="C1773" s="29"/>
      <c r="D1773" s="30"/>
      <c r="E1773" s="33"/>
      <c r="F1773" s="89"/>
    </row>
    <row r="1774" spans="2:6" s="6" customFormat="1" x14ac:dyDescent="0.3">
      <c r="B1774" s="29"/>
      <c r="C1774" s="29"/>
      <c r="D1774" s="30"/>
      <c r="E1774" s="33"/>
      <c r="F1774" s="89"/>
    </row>
    <row r="1775" spans="2:6" s="6" customFormat="1" x14ac:dyDescent="0.3">
      <c r="B1775" s="29"/>
      <c r="C1775" s="29"/>
      <c r="D1775" s="30"/>
      <c r="E1775" s="33"/>
      <c r="F1775" s="89"/>
    </row>
    <row r="1776" spans="2:6" s="6" customFormat="1" x14ac:dyDescent="0.3">
      <c r="B1776" s="29"/>
      <c r="C1776" s="29"/>
      <c r="D1776" s="30"/>
      <c r="E1776" s="33"/>
      <c r="F1776" s="89"/>
    </row>
    <row r="1777" spans="2:6" s="6" customFormat="1" x14ac:dyDescent="0.3">
      <c r="B1777" s="29"/>
      <c r="C1777" s="29"/>
      <c r="D1777" s="30"/>
      <c r="E1777" s="33"/>
      <c r="F1777" s="89"/>
    </row>
    <row r="1778" spans="2:6" s="6" customFormat="1" x14ac:dyDescent="0.3">
      <c r="B1778" s="29"/>
      <c r="C1778" s="29"/>
      <c r="D1778" s="30"/>
      <c r="E1778" s="33"/>
      <c r="F1778" s="89"/>
    </row>
    <row r="1779" spans="2:6" s="6" customFormat="1" x14ac:dyDescent="0.3">
      <c r="B1779" s="29"/>
      <c r="C1779" s="29"/>
      <c r="D1779" s="30"/>
      <c r="E1779" s="33"/>
      <c r="F1779" s="89"/>
    </row>
    <row r="1780" spans="2:6" s="6" customFormat="1" x14ac:dyDescent="0.3">
      <c r="B1780" s="29"/>
      <c r="C1780" s="29"/>
      <c r="D1780" s="30"/>
      <c r="E1780" s="33"/>
      <c r="F1780" s="89"/>
    </row>
    <row r="1781" spans="2:6" s="6" customFormat="1" x14ac:dyDescent="0.3">
      <c r="B1781" s="29"/>
      <c r="C1781" s="29"/>
      <c r="D1781" s="30"/>
      <c r="E1781" s="33"/>
      <c r="F1781" s="89"/>
    </row>
    <row r="1782" spans="2:6" s="6" customFormat="1" x14ac:dyDescent="0.3">
      <c r="B1782" s="29"/>
      <c r="C1782" s="29"/>
      <c r="D1782" s="30"/>
      <c r="E1782" s="33"/>
      <c r="F1782" s="89"/>
    </row>
    <row r="1783" spans="2:6" s="6" customFormat="1" x14ac:dyDescent="0.3">
      <c r="B1783" s="29"/>
      <c r="C1783" s="29"/>
      <c r="D1783" s="30"/>
      <c r="E1783" s="33"/>
      <c r="F1783" s="89"/>
    </row>
    <row r="1784" spans="2:6" s="6" customFormat="1" x14ac:dyDescent="0.3">
      <c r="B1784" s="29"/>
      <c r="C1784" s="29"/>
      <c r="D1784" s="30"/>
      <c r="E1784" s="33"/>
      <c r="F1784" s="89"/>
    </row>
    <row r="1785" spans="2:6" s="6" customFormat="1" x14ac:dyDescent="0.3">
      <c r="B1785" s="29"/>
      <c r="C1785" s="29"/>
      <c r="D1785" s="30"/>
      <c r="E1785" s="33"/>
      <c r="F1785" s="89"/>
    </row>
    <row r="1786" spans="2:6" s="6" customFormat="1" x14ac:dyDescent="0.3">
      <c r="B1786" s="29"/>
      <c r="C1786" s="29"/>
      <c r="D1786" s="30"/>
      <c r="E1786" s="33"/>
      <c r="F1786" s="89"/>
    </row>
    <row r="1787" spans="2:6" s="6" customFormat="1" x14ac:dyDescent="0.3">
      <c r="B1787" s="29"/>
      <c r="C1787" s="29"/>
      <c r="D1787" s="30"/>
      <c r="E1787" s="33"/>
      <c r="F1787" s="89"/>
    </row>
    <row r="1788" spans="2:6" s="6" customFormat="1" x14ac:dyDescent="0.3">
      <c r="B1788" s="29"/>
      <c r="C1788" s="29"/>
      <c r="D1788" s="30"/>
      <c r="E1788" s="33"/>
      <c r="F1788" s="89"/>
    </row>
    <row r="1789" spans="2:6" s="6" customFormat="1" x14ac:dyDescent="0.3">
      <c r="B1789" s="29"/>
      <c r="C1789" s="29"/>
      <c r="D1789" s="30"/>
      <c r="E1789" s="33"/>
      <c r="F1789" s="89"/>
    </row>
    <row r="1790" spans="2:6" s="6" customFormat="1" x14ac:dyDescent="0.3">
      <c r="B1790" s="29"/>
      <c r="C1790" s="29"/>
      <c r="D1790" s="30"/>
      <c r="E1790" s="33"/>
      <c r="F1790" s="89"/>
    </row>
    <row r="1791" spans="2:6" s="6" customFormat="1" x14ac:dyDescent="0.3">
      <c r="B1791" s="29"/>
      <c r="C1791" s="29"/>
      <c r="D1791" s="30"/>
      <c r="E1791" s="33"/>
      <c r="F1791" s="89"/>
    </row>
    <row r="1792" spans="2:6" s="6" customFormat="1" x14ac:dyDescent="0.3">
      <c r="B1792" s="29"/>
      <c r="C1792" s="29"/>
      <c r="D1792" s="30"/>
      <c r="E1792" s="33"/>
      <c r="F1792" s="89"/>
    </row>
    <row r="1793" spans="2:6" s="6" customFormat="1" x14ac:dyDescent="0.3">
      <c r="B1793" s="29"/>
      <c r="C1793" s="29"/>
      <c r="D1793" s="30"/>
      <c r="E1793" s="33"/>
      <c r="F1793" s="89"/>
    </row>
    <row r="1794" spans="2:6" s="6" customFormat="1" x14ac:dyDescent="0.3">
      <c r="B1794" s="29"/>
      <c r="C1794" s="29"/>
      <c r="D1794" s="30"/>
      <c r="E1794" s="33"/>
      <c r="F1794" s="89"/>
    </row>
    <row r="1795" spans="2:6" s="6" customFormat="1" x14ac:dyDescent="0.3">
      <c r="B1795" s="29"/>
      <c r="C1795" s="29"/>
      <c r="D1795" s="30"/>
      <c r="E1795" s="33"/>
      <c r="F1795" s="89"/>
    </row>
    <row r="1796" spans="2:6" s="6" customFormat="1" x14ac:dyDescent="0.3">
      <c r="B1796" s="29"/>
      <c r="C1796" s="29"/>
      <c r="D1796" s="30"/>
      <c r="E1796" s="33"/>
      <c r="F1796" s="89"/>
    </row>
    <row r="1797" spans="2:6" s="6" customFormat="1" x14ac:dyDescent="0.3">
      <c r="B1797" s="29"/>
      <c r="C1797" s="29"/>
      <c r="D1797" s="30"/>
      <c r="E1797" s="33"/>
      <c r="F1797" s="89"/>
    </row>
    <row r="1798" spans="2:6" s="6" customFormat="1" x14ac:dyDescent="0.3">
      <c r="B1798" s="29"/>
      <c r="C1798" s="29"/>
      <c r="D1798" s="30"/>
      <c r="E1798" s="33"/>
      <c r="F1798" s="89"/>
    </row>
    <row r="1799" spans="2:6" s="6" customFormat="1" x14ac:dyDescent="0.3">
      <c r="B1799" s="29"/>
      <c r="C1799" s="29"/>
      <c r="D1799" s="30"/>
      <c r="E1799" s="33"/>
      <c r="F1799" s="89"/>
    </row>
    <row r="1800" spans="2:6" s="6" customFormat="1" x14ac:dyDescent="0.3">
      <c r="B1800" s="29"/>
      <c r="C1800" s="29"/>
      <c r="D1800" s="30"/>
      <c r="E1800" s="33"/>
      <c r="F1800" s="89"/>
    </row>
    <row r="1801" spans="2:6" s="6" customFormat="1" x14ac:dyDescent="0.3">
      <c r="B1801" s="29"/>
      <c r="C1801" s="29"/>
      <c r="D1801" s="30"/>
      <c r="E1801" s="33"/>
      <c r="F1801" s="89"/>
    </row>
    <row r="1802" spans="2:6" s="6" customFormat="1" x14ac:dyDescent="0.3">
      <c r="B1802" s="29"/>
      <c r="C1802" s="29"/>
      <c r="D1802" s="30"/>
      <c r="E1802" s="33"/>
      <c r="F1802" s="89"/>
    </row>
    <row r="1803" spans="2:6" s="6" customFormat="1" x14ac:dyDescent="0.3">
      <c r="B1803" s="29"/>
      <c r="C1803" s="29"/>
      <c r="D1803" s="30"/>
      <c r="E1803" s="33"/>
      <c r="F1803" s="89"/>
    </row>
    <row r="1804" spans="2:6" s="6" customFormat="1" x14ac:dyDescent="0.3">
      <c r="B1804" s="29"/>
      <c r="C1804" s="29"/>
      <c r="D1804" s="30"/>
      <c r="E1804" s="33"/>
      <c r="F1804" s="89"/>
    </row>
    <row r="1805" spans="2:6" s="6" customFormat="1" x14ac:dyDescent="0.3">
      <c r="B1805" s="29"/>
      <c r="C1805" s="29"/>
      <c r="D1805" s="30"/>
      <c r="E1805" s="33"/>
      <c r="F1805" s="89"/>
    </row>
    <row r="1806" spans="2:6" s="6" customFormat="1" x14ac:dyDescent="0.3">
      <c r="B1806" s="29"/>
      <c r="C1806" s="29"/>
      <c r="D1806" s="30"/>
      <c r="E1806" s="33"/>
      <c r="F1806" s="89"/>
    </row>
    <row r="1807" spans="2:6" s="6" customFormat="1" x14ac:dyDescent="0.3">
      <c r="B1807" s="29"/>
      <c r="C1807" s="29"/>
      <c r="D1807" s="30"/>
      <c r="E1807" s="33"/>
      <c r="F1807" s="89"/>
    </row>
    <row r="1808" spans="2:6" s="6" customFormat="1" x14ac:dyDescent="0.3">
      <c r="B1808" s="29"/>
      <c r="C1808" s="29"/>
      <c r="D1808" s="30"/>
      <c r="E1808" s="33"/>
      <c r="F1808" s="89"/>
    </row>
    <row r="1809" spans="2:6" s="6" customFormat="1" x14ac:dyDescent="0.3">
      <c r="B1809" s="29"/>
      <c r="C1809" s="29"/>
      <c r="D1809" s="30"/>
      <c r="E1809" s="33"/>
      <c r="F1809" s="89"/>
    </row>
    <row r="1810" spans="2:6" s="6" customFormat="1" x14ac:dyDescent="0.3">
      <c r="B1810" s="29"/>
      <c r="C1810" s="29"/>
      <c r="D1810" s="30"/>
      <c r="E1810" s="33"/>
      <c r="F1810" s="89"/>
    </row>
    <row r="1811" spans="2:6" s="6" customFormat="1" x14ac:dyDescent="0.3">
      <c r="B1811" s="29"/>
      <c r="C1811" s="29"/>
      <c r="D1811" s="30"/>
      <c r="E1811" s="33"/>
      <c r="F1811" s="89"/>
    </row>
    <row r="1812" spans="2:6" s="6" customFormat="1" x14ac:dyDescent="0.3">
      <c r="B1812" s="29"/>
      <c r="C1812" s="29"/>
      <c r="D1812" s="30"/>
      <c r="E1812" s="33"/>
      <c r="F1812" s="89"/>
    </row>
    <row r="1813" spans="2:6" s="6" customFormat="1" x14ac:dyDescent="0.3">
      <c r="B1813" s="29"/>
      <c r="C1813" s="29"/>
      <c r="D1813" s="30"/>
      <c r="E1813" s="33"/>
      <c r="F1813" s="89"/>
    </row>
    <row r="1814" spans="2:6" s="6" customFormat="1" x14ac:dyDescent="0.3">
      <c r="B1814" s="29"/>
      <c r="C1814" s="29"/>
      <c r="D1814" s="30"/>
      <c r="E1814" s="33"/>
      <c r="F1814" s="89"/>
    </row>
    <row r="1815" spans="2:6" s="6" customFormat="1" x14ac:dyDescent="0.3">
      <c r="B1815" s="29"/>
      <c r="C1815" s="29"/>
      <c r="D1815" s="30"/>
      <c r="E1815" s="33"/>
      <c r="F1815" s="89"/>
    </row>
    <row r="1816" spans="2:6" s="6" customFormat="1" x14ac:dyDescent="0.3">
      <c r="B1816" s="29"/>
      <c r="C1816" s="29"/>
      <c r="D1816" s="30"/>
      <c r="E1816" s="33"/>
      <c r="F1816" s="89"/>
    </row>
    <row r="1817" spans="2:6" s="6" customFormat="1" x14ac:dyDescent="0.3">
      <c r="B1817" s="29"/>
      <c r="C1817" s="29"/>
      <c r="D1817" s="30"/>
      <c r="E1817" s="33"/>
      <c r="F1817" s="89"/>
    </row>
    <row r="1818" spans="2:6" s="6" customFormat="1" x14ac:dyDescent="0.3">
      <c r="B1818" s="29"/>
      <c r="C1818" s="29"/>
      <c r="D1818" s="30"/>
      <c r="E1818" s="33"/>
      <c r="F1818" s="89"/>
    </row>
    <row r="1819" spans="2:6" s="6" customFormat="1" x14ac:dyDescent="0.3">
      <c r="B1819" s="29"/>
      <c r="C1819" s="29"/>
      <c r="D1819" s="30"/>
      <c r="E1819" s="33"/>
      <c r="F1819" s="89"/>
    </row>
    <row r="1820" spans="2:6" s="6" customFormat="1" x14ac:dyDescent="0.3">
      <c r="B1820" s="29"/>
      <c r="C1820" s="29"/>
      <c r="D1820" s="30"/>
      <c r="E1820" s="33"/>
      <c r="F1820" s="89"/>
    </row>
    <row r="1821" spans="2:6" s="6" customFormat="1" x14ac:dyDescent="0.3">
      <c r="B1821" s="29"/>
      <c r="C1821" s="29"/>
      <c r="D1821" s="30"/>
      <c r="E1821" s="33"/>
      <c r="F1821" s="89"/>
    </row>
    <row r="1822" spans="2:6" s="6" customFormat="1" x14ac:dyDescent="0.3">
      <c r="B1822" s="29"/>
      <c r="C1822" s="29"/>
      <c r="D1822" s="30"/>
      <c r="E1822" s="33"/>
      <c r="F1822" s="89"/>
    </row>
    <row r="1823" spans="2:6" s="6" customFormat="1" x14ac:dyDescent="0.3">
      <c r="B1823" s="29"/>
      <c r="C1823" s="29"/>
      <c r="D1823" s="30"/>
      <c r="E1823" s="33"/>
      <c r="F1823" s="89"/>
    </row>
    <row r="1824" spans="2:6" s="6" customFormat="1" x14ac:dyDescent="0.3">
      <c r="B1824" s="29"/>
      <c r="C1824" s="29"/>
      <c r="D1824" s="30"/>
      <c r="E1824" s="33"/>
      <c r="F1824" s="89"/>
    </row>
    <row r="1825" spans="2:6" s="6" customFormat="1" x14ac:dyDescent="0.3">
      <c r="B1825" s="29"/>
      <c r="C1825" s="29"/>
      <c r="D1825" s="30"/>
      <c r="E1825" s="33"/>
      <c r="F1825" s="89"/>
    </row>
    <row r="1826" spans="2:6" s="6" customFormat="1" x14ac:dyDescent="0.3">
      <c r="B1826" s="29"/>
      <c r="C1826" s="29"/>
      <c r="D1826" s="30"/>
      <c r="E1826" s="33"/>
      <c r="F1826" s="89"/>
    </row>
    <row r="1827" spans="2:6" s="6" customFormat="1" x14ac:dyDescent="0.3">
      <c r="B1827" s="29"/>
      <c r="C1827" s="29"/>
      <c r="D1827" s="30"/>
      <c r="E1827" s="33"/>
      <c r="F1827" s="89"/>
    </row>
    <row r="1828" spans="2:6" s="6" customFormat="1" x14ac:dyDescent="0.3">
      <c r="B1828" s="29"/>
      <c r="C1828" s="29"/>
      <c r="D1828" s="30"/>
      <c r="E1828" s="33"/>
      <c r="F1828" s="89"/>
    </row>
    <row r="1829" spans="2:6" s="6" customFormat="1" x14ac:dyDescent="0.3">
      <c r="B1829" s="29"/>
      <c r="C1829" s="29"/>
      <c r="D1829" s="30"/>
      <c r="E1829" s="33"/>
      <c r="F1829" s="89"/>
    </row>
    <row r="1830" spans="2:6" s="6" customFormat="1" x14ac:dyDescent="0.3">
      <c r="B1830" s="29"/>
      <c r="C1830" s="29"/>
      <c r="D1830" s="30"/>
      <c r="E1830" s="33"/>
      <c r="F1830" s="89"/>
    </row>
    <row r="1831" spans="2:6" s="6" customFormat="1" x14ac:dyDescent="0.3">
      <c r="B1831" s="29"/>
      <c r="C1831" s="29"/>
      <c r="D1831" s="30"/>
      <c r="E1831" s="33"/>
      <c r="F1831" s="89"/>
    </row>
    <row r="1832" spans="2:6" s="6" customFormat="1" x14ac:dyDescent="0.3">
      <c r="B1832" s="29"/>
      <c r="C1832" s="29"/>
      <c r="D1832" s="30"/>
      <c r="E1832" s="33"/>
      <c r="F1832" s="89"/>
    </row>
    <row r="1833" spans="2:6" s="6" customFormat="1" x14ac:dyDescent="0.3">
      <c r="B1833" s="29"/>
      <c r="C1833" s="29"/>
      <c r="D1833" s="30"/>
      <c r="E1833" s="33"/>
      <c r="F1833" s="89"/>
    </row>
    <row r="1834" spans="2:6" s="6" customFormat="1" x14ac:dyDescent="0.3">
      <c r="B1834" s="29"/>
      <c r="C1834" s="29"/>
      <c r="D1834" s="30"/>
      <c r="E1834" s="33"/>
      <c r="F1834" s="89"/>
    </row>
    <row r="1835" spans="2:6" s="6" customFormat="1" x14ac:dyDescent="0.3">
      <c r="B1835" s="29"/>
      <c r="C1835" s="29"/>
      <c r="D1835" s="30"/>
      <c r="E1835" s="33"/>
      <c r="F1835" s="89"/>
    </row>
    <row r="1836" spans="2:6" s="6" customFormat="1" x14ac:dyDescent="0.3">
      <c r="B1836" s="29"/>
      <c r="C1836" s="29"/>
      <c r="D1836" s="30"/>
      <c r="E1836" s="33"/>
      <c r="F1836" s="89"/>
    </row>
    <row r="1837" spans="2:6" s="6" customFormat="1" x14ac:dyDescent="0.3">
      <c r="B1837" s="29"/>
      <c r="C1837" s="29"/>
      <c r="D1837" s="30"/>
      <c r="E1837" s="33"/>
      <c r="F1837" s="89"/>
    </row>
    <row r="1838" spans="2:6" s="6" customFormat="1" x14ac:dyDescent="0.3">
      <c r="B1838" s="29"/>
      <c r="C1838" s="29"/>
      <c r="D1838" s="30"/>
      <c r="E1838" s="33"/>
      <c r="F1838" s="89"/>
    </row>
    <row r="1839" spans="2:6" s="6" customFormat="1" x14ac:dyDescent="0.3">
      <c r="B1839" s="29"/>
      <c r="C1839" s="29"/>
      <c r="D1839" s="30"/>
      <c r="E1839" s="33"/>
      <c r="F1839" s="89"/>
    </row>
    <row r="1840" spans="2:6" s="6" customFormat="1" x14ac:dyDescent="0.3">
      <c r="B1840" s="29"/>
      <c r="C1840" s="29"/>
      <c r="D1840" s="30"/>
      <c r="E1840" s="33"/>
      <c r="F1840" s="89"/>
    </row>
    <row r="1841" spans="2:6" s="6" customFormat="1" x14ac:dyDescent="0.3">
      <c r="B1841" s="29"/>
      <c r="C1841" s="29"/>
      <c r="D1841" s="30"/>
      <c r="E1841" s="33"/>
      <c r="F1841" s="89"/>
    </row>
    <row r="1842" spans="2:6" s="6" customFormat="1" x14ac:dyDescent="0.3">
      <c r="B1842" s="29"/>
      <c r="C1842" s="29"/>
      <c r="D1842" s="30"/>
      <c r="E1842" s="33"/>
      <c r="F1842" s="89"/>
    </row>
    <row r="1843" spans="2:6" s="6" customFormat="1" x14ac:dyDescent="0.3">
      <c r="B1843" s="29"/>
      <c r="C1843" s="29"/>
      <c r="D1843" s="30"/>
      <c r="E1843" s="33"/>
      <c r="F1843" s="89"/>
    </row>
    <row r="1844" spans="2:6" s="6" customFormat="1" x14ac:dyDescent="0.3">
      <c r="B1844" s="29"/>
      <c r="C1844" s="29"/>
      <c r="D1844" s="30"/>
      <c r="E1844" s="33"/>
      <c r="F1844" s="89"/>
    </row>
    <row r="1845" spans="2:6" s="6" customFormat="1" x14ac:dyDescent="0.3">
      <c r="B1845" s="29"/>
      <c r="C1845" s="29"/>
      <c r="D1845" s="30"/>
      <c r="E1845" s="33"/>
      <c r="F1845" s="89"/>
    </row>
    <row r="1846" spans="2:6" s="6" customFormat="1" x14ac:dyDescent="0.3">
      <c r="B1846" s="29"/>
      <c r="C1846" s="29"/>
      <c r="D1846" s="30"/>
      <c r="E1846" s="33"/>
      <c r="F1846" s="89"/>
    </row>
    <row r="1847" spans="2:6" s="6" customFormat="1" x14ac:dyDescent="0.3">
      <c r="B1847" s="29"/>
      <c r="C1847" s="29"/>
      <c r="D1847" s="30"/>
      <c r="E1847" s="33"/>
      <c r="F1847" s="89"/>
    </row>
    <row r="1848" spans="2:6" s="6" customFormat="1" x14ac:dyDescent="0.3">
      <c r="B1848" s="29"/>
      <c r="C1848" s="29"/>
      <c r="D1848" s="30"/>
      <c r="E1848" s="33"/>
      <c r="F1848" s="89"/>
    </row>
    <row r="1849" spans="2:6" s="6" customFormat="1" x14ac:dyDescent="0.3">
      <c r="B1849" s="29"/>
      <c r="C1849" s="29"/>
      <c r="D1849" s="30"/>
      <c r="E1849" s="33"/>
      <c r="F1849" s="89"/>
    </row>
    <row r="1850" spans="2:6" s="6" customFormat="1" x14ac:dyDescent="0.3">
      <c r="B1850" s="29"/>
      <c r="C1850" s="29"/>
      <c r="D1850" s="30"/>
      <c r="E1850" s="33"/>
      <c r="F1850" s="89"/>
    </row>
    <row r="1851" spans="2:6" s="6" customFormat="1" x14ac:dyDescent="0.3">
      <c r="B1851" s="29"/>
      <c r="C1851" s="29"/>
      <c r="D1851" s="30"/>
      <c r="E1851" s="33"/>
      <c r="F1851" s="89"/>
    </row>
    <row r="1852" spans="2:6" s="6" customFormat="1" x14ac:dyDescent="0.3">
      <c r="B1852" s="29"/>
      <c r="C1852" s="29"/>
      <c r="D1852" s="30"/>
      <c r="E1852" s="33"/>
      <c r="F1852" s="89"/>
    </row>
    <row r="1853" spans="2:6" s="6" customFormat="1" x14ac:dyDescent="0.3">
      <c r="B1853" s="29"/>
      <c r="C1853" s="29"/>
      <c r="D1853" s="30"/>
      <c r="E1853" s="33"/>
      <c r="F1853" s="89"/>
    </row>
    <row r="1854" spans="2:6" s="6" customFormat="1" x14ac:dyDescent="0.3">
      <c r="B1854" s="29"/>
      <c r="C1854" s="29"/>
      <c r="D1854" s="30"/>
      <c r="E1854" s="33"/>
      <c r="F1854" s="89"/>
    </row>
    <row r="1855" spans="2:6" s="6" customFormat="1" x14ac:dyDescent="0.3">
      <c r="B1855" s="29"/>
      <c r="C1855" s="29"/>
      <c r="D1855" s="30"/>
      <c r="E1855" s="33"/>
      <c r="F1855" s="89"/>
    </row>
    <row r="1856" spans="2:6" s="6" customFormat="1" x14ac:dyDescent="0.3">
      <c r="B1856" s="29"/>
      <c r="C1856" s="29"/>
      <c r="D1856" s="30"/>
      <c r="E1856" s="33"/>
      <c r="F1856" s="89"/>
    </row>
    <row r="1857" spans="2:6" s="6" customFormat="1" x14ac:dyDescent="0.3">
      <c r="B1857" s="29"/>
      <c r="C1857" s="29"/>
      <c r="D1857" s="30"/>
      <c r="E1857" s="33"/>
      <c r="F1857" s="89"/>
    </row>
    <row r="1858" spans="2:6" s="6" customFormat="1" x14ac:dyDescent="0.3">
      <c r="B1858" s="29"/>
      <c r="C1858" s="29"/>
      <c r="D1858" s="30"/>
      <c r="E1858" s="33"/>
      <c r="F1858" s="89"/>
    </row>
    <row r="1859" spans="2:6" s="6" customFormat="1" x14ac:dyDescent="0.3">
      <c r="B1859" s="29"/>
      <c r="C1859" s="29"/>
      <c r="D1859" s="30"/>
      <c r="E1859" s="33"/>
      <c r="F1859" s="89"/>
    </row>
    <row r="1860" spans="2:6" s="6" customFormat="1" x14ac:dyDescent="0.3">
      <c r="B1860" s="29"/>
      <c r="C1860" s="29"/>
      <c r="D1860" s="30"/>
      <c r="E1860" s="33"/>
      <c r="F1860" s="89"/>
    </row>
    <row r="1861" spans="2:6" s="6" customFormat="1" x14ac:dyDescent="0.3">
      <c r="B1861" s="29"/>
      <c r="C1861" s="29"/>
      <c r="D1861" s="30"/>
      <c r="E1861" s="33"/>
      <c r="F1861" s="89"/>
    </row>
    <row r="1862" spans="2:6" s="6" customFormat="1" x14ac:dyDescent="0.3">
      <c r="B1862" s="29"/>
      <c r="C1862" s="29"/>
      <c r="D1862" s="30"/>
      <c r="E1862" s="33"/>
      <c r="F1862" s="89"/>
    </row>
    <row r="1863" spans="2:6" s="6" customFormat="1" x14ac:dyDescent="0.3">
      <c r="B1863" s="29"/>
      <c r="C1863" s="29"/>
      <c r="D1863" s="30"/>
      <c r="E1863" s="33"/>
      <c r="F1863" s="89"/>
    </row>
    <row r="1864" spans="2:6" s="6" customFormat="1" x14ac:dyDescent="0.3">
      <c r="B1864" s="29"/>
      <c r="C1864" s="29"/>
      <c r="D1864" s="30"/>
      <c r="E1864" s="33"/>
      <c r="F1864" s="89"/>
    </row>
    <row r="1865" spans="2:6" s="6" customFormat="1" x14ac:dyDescent="0.3">
      <c r="B1865" s="29"/>
      <c r="C1865" s="29"/>
      <c r="D1865" s="30"/>
      <c r="E1865" s="33"/>
      <c r="F1865" s="89"/>
    </row>
    <row r="1866" spans="2:6" s="6" customFormat="1" x14ac:dyDescent="0.3">
      <c r="B1866" s="29"/>
      <c r="C1866" s="29"/>
      <c r="D1866" s="30"/>
      <c r="E1866" s="33"/>
      <c r="F1866" s="89"/>
    </row>
    <row r="1867" spans="2:6" s="6" customFormat="1" x14ac:dyDescent="0.3">
      <c r="B1867" s="29"/>
      <c r="C1867" s="29"/>
      <c r="D1867" s="30"/>
      <c r="E1867" s="33"/>
      <c r="F1867" s="89"/>
    </row>
    <row r="1868" spans="2:6" s="6" customFormat="1" x14ac:dyDescent="0.3">
      <c r="B1868" s="29"/>
      <c r="C1868" s="29"/>
      <c r="D1868" s="30"/>
      <c r="E1868" s="33"/>
      <c r="F1868" s="89"/>
    </row>
    <row r="1869" spans="2:6" s="6" customFormat="1" x14ac:dyDescent="0.3">
      <c r="B1869" s="29"/>
      <c r="C1869" s="29"/>
      <c r="D1869" s="30"/>
      <c r="E1869" s="33"/>
      <c r="F1869" s="89"/>
    </row>
    <row r="1870" spans="2:6" s="6" customFormat="1" x14ac:dyDescent="0.3">
      <c r="B1870" s="29"/>
      <c r="C1870" s="29"/>
      <c r="D1870" s="30"/>
      <c r="E1870" s="33"/>
      <c r="F1870" s="89"/>
    </row>
    <row r="1871" spans="2:6" s="6" customFormat="1" x14ac:dyDescent="0.3">
      <c r="B1871" s="29"/>
      <c r="C1871" s="29"/>
      <c r="D1871" s="30"/>
      <c r="E1871" s="33"/>
      <c r="F1871" s="89"/>
    </row>
    <row r="1872" spans="2:6" s="6" customFormat="1" x14ac:dyDescent="0.3">
      <c r="B1872" s="29"/>
      <c r="C1872" s="29"/>
      <c r="D1872" s="30"/>
      <c r="E1872" s="33"/>
      <c r="F1872" s="89"/>
    </row>
    <row r="1873" spans="2:6" s="6" customFormat="1" x14ac:dyDescent="0.3">
      <c r="B1873" s="29"/>
      <c r="C1873" s="29"/>
      <c r="D1873" s="30"/>
      <c r="E1873" s="33"/>
      <c r="F1873" s="89"/>
    </row>
    <row r="1874" spans="2:6" s="6" customFormat="1" x14ac:dyDescent="0.3">
      <c r="B1874" s="29"/>
      <c r="C1874" s="29"/>
      <c r="D1874" s="30"/>
      <c r="E1874" s="33"/>
      <c r="F1874" s="89"/>
    </row>
    <row r="1875" spans="2:6" s="6" customFormat="1" x14ac:dyDescent="0.3">
      <c r="B1875" s="29"/>
      <c r="C1875" s="29"/>
      <c r="D1875" s="30"/>
      <c r="E1875" s="33"/>
      <c r="F1875" s="89"/>
    </row>
    <row r="1876" spans="2:6" s="6" customFormat="1" x14ac:dyDescent="0.3">
      <c r="B1876" s="29"/>
      <c r="C1876" s="29"/>
      <c r="D1876" s="30"/>
      <c r="E1876" s="33"/>
      <c r="F1876" s="89"/>
    </row>
    <row r="1877" spans="2:6" s="6" customFormat="1" x14ac:dyDescent="0.3">
      <c r="B1877" s="29"/>
      <c r="C1877" s="29"/>
      <c r="D1877" s="30"/>
      <c r="E1877" s="33"/>
      <c r="F1877" s="89"/>
    </row>
    <row r="1878" spans="2:6" s="6" customFormat="1" x14ac:dyDescent="0.3">
      <c r="B1878" s="29"/>
      <c r="C1878" s="29"/>
      <c r="D1878" s="30"/>
      <c r="E1878" s="33"/>
      <c r="F1878" s="89"/>
    </row>
    <row r="1879" spans="2:6" s="6" customFormat="1" x14ac:dyDescent="0.3">
      <c r="B1879" s="29"/>
      <c r="C1879" s="29"/>
      <c r="D1879" s="30"/>
      <c r="E1879" s="33"/>
      <c r="F1879" s="89"/>
    </row>
    <row r="1880" spans="2:6" s="6" customFormat="1" x14ac:dyDescent="0.3">
      <c r="B1880" s="29"/>
      <c r="C1880" s="29"/>
      <c r="D1880" s="30"/>
      <c r="E1880" s="33"/>
      <c r="F1880" s="89"/>
    </row>
    <row r="1881" spans="2:6" s="6" customFormat="1" x14ac:dyDescent="0.3">
      <c r="B1881" s="29"/>
      <c r="C1881" s="29"/>
      <c r="D1881" s="30"/>
      <c r="E1881" s="33"/>
      <c r="F1881" s="89"/>
    </row>
    <row r="1882" spans="2:6" s="6" customFormat="1" x14ac:dyDescent="0.3">
      <c r="B1882" s="29"/>
      <c r="C1882" s="29"/>
      <c r="D1882" s="30"/>
      <c r="E1882" s="33"/>
      <c r="F1882" s="89"/>
    </row>
    <row r="1883" spans="2:6" s="6" customFormat="1" x14ac:dyDescent="0.3">
      <c r="B1883" s="29"/>
      <c r="C1883" s="29"/>
      <c r="D1883" s="30"/>
      <c r="E1883" s="33"/>
      <c r="F1883" s="89"/>
    </row>
    <row r="1884" spans="2:6" s="6" customFormat="1" x14ac:dyDescent="0.3">
      <c r="B1884" s="29"/>
      <c r="C1884" s="29"/>
      <c r="D1884" s="30"/>
      <c r="E1884" s="33"/>
      <c r="F1884" s="89"/>
    </row>
    <row r="1885" spans="2:6" s="6" customFormat="1" x14ac:dyDescent="0.3">
      <c r="B1885" s="29"/>
      <c r="C1885" s="29"/>
      <c r="D1885" s="30"/>
      <c r="E1885" s="33"/>
      <c r="F1885" s="89"/>
    </row>
    <row r="1886" spans="2:6" s="6" customFormat="1" x14ac:dyDescent="0.3">
      <c r="B1886" s="29"/>
      <c r="C1886" s="29"/>
      <c r="D1886" s="30"/>
      <c r="E1886" s="33"/>
      <c r="F1886" s="89"/>
    </row>
    <row r="1887" spans="2:6" s="6" customFormat="1" x14ac:dyDescent="0.3">
      <c r="B1887" s="29"/>
      <c r="C1887" s="29"/>
      <c r="D1887" s="30"/>
      <c r="E1887" s="33"/>
      <c r="F1887" s="89"/>
    </row>
    <row r="1888" spans="2:6" s="6" customFormat="1" x14ac:dyDescent="0.3">
      <c r="B1888" s="29"/>
      <c r="C1888" s="29"/>
      <c r="D1888" s="30"/>
      <c r="E1888" s="33"/>
      <c r="F1888" s="89"/>
    </row>
    <row r="1889" spans="2:6" s="6" customFormat="1" x14ac:dyDescent="0.3">
      <c r="B1889" s="29"/>
      <c r="C1889" s="29"/>
      <c r="D1889" s="30"/>
      <c r="E1889" s="33"/>
      <c r="F1889" s="89"/>
    </row>
    <row r="1890" spans="2:6" s="6" customFormat="1" x14ac:dyDescent="0.3">
      <c r="B1890" s="29"/>
      <c r="C1890" s="29"/>
      <c r="D1890" s="30"/>
      <c r="E1890" s="33"/>
      <c r="F1890" s="89"/>
    </row>
    <row r="1891" spans="2:6" s="6" customFormat="1" x14ac:dyDescent="0.3">
      <c r="B1891" s="29"/>
      <c r="C1891" s="29"/>
      <c r="D1891" s="30"/>
      <c r="E1891" s="33"/>
      <c r="F1891" s="89"/>
    </row>
    <row r="1892" spans="2:6" s="6" customFormat="1" x14ac:dyDescent="0.3">
      <c r="B1892" s="29"/>
      <c r="C1892" s="29"/>
      <c r="D1892" s="30"/>
      <c r="E1892" s="33"/>
      <c r="F1892" s="89"/>
    </row>
    <row r="1893" spans="2:6" s="6" customFormat="1" x14ac:dyDescent="0.3">
      <c r="B1893" s="29"/>
      <c r="C1893" s="29"/>
      <c r="D1893" s="30"/>
      <c r="E1893" s="33"/>
      <c r="F1893" s="89"/>
    </row>
    <row r="1894" spans="2:6" s="6" customFormat="1" x14ac:dyDescent="0.3">
      <c r="B1894" s="29"/>
      <c r="C1894" s="29"/>
      <c r="D1894" s="30"/>
      <c r="E1894" s="33"/>
      <c r="F1894" s="89"/>
    </row>
    <row r="1895" spans="2:6" s="6" customFormat="1" x14ac:dyDescent="0.3">
      <c r="B1895" s="29"/>
      <c r="C1895" s="29"/>
      <c r="D1895" s="30"/>
      <c r="E1895" s="33"/>
      <c r="F1895" s="89"/>
    </row>
    <row r="1896" spans="2:6" s="6" customFormat="1" x14ac:dyDescent="0.3">
      <c r="B1896" s="29"/>
      <c r="C1896" s="29"/>
      <c r="D1896" s="30"/>
      <c r="E1896" s="33"/>
      <c r="F1896" s="89"/>
    </row>
    <row r="1897" spans="2:6" s="6" customFormat="1" x14ac:dyDescent="0.3">
      <c r="B1897" s="29"/>
      <c r="C1897" s="29"/>
      <c r="D1897" s="30"/>
      <c r="E1897" s="33"/>
      <c r="F1897" s="89"/>
    </row>
    <row r="1898" spans="2:6" s="6" customFormat="1" x14ac:dyDescent="0.3">
      <c r="B1898" s="29"/>
      <c r="C1898" s="29"/>
      <c r="D1898" s="30"/>
      <c r="E1898" s="33"/>
      <c r="F1898" s="89"/>
    </row>
    <row r="1899" spans="2:6" s="6" customFormat="1" x14ac:dyDescent="0.3">
      <c r="B1899" s="29"/>
      <c r="C1899" s="29"/>
      <c r="D1899" s="30"/>
      <c r="E1899" s="33"/>
      <c r="F1899" s="89"/>
    </row>
    <row r="1900" spans="2:6" s="6" customFormat="1" x14ac:dyDescent="0.3">
      <c r="B1900" s="29"/>
      <c r="C1900" s="29"/>
      <c r="D1900" s="30"/>
      <c r="E1900" s="33"/>
      <c r="F1900" s="89"/>
    </row>
    <row r="1901" spans="2:6" s="6" customFormat="1" x14ac:dyDescent="0.3">
      <c r="B1901" s="29"/>
      <c r="C1901" s="29"/>
      <c r="D1901" s="30"/>
      <c r="E1901" s="33"/>
      <c r="F1901" s="89"/>
    </row>
    <row r="1902" spans="2:6" s="6" customFormat="1" x14ac:dyDescent="0.3">
      <c r="B1902" s="29"/>
      <c r="C1902" s="29"/>
      <c r="D1902" s="30"/>
      <c r="E1902" s="33"/>
      <c r="F1902" s="89"/>
    </row>
    <row r="1903" spans="2:6" s="6" customFormat="1" x14ac:dyDescent="0.3">
      <c r="B1903" s="29"/>
      <c r="C1903" s="29"/>
      <c r="D1903" s="30"/>
      <c r="E1903" s="33"/>
      <c r="F1903" s="89"/>
    </row>
    <row r="1904" spans="2:6" s="6" customFormat="1" x14ac:dyDescent="0.3">
      <c r="B1904" s="29"/>
      <c r="C1904" s="29"/>
      <c r="D1904" s="30"/>
      <c r="E1904" s="33"/>
      <c r="F1904" s="89"/>
    </row>
    <row r="1905" spans="2:6" s="6" customFormat="1" x14ac:dyDescent="0.3">
      <c r="B1905" s="29"/>
      <c r="C1905" s="29"/>
      <c r="D1905" s="30"/>
      <c r="E1905" s="33"/>
      <c r="F1905" s="89"/>
    </row>
    <row r="1906" spans="2:6" s="6" customFormat="1" x14ac:dyDescent="0.3">
      <c r="B1906" s="29"/>
      <c r="C1906" s="29"/>
      <c r="D1906" s="30"/>
      <c r="E1906" s="33"/>
      <c r="F1906" s="89"/>
    </row>
    <row r="1907" spans="2:6" s="6" customFormat="1" x14ac:dyDescent="0.3">
      <c r="B1907" s="29"/>
      <c r="C1907" s="29"/>
      <c r="D1907" s="30"/>
      <c r="E1907" s="33"/>
      <c r="F1907" s="89"/>
    </row>
    <row r="1908" spans="2:6" s="6" customFormat="1" x14ac:dyDescent="0.3">
      <c r="B1908" s="29"/>
      <c r="C1908" s="29"/>
      <c r="D1908" s="30"/>
      <c r="E1908" s="33"/>
      <c r="F1908" s="89"/>
    </row>
    <row r="1909" spans="2:6" s="6" customFormat="1" x14ac:dyDescent="0.3">
      <c r="B1909" s="29"/>
      <c r="C1909" s="29"/>
      <c r="D1909" s="30"/>
      <c r="E1909" s="33"/>
      <c r="F1909" s="89"/>
    </row>
    <row r="1910" spans="2:6" s="6" customFormat="1" x14ac:dyDescent="0.3">
      <c r="B1910" s="29"/>
      <c r="C1910" s="29"/>
      <c r="D1910" s="30"/>
      <c r="E1910" s="33"/>
      <c r="F1910" s="89"/>
    </row>
    <row r="1911" spans="2:6" s="6" customFormat="1" x14ac:dyDescent="0.3">
      <c r="B1911" s="29"/>
      <c r="C1911" s="29"/>
      <c r="D1911" s="30"/>
      <c r="E1911" s="33"/>
      <c r="F1911" s="89"/>
    </row>
    <row r="1912" spans="2:6" s="6" customFormat="1" x14ac:dyDescent="0.3">
      <c r="B1912" s="29"/>
      <c r="C1912" s="29"/>
      <c r="D1912" s="30"/>
      <c r="E1912" s="33"/>
      <c r="F1912" s="89"/>
    </row>
    <row r="1913" spans="2:6" s="6" customFormat="1" x14ac:dyDescent="0.3">
      <c r="B1913" s="29"/>
      <c r="C1913" s="29"/>
      <c r="D1913" s="30"/>
      <c r="E1913" s="33"/>
      <c r="F1913" s="89"/>
    </row>
    <row r="1914" spans="2:6" s="6" customFormat="1" x14ac:dyDescent="0.3">
      <c r="B1914" s="29"/>
      <c r="C1914" s="29"/>
      <c r="D1914" s="30"/>
      <c r="E1914" s="33"/>
      <c r="F1914" s="89"/>
    </row>
    <row r="1915" spans="2:6" s="6" customFormat="1" x14ac:dyDescent="0.3">
      <c r="B1915" s="29"/>
      <c r="C1915" s="29"/>
      <c r="D1915" s="30"/>
      <c r="E1915" s="33"/>
      <c r="F1915" s="89"/>
    </row>
    <row r="1916" spans="2:6" s="6" customFormat="1" x14ac:dyDescent="0.3">
      <c r="B1916" s="29"/>
      <c r="C1916" s="29"/>
      <c r="D1916" s="30"/>
      <c r="E1916" s="33"/>
      <c r="F1916" s="89"/>
    </row>
    <row r="1917" spans="2:6" s="6" customFormat="1" x14ac:dyDescent="0.3">
      <c r="B1917" s="29"/>
      <c r="C1917" s="29"/>
      <c r="D1917" s="30"/>
      <c r="E1917" s="33"/>
      <c r="F1917" s="89"/>
    </row>
    <row r="1918" spans="2:6" s="6" customFormat="1" x14ac:dyDescent="0.3">
      <c r="B1918" s="29"/>
      <c r="C1918" s="29"/>
      <c r="D1918" s="30"/>
      <c r="E1918" s="33"/>
      <c r="F1918" s="89"/>
    </row>
    <row r="1919" spans="2:6" s="6" customFormat="1" x14ac:dyDescent="0.3">
      <c r="B1919" s="29"/>
      <c r="C1919" s="29"/>
      <c r="D1919" s="30"/>
      <c r="E1919" s="33"/>
      <c r="F1919" s="89"/>
    </row>
    <row r="1920" spans="2:6" s="6" customFormat="1" x14ac:dyDescent="0.3">
      <c r="B1920" s="29"/>
      <c r="C1920" s="29"/>
      <c r="D1920" s="30"/>
      <c r="E1920" s="33"/>
      <c r="F1920" s="89"/>
    </row>
    <row r="1921" spans="2:6" s="6" customFormat="1" x14ac:dyDescent="0.3">
      <c r="B1921" s="29"/>
      <c r="C1921" s="29"/>
      <c r="D1921" s="30"/>
      <c r="E1921" s="33"/>
      <c r="F1921" s="89"/>
    </row>
    <row r="1922" spans="2:6" s="6" customFormat="1" x14ac:dyDescent="0.3">
      <c r="B1922" s="29"/>
      <c r="C1922" s="29"/>
      <c r="D1922" s="30"/>
      <c r="E1922" s="33"/>
      <c r="F1922" s="89"/>
    </row>
    <row r="1923" spans="2:6" s="6" customFormat="1" x14ac:dyDescent="0.3">
      <c r="B1923" s="29"/>
      <c r="C1923" s="29"/>
      <c r="D1923" s="30"/>
      <c r="E1923" s="33"/>
      <c r="F1923" s="89"/>
    </row>
    <row r="1924" spans="2:6" s="6" customFormat="1" x14ac:dyDescent="0.3">
      <c r="B1924" s="29"/>
      <c r="C1924" s="29"/>
      <c r="D1924" s="30"/>
      <c r="E1924" s="33"/>
      <c r="F1924" s="89"/>
    </row>
    <row r="1925" spans="2:6" s="6" customFormat="1" x14ac:dyDescent="0.3">
      <c r="B1925" s="29"/>
      <c r="C1925" s="29"/>
      <c r="D1925" s="30"/>
      <c r="E1925" s="33"/>
      <c r="F1925" s="89"/>
    </row>
    <row r="1926" spans="2:6" s="6" customFormat="1" x14ac:dyDescent="0.3">
      <c r="B1926" s="29"/>
      <c r="C1926" s="29"/>
      <c r="D1926" s="30"/>
      <c r="E1926" s="33"/>
      <c r="F1926" s="89"/>
    </row>
    <row r="1927" spans="2:6" s="6" customFormat="1" x14ac:dyDescent="0.3">
      <c r="B1927" s="29"/>
      <c r="C1927" s="29"/>
      <c r="D1927" s="30"/>
      <c r="E1927" s="33"/>
      <c r="F1927" s="89"/>
    </row>
    <row r="1928" spans="2:6" s="6" customFormat="1" x14ac:dyDescent="0.3">
      <c r="B1928" s="29"/>
      <c r="C1928" s="29"/>
      <c r="D1928" s="30"/>
      <c r="E1928" s="33"/>
      <c r="F1928" s="89"/>
    </row>
    <row r="1929" spans="2:6" s="6" customFormat="1" x14ac:dyDescent="0.3">
      <c r="B1929" s="29"/>
      <c r="C1929" s="29"/>
      <c r="D1929" s="30"/>
      <c r="E1929" s="33"/>
      <c r="F1929" s="89"/>
    </row>
    <row r="1930" spans="2:6" s="6" customFormat="1" x14ac:dyDescent="0.3">
      <c r="B1930" s="29"/>
      <c r="C1930" s="29"/>
      <c r="D1930" s="30"/>
      <c r="E1930" s="33"/>
      <c r="F1930" s="89"/>
    </row>
    <row r="1931" spans="2:6" s="6" customFormat="1" x14ac:dyDescent="0.3">
      <c r="B1931" s="29"/>
      <c r="C1931" s="29"/>
      <c r="D1931" s="30"/>
      <c r="E1931" s="33"/>
      <c r="F1931" s="89"/>
    </row>
    <row r="1932" spans="2:6" s="6" customFormat="1" x14ac:dyDescent="0.3">
      <c r="B1932" s="29"/>
      <c r="C1932" s="29"/>
      <c r="D1932" s="30"/>
      <c r="E1932" s="33"/>
      <c r="F1932" s="89"/>
    </row>
    <row r="1933" spans="2:6" s="6" customFormat="1" x14ac:dyDescent="0.3">
      <c r="B1933" s="29"/>
      <c r="C1933" s="29"/>
      <c r="D1933" s="30"/>
      <c r="E1933" s="33"/>
      <c r="F1933" s="89"/>
    </row>
    <row r="1934" spans="2:6" s="6" customFormat="1" x14ac:dyDescent="0.3">
      <c r="B1934" s="29"/>
      <c r="C1934" s="29"/>
      <c r="D1934" s="30"/>
      <c r="E1934" s="33"/>
      <c r="F1934" s="89"/>
    </row>
    <row r="1935" spans="2:6" s="6" customFormat="1" x14ac:dyDescent="0.3">
      <c r="B1935" s="29"/>
      <c r="C1935" s="29"/>
      <c r="D1935" s="30"/>
      <c r="E1935" s="33"/>
      <c r="F1935" s="89"/>
    </row>
    <row r="1936" spans="2:6" s="6" customFormat="1" x14ac:dyDescent="0.3">
      <c r="B1936" s="29"/>
      <c r="C1936" s="29"/>
      <c r="D1936" s="30"/>
      <c r="E1936" s="33"/>
      <c r="F1936" s="89"/>
    </row>
    <row r="1937" spans="2:6" s="6" customFormat="1" x14ac:dyDescent="0.3">
      <c r="B1937" s="29"/>
      <c r="C1937" s="29"/>
      <c r="D1937" s="30"/>
      <c r="E1937" s="33"/>
      <c r="F1937" s="89"/>
    </row>
    <row r="1938" spans="2:6" s="6" customFormat="1" x14ac:dyDescent="0.3">
      <c r="B1938" s="29"/>
      <c r="C1938" s="29"/>
      <c r="D1938" s="30"/>
      <c r="E1938" s="33"/>
      <c r="F1938" s="89"/>
    </row>
    <row r="1939" spans="2:6" s="6" customFormat="1" x14ac:dyDescent="0.3">
      <c r="B1939" s="29"/>
      <c r="C1939" s="29"/>
      <c r="D1939" s="30"/>
      <c r="E1939" s="33"/>
      <c r="F1939" s="89"/>
    </row>
    <row r="1940" spans="2:6" s="6" customFormat="1" x14ac:dyDescent="0.3">
      <c r="B1940" s="29"/>
      <c r="C1940" s="29"/>
      <c r="D1940" s="30"/>
      <c r="E1940" s="33"/>
      <c r="F1940" s="89"/>
    </row>
    <row r="1941" spans="2:6" s="6" customFormat="1" x14ac:dyDescent="0.3">
      <c r="B1941" s="29"/>
      <c r="C1941" s="29"/>
      <c r="D1941" s="30"/>
      <c r="E1941" s="33"/>
      <c r="F1941" s="89"/>
    </row>
    <row r="1942" spans="2:6" s="6" customFormat="1" x14ac:dyDescent="0.3">
      <c r="B1942" s="29"/>
      <c r="C1942" s="29"/>
      <c r="D1942" s="30"/>
      <c r="E1942" s="33"/>
      <c r="F1942" s="89"/>
    </row>
    <row r="1943" spans="2:6" s="6" customFormat="1" x14ac:dyDescent="0.3">
      <c r="B1943" s="29"/>
      <c r="C1943" s="29"/>
      <c r="D1943" s="30"/>
      <c r="E1943" s="33"/>
      <c r="F1943" s="89"/>
    </row>
    <row r="1944" spans="2:6" s="6" customFormat="1" x14ac:dyDescent="0.3">
      <c r="B1944" s="29"/>
      <c r="C1944" s="29"/>
      <c r="D1944" s="30"/>
      <c r="E1944" s="33"/>
      <c r="F1944" s="89"/>
    </row>
    <row r="1945" spans="2:6" s="6" customFormat="1" x14ac:dyDescent="0.3">
      <c r="B1945" s="29"/>
      <c r="C1945" s="29"/>
      <c r="D1945" s="30"/>
      <c r="E1945" s="33"/>
      <c r="F1945" s="89"/>
    </row>
    <row r="1946" spans="2:6" s="6" customFormat="1" x14ac:dyDescent="0.3">
      <c r="B1946" s="29"/>
      <c r="C1946" s="29"/>
      <c r="D1946" s="30"/>
      <c r="E1946" s="33"/>
      <c r="F1946" s="89"/>
    </row>
    <row r="1947" spans="2:6" s="6" customFormat="1" x14ac:dyDescent="0.3">
      <c r="B1947" s="29"/>
      <c r="C1947" s="29"/>
      <c r="D1947" s="30"/>
      <c r="E1947" s="33"/>
      <c r="F1947" s="89"/>
    </row>
    <row r="1948" spans="2:6" s="6" customFormat="1" x14ac:dyDescent="0.3">
      <c r="B1948" s="29"/>
      <c r="C1948" s="29"/>
      <c r="D1948" s="30"/>
      <c r="E1948" s="33"/>
      <c r="F1948" s="89"/>
    </row>
    <row r="1949" spans="2:6" s="6" customFormat="1" x14ac:dyDescent="0.3">
      <c r="B1949" s="29"/>
      <c r="C1949" s="29"/>
      <c r="D1949" s="30"/>
      <c r="E1949" s="33"/>
      <c r="F1949" s="89"/>
    </row>
    <row r="1950" spans="2:6" s="6" customFormat="1" x14ac:dyDescent="0.3">
      <c r="B1950" s="29"/>
      <c r="C1950" s="29"/>
      <c r="D1950" s="30"/>
      <c r="E1950" s="33"/>
      <c r="F1950" s="89"/>
    </row>
    <row r="1951" spans="2:6" s="6" customFormat="1" x14ac:dyDescent="0.3">
      <c r="B1951" s="29"/>
      <c r="C1951" s="29"/>
      <c r="D1951" s="30"/>
      <c r="E1951" s="33"/>
      <c r="F1951" s="89"/>
    </row>
    <row r="1952" spans="2:6" s="6" customFormat="1" x14ac:dyDescent="0.3">
      <c r="B1952" s="29"/>
      <c r="C1952" s="29"/>
      <c r="D1952" s="30"/>
      <c r="E1952" s="33"/>
      <c r="F1952" s="89"/>
    </row>
    <row r="1953" spans="2:6" s="6" customFormat="1" x14ac:dyDescent="0.3">
      <c r="B1953" s="29"/>
      <c r="C1953" s="29"/>
      <c r="D1953" s="30"/>
      <c r="E1953" s="33"/>
      <c r="F1953" s="89"/>
    </row>
    <row r="1954" spans="2:6" s="6" customFormat="1" x14ac:dyDescent="0.3">
      <c r="B1954" s="29"/>
      <c r="C1954" s="29"/>
      <c r="D1954" s="30"/>
      <c r="E1954" s="33"/>
      <c r="F1954" s="89"/>
    </row>
    <row r="1955" spans="2:6" s="6" customFormat="1" x14ac:dyDescent="0.3">
      <c r="B1955" s="29"/>
      <c r="C1955" s="29"/>
      <c r="D1955" s="30"/>
      <c r="E1955" s="33"/>
      <c r="F1955" s="89"/>
    </row>
    <row r="1956" spans="2:6" s="6" customFormat="1" x14ac:dyDescent="0.3">
      <c r="B1956" s="29"/>
      <c r="C1956" s="29"/>
      <c r="D1956" s="30"/>
      <c r="E1956" s="33"/>
      <c r="F1956" s="89"/>
    </row>
    <row r="1957" spans="2:6" s="6" customFormat="1" x14ac:dyDescent="0.3">
      <c r="B1957" s="29"/>
      <c r="C1957" s="29"/>
      <c r="D1957" s="30"/>
      <c r="E1957" s="33"/>
      <c r="F1957" s="89"/>
    </row>
    <row r="1958" spans="2:6" s="6" customFormat="1" x14ac:dyDescent="0.3">
      <c r="B1958" s="29"/>
      <c r="C1958" s="29"/>
      <c r="D1958" s="30"/>
      <c r="E1958" s="33"/>
      <c r="F1958" s="89"/>
    </row>
    <row r="1959" spans="2:6" s="6" customFormat="1" x14ac:dyDescent="0.3">
      <c r="B1959" s="29"/>
      <c r="C1959" s="29"/>
      <c r="D1959" s="30"/>
      <c r="E1959" s="33"/>
      <c r="F1959" s="89"/>
    </row>
    <row r="1960" spans="2:6" s="6" customFormat="1" x14ac:dyDescent="0.3">
      <c r="B1960" s="29"/>
      <c r="C1960" s="29"/>
      <c r="D1960" s="30"/>
      <c r="E1960" s="33"/>
      <c r="F1960" s="89"/>
    </row>
    <row r="1961" spans="2:6" s="6" customFormat="1" x14ac:dyDescent="0.3">
      <c r="B1961" s="29"/>
      <c r="C1961" s="29"/>
      <c r="D1961" s="30"/>
      <c r="E1961" s="33"/>
      <c r="F1961" s="89"/>
    </row>
    <row r="1962" spans="2:6" s="6" customFormat="1" x14ac:dyDescent="0.3">
      <c r="B1962" s="29"/>
      <c r="C1962" s="29"/>
      <c r="D1962" s="30"/>
      <c r="E1962" s="33"/>
      <c r="F1962" s="89"/>
    </row>
    <row r="1963" spans="2:6" s="6" customFormat="1" x14ac:dyDescent="0.3">
      <c r="B1963" s="29"/>
      <c r="C1963" s="29"/>
      <c r="D1963" s="30"/>
      <c r="E1963" s="33"/>
      <c r="F1963" s="89"/>
    </row>
    <row r="1964" spans="2:6" s="6" customFormat="1" x14ac:dyDescent="0.3">
      <c r="B1964" s="29"/>
      <c r="C1964" s="29"/>
      <c r="D1964" s="30"/>
      <c r="E1964" s="33"/>
      <c r="F1964" s="89"/>
    </row>
    <row r="1965" spans="2:6" s="6" customFormat="1" x14ac:dyDescent="0.3">
      <c r="B1965" s="29"/>
      <c r="C1965" s="29"/>
      <c r="D1965" s="30"/>
      <c r="E1965" s="33"/>
      <c r="F1965" s="89"/>
    </row>
    <row r="1966" spans="2:6" s="6" customFormat="1" x14ac:dyDescent="0.3">
      <c r="B1966" s="29"/>
      <c r="C1966" s="29"/>
      <c r="D1966" s="30"/>
      <c r="E1966" s="33"/>
      <c r="F1966" s="89"/>
    </row>
    <row r="1967" spans="2:6" s="6" customFormat="1" x14ac:dyDescent="0.3">
      <c r="B1967" s="29"/>
      <c r="C1967" s="29"/>
      <c r="D1967" s="30"/>
      <c r="E1967" s="33"/>
      <c r="F1967" s="89"/>
    </row>
    <row r="1968" spans="2:6" s="6" customFormat="1" x14ac:dyDescent="0.3">
      <c r="B1968" s="29"/>
      <c r="C1968" s="29"/>
      <c r="D1968" s="30"/>
      <c r="E1968" s="33"/>
      <c r="F1968" s="89"/>
    </row>
    <row r="1969" spans="2:6" s="6" customFormat="1" x14ac:dyDescent="0.3">
      <c r="B1969" s="29"/>
      <c r="C1969" s="29"/>
      <c r="D1969" s="30"/>
      <c r="E1969" s="33"/>
      <c r="F1969" s="89"/>
    </row>
    <row r="1970" spans="2:6" s="6" customFormat="1" x14ac:dyDescent="0.3">
      <c r="B1970" s="29"/>
      <c r="C1970" s="29"/>
      <c r="D1970" s="30"/>
      <c r="E1970" s="33"/>
      <c r="F1970" s="89"/>
    </row>
    <row r="1971" spans="2:6" s="6" customFormat="1" x14ac:dyDescent="0.3">
      <c r="B1971" s="29"/>
      <c r="C1971" s="29"/>
      <c r="D1971" s="30"/>
      <c r="E1971" s="33"/>
      <c r="F1971" s="89"/>
    </row>
    <row r="1972" spans="2:6" s="6" customFormat="1" x14ac:dyDescent="0.3">
      <c r="B1972" s="29"/>
      <c r="C1972" s="29"/>
      <c r="D1972" s="30"/>
      <c r="E1972" s="33"/>
      <c r="F1972" s="89"/>
    </row>
    <row r="1973" spans="2:6" s="6" customFormat="1" x14ac:dyDescent="0.3">
      <c r="B1973" s="29"/>
      <c r="C1973" s="29"/>
      <c r="D1973" s="30"/>
      <c r="E1973" s="33"/>
      <c r="F1973" s="89"/>
    </row>
    <row r="1974" spans="2:6" s="6" customFormat="1" x14ac:dyDescent="0.3">
      <c r="B1974" s="29"/>
      <c r="C1974" s="29"/>
      <c r="D1974" s="30"/>
      <c r="E1974" s="33"/>
      <c r="F1974" s="89"/>
    </row>
    <row r="1975" spans="2:6" s="6" customFormat="1" x14ac:dyDescent="0.3">
      <c r="B1975" s="29"/>
      <c r="C1975" s="29"/>
      <c r="D1975" s="30"/>
      <c r="E1975" s="33"/>
      <c r="F1975" s="89"/>
    </row>
    <row r="1976" spans="2:6" s="6" customFormat="1" x14ac:dyDescent="0.3">
      <c r="B1976" s="29"/>
      <c r="C1976" s="29"/>
      <c r="D1976" s="30"/>
      <c r="E1976" s="33"/>
      <c r="F1976" s="89"/>
    </row>
    <row r="1977" spans="2:6" s="6" customFormat="1" x14ac:dyDescent="0.3">
      <c r="B1977" s="29"/>
      <c r="C1977" s="29"/>
      <c r="D1977" s="30"/>
      <c r="E1977" s="33"/>
      <c r="F1977" s="89"/>
    </row>
    <row r="1978" spans="2:6" s="6" customFormat="1" x14ac:dyDescent="0.3">
      <c r="B1978" s="29"/>
      <c r="C1978" s="29"/>
      <c r="D1978" s="30"/>
      <c r="E1978" s="33"/>
      <c r="F1978" s="89"/>
    </row>
    <row r="1979" spans="2:6" s="6" customFormat="1" x14ac:dyDescent="0.3">
      <c r="B1979" s="29"/>
      <c r="C1979" s="29"/>
      <c r="D1979" s="30"/>
      <c r="E1979" s="33"/>
      <c r="F1979" s="89"/>
    </row>
    <row r="1980" spans="2:6" s="6" customFormat="1" x14ac:dyDescent="0.3">
      <c r="B1980" s="29"/>
      <c r="C1980" s="29"/>
      <c r="D1980" s="30"/>
      <c r="E1980" s="33"/>
      <c r="F1980" s="89"/>
    </row>
    <row r="1981" spans="2:6" s="6" customFormat="1" x14ac:dyDescent="0.3">
      <c r="B1981" s="29"/>
      <c r="C1981" s="29"/>
      <c r="D1981" s="30"/>
      <c r="E1981" s="33"/>
      <c r="F1981" s="89"/>
    </row>
    <row r="1982" spans="2:6" s="6" customFormat="1" x14ac:dyDescent="0.3">
      <c r="B1982" s="29"/>
      <c r="C1982" s="29"/>
      <c r="D1982" s="30"/>
      <c r="E1982" s="33"/>
      <c r="F1982" s="89"/>
    </row>
    <row r="1983" spans="2:6" s="6" customFormat="1" x14ac:dyDescent="0.3">
      <c r="B1983" s="29"/>
      <c r="C1983" s="29"/>
      <c r="D1983" s="30"/>
      <c r="E1983" s="33"/>
      <c r="F1983" s="89"/>
    </row>
    <row r="1984" spans="2:6" s="6" customFormat="1" x14ac:dyDescent="0.3">
      <c r="B1984" s="29"/>
      <c r="C1984" s="29"/>
      <c r="D1984" s="30"/>
      <c r="E1984" s="33"/>
      <c r="F1984" s="89"/>
    </row>
    <row r="1985" spans="2:6" s="6" customFormat="1" x14ac:dyDescent="0.3">
      <c r="B1985" s="29"/>
      <c r="C1985" s="29"/>
      <c r="D1985" s="30"/>
      <c r="E1985" s="33"/>
      <c r="F1985" s="89"/>
    </row>
    <row r="1986" spans="2:6" s="6" customFormat="1" x14ac:dyDescent="0.3">
      <c r="B1986" s="29"/>
      <c r="C1986" s="29"/>
      <c r="D1986" s="30"/>
      <c r="E1986" s="33"/>
      <c r="F1986" s="89"/>
    </row>
    <row r="1987" spans="2:6" s="6" customFormat="1" x14ac:dyDescent="0.3">
      <c r="B1987" s="29"/>
      <c r="C1987" s="29"/>
      <c r="D1987" s="30"/>
      <c r="E1987" s="33"/>
      <c r="F1987" s="89"/>
    </row>
    <row r="1988" spans="2:6" s="6" customFormat="1" x14ac:dyDescent="0.3">
      <c r="B1988" s="29"/>
      <c r="C1988" s="29"/>
      <c r="D1988" s="30"/>
      <c r="E1988" s="33"/>
      <c r="F1988" s="89"/>
    </row>
    <row r="1989" spans="2:6" s="6" customFormat="1" x14ac:dyDescent="0.3">
      <c r="B1989" s="29"/>
      <c r="C1989" s="29"/>
      <c r="D1989" s="30"/>
      <c r="E1989" s="33"/>
      <c r="F1989" s="89"/>
    </row>
    <row r="1990" spans="2:6" s="6" customFormat="1" x14ac:dyDescent="0.3">
      <c r="B1990" s="29"/>
      <c r="C1990" s="29"/>
      <c r="D1990" s="30"/>
      <c r="E1990" s="33"/>
      <c r="F1990" s="89"/>
    </row>
    <row r="1991" spans="2:6" s="6" customFormat="1" x14ac:dyDescent="0.3">
      <c r="B1991" s="29"/>
      <c r="C1991" s="29"/>
      <c r="D1991" s="30"/>
      <c r="E1991" s="33"/>
      <c r="F1991" s="89"/>
    </row>
    <row r="1992" spans="2:6" s="6" customFormat="1" x14ac:dyDescent="0.3">
      <c r="B1992" s="29"/>
      <c r="C1992" s="29"/>
      <c r="D1992" s="30"/>
      <c r="E1992" s="33"/>
      <c r="F1992" s="89"/>
    </row>
    <row r="1993" spans="2:6" s="6" customFormat="1" x14ac:dyDescent="0.3">
      <c r="B1993" s="29"/>
      <c r="C1993" s="29"/>
      <c r="D1993" s="30"/>
      <c r="E1993" s="33"/>
      <c r="F1993" s="89"/>
    </row>
    <row r="1994" spans="2:6" s="6" customFormat="1" x14ac:dyDescent="0.3">
      <c r="B1994" s="29"/>
      <c r="C1994" s="29"/>
      <c r="D1994" s="30"/>
      <c r="E1994" s="33"/>
      <c r="F1994" s="89"/>
    </row>
    <row r="1995" spans="2:6" s="6" customFormat="1" x14ac:dyDescent="0.3">
      <c r="B1995" s="29"/>
      <c r="C1995" s="29"/>
      <c r="D1995" s="30"/>
      <c r="E1995" s="33"/>
      <c r="F1995" s="89"/>
    </row>
    <row r="1996" spans="2:6" s="6" customFormat="1" x14ac:dyDescent="0.3">
      <c r="B1996" s="29"/>
      <c r="C1996" s="29"/>
      <c r="D1996" s="30"/>
      <c r="E1996" s="33"/>
      <c r="F1996" s="89"/>
    </row>
    <row r="1997" spans="2:6" s="6" customFormat="1" x14ac:dyDescent="0.3">
      <c r="B1997" s="29"/>
      <c r="C1997" s="29"/>
      <c r="D1997" s="30"/>
      <c r="E1997" s="33"/>
      <c r="F1997" s="89"/>
    </row>
    <row r="1998" spans="2:6" s="6" customFormat="1" x14ac:dyDescent="0.3">
      <c r="B1998" s="29"/>
      <c r="C1998" s="29"/>
      <c r="D1998" s="30"/>
      <c r="E1998" s="33"/>
      <c r="F1998" s="89"/>
    </row>
    <row r="1999" spans="2:6" s="6" customFormat="1" x14ac:dyDescent="0.3">
      <c r="B1999" s="29"/>
      <c r="C1999" s="29"/>
      <c r="D1999" s="30"/>
      <c r="E1999" s="33"/>
      <c r="F1999" s="89"/>
    </row>
    <row r="2000" spans="2:6" s="6" customFormat="1" x14ac:dyDescent="0.3">
      <c r="B2000" s="29"/>
      <c r="C2000" s="29"/>
      <c r="D2000" s="30"/>
      <c r="E2000" s="33"/>
      <c r="F2000" s="89"/>
    </row>
    <row r="2001" spans="2:6" s="6" customFormat="1" x14ac:dyDescent="0.3">
      <c r="B2001" s="29"/>
      <c r="C2001" s="29"/>
      <c r="D2001" s="30"/>
      <c r="E2001" s="33"/>
      <c r="F2001" s="89"/>
    </row>
    <row r="2002" spans="2:6" s="6" customFormat="1" x14ac:dyDescent="0.3">
      <c r="B2002" s="29"/>
      <c r="C2002" s="29"/>
      <c r="D2002" s="30"/>
      <c r="E2002" s="33"/>
      <c r="F2002" s="89"/>
    </row>
    <row r="2003" spans="2:6" s="6" customFormat="1" x14ac:dyDescent="0.3">
      <c r="B2003" s="29"/>
      <c r="C2003" s="29"/>
      <c r="D2003" s="30"/>
      <c r="E2003" s="33"/>
      <c r="F2003" s="89"/>
    </row>
    <row r="2004" spans="2:6" s="6" customFormat="1" x14ac:dyDescent="0.3">
      <c r="B2004" s="29"/>
      <c r="C2004" s="29"/>
      <c r="D2004" s="30"/>
      <c r="E2004" s="33"/>
      <c r="F2004" s="89"/>
    </row>
    <row r="2005" spans="2:6" s="6" customFormat="1" x14ac:dyDescent="0.3">
      <c r="B2005" s="29"/>
      <c r="C2005" s="29"/>
      <c r="D2005" s="30"/>
      <c r="E2005" s="33"/>
      <c r="F2005" s="89"/>
    </row>
    <row r="2006" spans="2:6" s="6" customFormat="1" x14ac:dyDescent="0.3">
      <c r="B2006" s="29"/>
      <c r="C2006" s="29"/>
      <c r="D2006" s="30"/>
      <c r="E2006" s="33"/>
      <c r="F2006" s="89"/>
    </row>
    <row r="2007" spans="2:6" s="6" customFormat="1" x14ac:dyDescent="0.3">
      <c r="B2007" s="29"/>
      <c r="C2007" s="29"/>
      <c r="D2007" s="30"/>
      <c r="E2007" s="33"/>
      <c r="F2007" s="89"/>
    </row>
    <row r="2008" spans="2:6" s="6" customFormat="1" x14ac:dyDescent="0.3">
      <c r="B2008" s="29"/>
      <c r="C2008" s="29"/>
      <c r="D2008" s="30"/>
      <c r="E2008" s="33"/>
      <c r="F2008" s="89"/>
    </row>
    <row r="2009" spans="2:6" s="6" customFormat="1" x14ac:dyDescent="0.3">
      <c r="B2009" s="29"/>
      <c r="C2009" s="29"/>
      <c r="D2009" s="30"/>
      <c r="E2009" s="33"/>
      <c r="F2009" s="89"/>
    </row>
    <row r="2010" spans="2:6" s="6" customFormat="1" x14ac:dyDescent="0.3">
      <c r="B2010" s="29"/>
      <c r="C2010" s="29"/>
      <c r="D2010" s="30"/>
      <c r="E2010" s="33"/>
      <c r="F2010" s="89"/>
    </row>
    <row r="2011" spans="2:6" s="6" customFormat="1" x14ac:dyDescent="0.3">
      <c r="B2011" s="29"/>
      <c r="C2011" s="29"/>
      <c r="D2011" s="30"/>
      <c r="E2011" s="33"/>
      <c r="F2011" s="89"/>
    </row>
    <row r="2012" spans="2:6" s="6" customFormat="1" x14ac:dyDescent="0.3">
      <c r="B2012" s="29"/>
      <c r="C2012" s="29"/>
      <c r="D2012" s="30"/>
      <c r="E2012" s="33"/>
      <c r="F2012" s="89"/>
    </row>
    <row r="2013" spans="2:6" s="6" customFormat="1" x14ac:dyDescent="0.3">
      <c r="B2013" s="29"/>
      <c r="C2013" s="29"/>
      <c r="D2013" s="30"/>
      <c r="E2013" s="33"/>
      <c r="F2013" s="89"/>
    </row>
    <row r="2014" spans="2:6" s="6" customFormat="1" x14ac:dyDescent="0.3">
      <c r="B2014" s="29"/>
      <c r="C2014" s="29"/>
      <c r="D2014" s="30"/>
      <c r="E2014" s="33"/>
      <c r="F2014" s="89"/>
    </row>
    <row r="2015" spans="2:6" s="6" customFormat="1" x14ac:dyDescent="0.3">
      <c r="B2015" s="29"/>
      <c r="C2015" s="29"/>
      <c r="D2015" s="30"/>
      <c r="E2015" s="33"/>
      <c r="F2015" s="89"/>
    </row>
    <row r="2016" spans="2:6" s="6" customFormat="1" x14ac:dyDescent="0.3">
      <c r="B2016" s="29"/>
      <c r="C2016" s="29"/>
      <c r="D2016" s="30"/>
      <c r="E2016" s="33"/>
      <c r="F2016" s="89"/>
    </row>
    <row r="2017" spans="2:6" s="6" customFormat="1" x14ac:dyDescent="0.3">
      <c r="B2017" s="29"/>
      <c r="C2017" s="29"/>
      <c r="D2017" s="30"/>
      <c r="E2017" s="33"/>
      <c r="F2017" s="89"/>
    </row>
    <row r="2018" spans="2:6" s="6" customFormat="1" x14ac:dyDescent="0.3">
      <c r="B2018" s="29"/>
      <c r="C2018" s="29"/>
      <c r="D2018" s="30"/>
      <c r="E2018" s="33"/>
      <c r="F2018" s="89"/>
    </row>
    <row r="2019" spans="2:6" s="6" customFormat="1" x14ac:dyDescent="0.3">
      <c r="B2019" s="29"/>
      <c r="C2019" s="29"/>
      <c r="D2019" s="30"/>
      <c r="E2019" s="33"/>
      <c r="F2019" s="89"/>
    </row>
    <row r="2020" spans="2:6" s="6" customFormat="1" x14ac:dyDescent="0.3">
      <c r="B2020" s="29"/>
      <c r="C2020" s="29"/>
      <c r="D2020" s="30"/>
      <c r="E2020" s="33"/>
      <c r="F2020" s="89"/>
    </row>
    <row r="2021" spans="2:6" s="6" customFormat="1" x14ac:dyDescent="0.3">
      <c r="B2021" s="29"/>
      <c r="C2021" s="29"/>
      <c r="D2021" s="30"/>
      <c r="E2021" s="33"/>
      <c r="F2021" s="89"/>
    </row>
    <row r="2022" spans="2:6" s="6" customFormat="1" x14ac:dyDescent="0.3">
      <c r="B2022" s="29"/>
      <c r="C2022" s="29"/>
      <c r="D2022" s="30"/>
      <c r="E2022" s="33"/>
      <c r="F2022" s="89"/>
    </row>
    <row r="2023" spans="2:6" s="6" customFormat="1" x14ac:dyDescent="0.3">
      <c r="B2023" s="29"/>
      <c r="C2023" s="29"/>
      <c r="D2023" s="30"/>
      <c r="E2023" s="33"/>
      <c r="F2023" s="89"/>
    </row>
    <row r="2024" spans="2:6" s="6" customFormat="1" x14ac:dyDescent="0.3">
      <c r="B2024" s="29"/>
      <c r="C2024" s="29"/>
      <c r="D2024" s="30"/>
      <c r="E2024" s="33"/>
      <c r="F2024" s="89"/>
    </row>
    <row r="2025" spans="2:6" s="6" customFormat="1" x14ac:dyDescent="0.3">
      <c r="B2025" s="29"/>
      <c r="C2025" s="29"/>
      <c r="D2025" s="30"/>
      <c r="E2025" s="33"/>
      <c r="F2025" s="89"/>
    </row>
    <row r="2026" spans="2:6" s="6" customFormat="1" x14ac:dyDescent="0.3">
      <c r="B2026" s="29"/>
      <c r="C2026" s="29"/>
      <c r="D2026" s="30"/>
      <c r="E2026" s="33"/>
      <c r="F2026" s="89"/>
    </row>
    <row r="2027" spans="2:6" s="6" customFormat="1" x14ac:dyDescent="0.3">
      <c r="B2027" s="29"/>
      <c r="C2027" s="29"/>
      <c r="D2027" s="30"/>
      <c r="E2027" s="33"/>
      <c r="F2027" s="89"/>
    </row>
    <row r="2028" spans="2:6" s="6" customFormat="1" x14ac:dyDescent="0.3">
      <c r="B2028" s="29"/>
      <c r="C2028" s="29"/>
      <c r="D2028" s="30"/>
      <c r="E2028" s="33"/>
      <c r="F2028" s="89"/>
    </row>
    <row r="2029" spans="2:6" s="6" customFormat="1" x14ac:dyDescent="0.3">
      <c r="B2029" s="29"/>
      <c r="C2029" s="29"/>
      <c r="D2029" s="30"/>
      <c r="E2029" s="33"/>
      <c r="F2029" s="89"/>
    </row>
    <row r="2030" spans="2:6" s="6" customFormat="1" x14ac:dyDescent="0.3">
      <c r="B2030" s="29"/>
      <c r="C2030" s="29"/>
      <c r="D2030" s="30"/>
      <c r="E2030" s="33"/>
      <c r="F2030" s="89"/>
    </row>
    <row r="2031" spans="2:6" s="6" customFormat="1" x14ac:dyDescent="0.3">
      <c r="B2031" s="29"/>
      <c r="C2031" s="29"/>
      <c r="D2031" s="30"/>
      <c r="E2031" s="33"/>
      <c r="F2031" s="89"/>
    </row>
    <row r="2032" spans="2:6" s="6" customFormat="1" x14ac:dyDescent="0.3">
      <c r="B2032" s="29"/>
      <c r="C2032" s="29"/>
      <c r="D2032" s="30"/>
      <c r="E2032" s="33"/>
      <c r="F2032" s="89"/>
    </row>
    <row r="2033" spans="2:6" s="6" customFormat="1" x14ac:dyDescent="0.3">
      <c r="B2033" s="29"/>
      <c r="C2033" s="29"/>
      <c r="D2033" s="30"/>
      <c r="E2033" s="33"/>
      <c r="F2033" s="89"/>
    </row>
    <row r="2034" spans="2:6" s="6" customFormat="1" x14ac:dyDescent="0.3">
      <c r="B2034" s="29"/>
      <c r="C2034" s="29"/>
      <c r="D2034" s="30"/>
      <c r="E2034" s="33"/>
      <c r="F2034" s="89"/>
    </row>
    <row r="2035" spans="2:6" s="6" customFormat="1" x14ac:dyDescent="0.3">
      <c r="B2035" s="29"/>
      <c r="C2035" s="29"/>
      <c r="D2035" s="30"/>
      <c r="E2035" s="33"/>
      <c r="F2035" s="89"/>
    </row>
    <row r="2036" spans="2:6" s="6" customFormat="1" x14ac:dyDescent="0.3">
      <c r="B2036" s="29"/>
      <c r="C2036" s="29"/>
      <c r="D2036" s="30"/>
      <c r="E2036" s="33"/>
      <c r="F2036" s="89"/>
    </row>
    <row r="2037" spans="2:6" s="6" customFormat="1" x14ac:dyDescent="0.3">
      <c r="B2037" s="29"/>
      <c r="C2037" s="29"/>
      <c r="D2037" s="30"/>
      <c r="E2037" s="33"/>
      <c r="F2037" s="89"/>
    </row>
    <row r="2038" spans="2:6" s="6" customFormat="1" x14ac:dyDescent="0.3">
      <c r="B2038" s="29"/>
      <c r="C2038" s="29"/>
      <c r="D2038" s="30"/>
      <c r="E2038" s="33"/>
      <c r="F2038" s="89"/>
    </row>
    <row r="2039" spans="2:6" s="6" customFormat="1" x14ac:dyDescent="0.3">
      <c r="B2039" s="29"/>
      <c r="C2039" s="29"/>
      <c r="D2039" s="30"/>
      <c r="E2039" s="33"/>
      <c r="F2039" s="89"/>
    </row>
    <row r="2040" spans="2:6" s="6" customFormat="1" x14ac:dyDescent="0.3">
      <c r="B2040" s="29"/>
      <c r="C2040" s="29"/>
      <c r="D2040" s="30"/>
      <c r="E2040" s="33"/>
      <c r="F2040" s="89"/>
    </row>
    <row r="2041" spans="2:6" s="6" customFormat="1" x14ac:dyDescent="0.3">
      <c r="B2041" s="29"/>
      <c r="C2041" s="29"/>
      <c r="D2041" s="30"/>
      <c r="E2041" s="33"/>
      <c r="F2041" s="89"/>
    </row>
    <row r="2042" spans="2:6" s="6" customFormat="1" x14ac:dyDescent="0.3">
      <c r="B2042" s="29"/>
      <c r="C2042" s="29"/>
      <c r="D2042" s="30"/>
      <c r="E2042" s="33"/>
      <c r="F2042" s="89"/>
    </row>
    <row r="2043" spans="2:6" s="6" customFormat="1" x14ac:dyDescent="0.3">
      <c r="B2043" s="29"/>
      <c r="C2043" s="29"/>
      <c r="D2043" s="30"/>
      <c r="E2043" s="33"/>
      <c r="F2043" s="89"/>
    </row>
    <row r="2044" spans="2:6" s="6" customFormat="1" x14ac:dyDescent="0.3">
      <c r="B2044" s="29"/>
      <c r="C2044" s="29"/>
      <c r="D2044" s="30"/>
      <c r="E2044" s="33"/>
      <c r="F2044" s="89"/>
    </row>
    <row r="2045" spans="2:6" s="6" customFormat="1" x14ac:dyDescent="0.3">
      <c r="B2045" s="29"/>
      <c r="C2045" s="29"/>
      <c r="D2045" s="30"/>
      <c r="E2045" s="33"/>
      <c r="F2045" s="89"/>
    </row>
    <row r="2046" spans="2:6" s="6" customFormat="1" x14ac:dyDescent="0.3">
      <c r="B2046" s="29"/>
      <c r="C2046" s="29"/>
      <c r="D2046" s="30"/>
      <c r="E2046" s="33"/>
      <c r="F2046" s="89"/>
    </row>
    <row r="2047" spans="2:6" s="6" customFormat="1" x14ac:dyDescent="0.3">
      <c r="B2047" s="29"/>
      <c r="C2047" s="29"/>
      <c r="D2047" s="30"/>
      <c r="E2047" s="33"/>
      <c r="F2047" s="89"/>
    </row>
    <row r="2048" spans="2:6" s="6" customFormat="1" x14ac:dyDescent="0.3">
      <c r="B2048" s="29"/>
      <c r="C2048" s="29"/>
      <c r="D2048" s="30"/>
      <c r="E2048" s="33"/>
      <c r="F2048" s="89"/>
    </row>
    <row r="2049" spans="2:6" s="6" customFormat="1" x14ac:dyDescent="0.3">
      <c r="B2049" s="29"/>
      <c r="C2049" s="29"/>
      <c r="D2049" s="30"/>
      <c r="E2049" s="33"/>
      <c r="F2049" s="89"/>
    </row>
    <row r="2050" spans="2:6" s="6" customFormat="1" x14ac:dyDescent="0.3">
      <c r="B2050" s="29"/>
      <c r="C2050" s="29"/>
      <c r="D2050" s="30"/>
      <c r="E2050" s="33"/>
      <c r="F2050" s="89"/>
    </row>
    <row r="2051" spans="2:6" s="6" customFormat="1" x14ac:dyDescent="0.3">
      <c r="B2051" s="29"/>
      <c r="C2051" s="29"/>
      <c r="D2051" s="30"/>
      <c r="E2051" s="33"/>
      <c r="F2051" s="89"/>
    </row>
    <row r="2052" spans="2:6" s="6" customFormat="1" x14ac:dyDescent="0.3">
      <c r="B2052" s="29"/>
      <c r="C2052" s="29"/>
      <c r="D2052" s="30"/>
      <c r="E2052" s="33"/>
      <c r="F2052" s="89"/>
    </row>
    <row r="2053" spans="2:6" s="6" customFormat="1" x14ac:dyDescent="0.3">
      <c r="B2053" s="29"/>
      <c r="C2053" s="29"/>
      <c r="D2053" s="30"/>
      <c r="E2053" s="33"/>
      <c r="F2053" s="89"/>
    </row>
    <row r="2054" spans="2:6" s="6" customFormat="1" x14ac:dyDescent="0.3">
      <c r="B2054" s="29"/>
      <c r="C2054" s="29"/>
      <c r="D2054" s="30"/>
      <c r="E2054" s="33"/>
      <c r="F2054" s="89"/>
    </row>
    <row r="2055" spans="2:6" s="6" customFormat="1" x14ac:dyDescent="0.3">
      <c r="B2055" s="29"/>
      <c r="C2055" s="29"/>
      <c r="D2055" s="30"/>
      <c r="E2055" s="33"/>
      <c r="F2055" s="89"/>
    </row>
    <row r="2056" spans="2:6" s="6" customFormat="1" x14ac:dyDescent="0.3">
      <c r="B2056" s="29"/>
      <c r="C2056" s="29"/>
      <c r="D2056" s="30"/>
      <c r="E2056" s="33"/>
      <c r="F2056" s="89"/>
    </row>
    <row r="2057" spans="2:6" s="6" customFormat="1" x14ac:dyDescent="0.3">
      <c r="B2057" s="29"/>
      <c r="C2057" s="29"/>
      <c r="D2057" s="30"/>
      <c r="E2057" s="33"/>
      <c r="F2057" s="89"/>
    </row>
    <row r="2058" spans="2:6" s="6" customFormat="1" x14ac:dyDescent="0.3">
      <c r="B2058" s="29"/>
      <c r="C2058" s="29"/>
      <c r="D2058" s="30"/>
      <c r="E2058" s="33"/>
      <c r="F2058" s="89"/>
    </row>
    <row r="2059" spans="2:6" s="6" customFormat="1" x14ac:dyDescent="0.3">
      <c r="B2059" s="29"/>
      <c r="C2059" s="29"/>
      <c r="D2059" s="30"/>
      <c r="E2059" s="33"/>
      <c r="F2059" s="89"/>
    </row>
    <row r="2060" spans="2:6" s="6" customFormat="1" x14ac:dyDescent="0.3">
      <c r="B2060" s="29"/>
      <c r="C2060" s="29"/>
      <c r="D2060" s="30"/>
      <c r="E2060" s="33"/>
      <c r="F2060" s="89"/>
    </row>
    <row r="2061" spans="2:6" s="6" customFormat="1" x14ac:dyDescent="0.3">
      <c r="B2061" s="29"/>
      <c r="C2061" s="29"/>
      <c r="D2061" s="30"/>
      <c r="E2061" s="33"/>
      <c r="F2061" s="89"/>
    </row>
    <row r="2062" spans="2:6" s="6" customFormat="1" x14ac:dyDescent="0.3">
      <c r="B2062" s="29"/>
      <c r="C2062" s="29"/>
      <c r="D2062" s="30"/>
      <c r="E2062" s="33"/>
      <c r="F2062" s="89"/>
    </row>
    <row r="2063" spans="2:6" s="6" customFormat="1" x14ac:dyDescent="0.3">
      <c r="B2063" s="29"/>
      <c r="C2063" s="29"/>
      <c r="D2063" s="30"/>
      <c r="E2063" s="33"/>
      <c r="F2063" s="89"/>
    </row>
    <row r="2064" spans="2:6" s="6" customFormat="1" x14ac:dyDescent="0.3">
      <c r="B2064" s="29"/>
      <c r="C2064" s="29"/>
      <c r="D2064" s="30"/>
      <c r="E2064" s="33"/>
      <c r="F2064" s="89"/>
    </row>
    <row r="2065" spans="2:6" s="6" customFormat="1" x14ac:dyDescent="0.3">
      <c r="B2065" s="29"/>
      <c r="C2065" s="29"/>
      <c r="D2065" s="30"/>
      <c r="E2065" s="33"/>
      <c r="F2065" s="89"/>
    </row>
    <row r="2066" spans="2:6" s="6" customFormat="1" x14ac:dyDescent="0.3">
      <c r="B2066" s="29"/>
      <c r="C2066" s="29"/>
      <c r="D2066" s="30"/>
      <c r="E2066" s="33"/>
      <c r="F2066" s="89"/>
    </row>
    <row r="2067" spans="2:6" s="6" customFormat="1" x14ac:dyDescent="0.3">
      <c r="B2067" s="29"/>
      <c r="C2067" s="29"/>
      <c r="D2067" s="30"/>
      <c r="E2067" s="33"/>
      <c r="F2067" s="89"/>
    </row>
    <row r="2068" spans="2:6" s="6" customFormat="1" x14ac:dyDescent="0.3">
      <c r="B2068" s="29"/>
      <c r="C2068" s="29"/>
      <c r="D2068" s="30"/>
      <c r="E2068" s="33"/>
      <c r="F2068" s="89"/>
    </row>
    <row r="2069" spans="2:6" s="6" customFormat="1" x14ac:dyDescent="0.3">
      <c r="B2069" s="29"/>
      <c r="C2069" s="29"/>
      <c r="D2069" s="30"/>
      <c r="E2069" s="33"/>
      <c r="F2069" s="89"/>
    </row>
    <row r="2070" spans="2:6" s="6" customFormat="1" x14ac:dyDescent="0.3">
      <c r="B2070" s="29"/>
      <c r="C2070" s="29"/>
      <c r="D2070" s="30"/>
      <c r="E2070" s="33"/>
      <c r="F2070" s="89"/>
    </row>
    <row r="2071" spans="2:6" s="6" customFormat="1" x14ac:dyDescent="0.3">
      <c r="B2071" s="29"/>
      <c r="C2071" s="29"/>
      <c r="D2071" s="30"/>
      <c r="E2071" s="33"/>
      <c r="F2071" s="89"/>
    </row>
    <row r="2072" spans="2:6" s="6" customFormat="1" x14ac:dyDescent="0.3">
      <c r="B2072" s="29"/>
      <c r="C2072" s="29"/>
      <c r="D2072" s="30"/>
      <c r="E2072" s="33"/>
      <c r="F2072" s="89"/>
    </row>
    <row r="2073" spans="2:6" s="6" customFormat="1" x14ac:dyDescent="0.3">
      <c r="B2073" s="29"/>
      <c r="C2073" s="29"/>
      <c r="D2073" s="30"/>
      <c r="E2073" s="33"/>
      <c r="F2073" s="89"/>
    </row>
    <row r="2074" spans="2:6" s="6" customFormat="1" x14ac:dyDescent="0.3">
      <c r="B2074" s="29"/>
      <c r="C2074" s="29"/>
      <c r="D2074" s="30"/>
      <c r="E2074" s="33"/>
      <c r="F2074" s="89"/>
    </row>
    <row r="2075" spans="2:6" s="6" customFormat="1" x14ac:dyDescent="0.3">
      <c r="B2075" s="29"/>
      <c r="C2075" s="29"/>
      <c r="D2075" s="30"/>
      <c r="E2075" s="33"/>
      <c r="F2075" s="89"/>
    </row>
    <row r="2076" spans="2:6" s="6" customFormat="1" x14ac:dyDescent="0.3">
      <c r="B2076" s="29"/>
      <c r="C2076" s="29"/>
      <c r="D2076" s="30"/>
      <c r="E2076" s="33"/>
      <c r="F2076" s="89"/>
    </row>
    <row r="2077" spans="2:6" s="6" customFormat="1" x14ac:dyDescent="0.3">
      <c r="B2077" s="29"/>
      <c r="C2077" s="29"/>
      <c r="D2077" s="30"/>
      <c r="E2077" s="33"/>
      <c r="F2077" s="89"/>
    </row>
    <row r="2078" spans="2:6" s="6" customFormat="1" x14ac:dyDescent="0.3">
      <c r="B2078" s="29"/>
      <c r="C2078" s="29"/>
      <c r="D2078" s="30"/>
      <c r="E2078" s="33"/>
      <c r="F2078" s="89"/>
    </row>
    <row r="2079" spans="2:6" s="6" customFormat="1" x14ac:dyDescent="0.3">
      <c r="B2079" s="29"/>
      <c r="C2079" s="29"/>
      <c r="D2079" s="30"/>
      <c r="E2079" s="33"/>
      <c r="F2079" s="89"/>
    </row>
    <row r="2080" spans="2:6" s="6" customFormat="1" x14ac:dyDescent="0.3">
      <c r="B2080" s="29"/>
      <c r="C2080" s="29"/>
      <c r="D2080" s="30"/>
      <c r="E2080" s="33"/>
      <c r="F2080" s="89"/>
    </row>
    <row r="2081" spans="2:6" s="6" customFormat="1" x14ac:dyDescent="0.3">
      <c r="B2081" s="29"/>
      <c r="C2081" s="29"/>
      <c r="D2081" s="30"/>
      <c r="E2081" s="33"/>
      <c r="F2081" s="89"/>
    </row>
    <row r="2082" spans="2:6" s="6" customFormat="1" x14ac:dyDescent="0.3">
      <c r="B2082" s="29"/>
      <c r="C2082" s="29"/>
      <c r="D2082" s="30"/>
      <c r="E2082" s="33"/>
      <c r="F2082" s="89"/>
    </row>
    <row r="2083" spans="2:6" s="6" customFormat="1" x14ac:dyDescent="0.3">
      <c r="B2083" s="29"/>
      <c r="C2083" s="29"/>
      <c r="D2083" s="30"/>
      <c r="E2083" s="33"/>
      <c r="F2083" s="89"/>
    </row>
    <row r="2084" spans="2:6" s="6" customFormat="1" x14ac:dyDescent="0.3">
      <c r="B2084" s="29"/>
      <c r="C2084" s="29"/>
      <c r="D2084" s="30"/>
      <c r="E2084" s="33"/>
      <c r="F2084" s="89"/>
    </row>
    <row r="2085" spans="2:6" s="6" customFormat="1" x14ac:dyDescent="0.3">
      <c r="B2085" s="29"/>
      <c r="C2085" s="29"/>
      <c r="D2085" s="30"/>
      <c r="E2085" s="33"/>
      <c r="F2085" s="89"/>
    </row>
    <row r="2086" spans="2:6" s="6" customFormat="1" x14ac:dyDescent="0.3">
      <c r="B2086" s="29"/>
      <c r="C2086" s="29"/>
      <c r="D2086" s="30"/>
      <c r="E2086" s="33"/>
      <c r="F2086" s="89"/>
    </row>
    <row r="2087" spans="2:6" s="6" customFormat="1" x14ac:dyDescent="0.3">
      <c r="B2087" s="29"/>
      <c r="C2087" s="29"/>
      <c r="D2087" s="30"/>
      <c r="E2087" s="33"/>
      <c r="F2087" s="89"/>
    </row>
    <row r="2088" spans="2:6" s="6" customFormat="1" x14ac:dyDescent="0.3">
      <c r="B2088" s="29"/>
      <c r="C2088" s="29"/>
      <c r="D2088" s="30"/>
      <c r="E2088" s="33"/>
      <c r="F2088" s="89"/>
    </row>
    <row r="2089" spans="2:6" s="6" customFormat="1" x14ac:dyDescent="0.3">
      <c r="B2089" s="29"/>
      <c r="C2089" s="29"/>
      <c r="D2089" s="30"/>
      <c r="E2089" s="33"/>
      <c r="F2089" s="89"/>
    </row>
    <row r="2090" spans="2:6" s="6" customFormat="1" x14ac:dyDescent="0.3">
      <c r="B2090" s="29"/>
      <c r="C2090" s="29"/>
      <c r="D2090" s="30"/>
      <c r="E2090" s="33"/>
      <c r="F2090" s="89"/>
    </row>
    <row r="2091" spans="2:6" s="6" customFormat="1" x14ac:dyDescent="0.3">
      <c r="B2091" s="29"/>
      <c r="C2091" s="29"/>
      <c r="D2091" s="30"/>
      <c r="E2091" s="33"/>
      <c r="F2091" s="89"/>
    </row>
    <row r="2092" spans="2:6" s="6" customFormat="1" x14ac:dyDescent="0.3">
      <c r="B2092" s="29"/>
      <c r="C2092" s="29"/>
      <c r="D2092" s="30"/>
      <c r="E2092" s="33"/>
      <c r="F2092" s="89"/>
    </row>
    <row r="2093" spans="2:6" s="6" customFormat="1" x14ac:dyDescent="0.3">
      <c r="B2093" s="29"/>
      <c r="C2093" s="29"/>
      <c r="D2093" s="30"/>
      <c r="E2093" s="33"/>
      <c r="F2093" s="89"/>
    </row>
    <row r="2094" spans="2:6" s="6" customFormat="1" x14ac:dyDescent="0.3">
      <c r="B2094" s="29"/>
      <c r="C2094" s="29"/>
      <c r="D2094" s="30"/>
      <c r="E2094" s="33"/>
      <c r="F2094" s="89"/>
    </row>
    <row r="2095" spans="2:6" s="6" customFormat="1" x14ac:dyDescent="0.3">
      <c r="B2095" s="29"/>
      <c r="C2095" s="29"/>
      <c r="D2095" s="30"/>
      <c r="E2095" s="33"/>
      <c r="F2095" s="89"/>
    </row>
    <row r="2096" spans="2:6" s="6" customFormat="1" x14ac:dyDescent="0.3">
      <c r="B2096" s="29"/>
      <c r="C2096" s="29"/>
      <c r="D2096" s="30"/>
      <c r="E2096" s="33"/>
      <c r="F2096" s="89"/>
    </row>
    <row r="2097" spans="2:6" s="6" customFormat="1" x14ac:dyDescent="0.3">
      <c r="B2097" s="29"/>
      <c r="C2097" s="29"/>
      <c r="D2097" s="30"/>
      <c r="E2097" s="33"/>
      <c r="F2097" s="89"/>
    </row>
    <row r="2098" spans="2:6" s="6" customFormat="1" x14ac:dyDescent="0.3">
      <c r="B2098" s="29"/>
      <c r="C2098" s="29"/>
      <c r="D2098" s="30"/>
      <c r="E2098" s="33"/>
      <c r="F2098" s="89"/>
    </row>
    <row r="2099" spans="2:6" s="6" customFormat="1" x14ac:dyDescent="0.3">
      <c r="B2099" s="29"/>
      <c r="C2099" s="29"/>
      <c r="D2099" s="30"/>
      <c r="E2099" s="33"/>
      <c r="F2099" s="89"/>
    </row>
    <row r="2100" spans="2:6" s="6" customFormat="1" x14ac:dyDescent="0.3">
      <c r="B2100" s="29"/>
      <c r="C2100" s="29"/>
      <c r="D2100" s="30"/>
      <c r="E2100" s="33"/>
      <c r="F2100" s="89"/>
    </row>
    <row r="2101" spans="2:6" s="6" customFormat="1" x14ac:dyDescent="0.3">
      <c r="B2101" s="29"/>
      <c r="C2101" s="29"/>
      <c r="D2101" s="30"/>
      <c r="E2101" s="33"/>
      <c r="F2101" s="89"/>
    </row>
    <row r="2102" spans="2:6" s="6" customFormat="1" x14ac:dyDescent="0.3">
      <c r="B2102" s="29"/>
      <c r="C2102" s="29"/>
      <c r="D2102" s="30"/>
      <c r="E2102" s="33"/>
      <c r="F2102" s="89"/>
    </row>
    <row r="2103" spans="2:6" s="6" customFormat="1" x14ac:dyDescent="0.3">
      <c r="B2103" s="29"/>
      <c r="C2103" s="29"/>
      <c r="D2103" s="30"/>
      <c r="E2103" s="33"/>
      <c r="F2103" s="89"/>
    </row>
    <row r="2104" spans="2:6" s="6" customFormat="1" x14ac:dyDescent="0.3">
      <c r="B2104" s="29"/>
      <c r="C2104" s="29"/>
      <c r="D2104" s="30"/>
      <c r="E2104" s="33"/>
      <c r="F2104" s="89"/>
    </row>
    <row r="2105" spans="2:6" s="6" customFormat="1" x14ac:dyDescent="0.3">
      <c r="B2105" s="29"/>
      <c r="C2105" s="29"/>
      <c r="D2105" s="30"/>
      <c r="E2105" s="33"/>
      <c r="F2105" s="89"/>
    </row>
    <row r="2106" spans="2:6" s="6" customFormat="1" x14ac:dyDescent="0.3">
      <c r="B2106" s="29"/>
      <c r="C2106" s="29"/>
      <c r="D2106" s="30"/>
      <c r="E2106" s="33"/>
      <c r="F2106" s="89"/>
    </row>
    <row r="2107" spans="2:6" s="6" customFormat="1" x14ac:dyDescent="0.3">
      <c r="B2107" s="29"/>
      <c r="C2107" s="29"/>
      <c r="D2107" s="30"/>
      <c r="E2107" s="33"/>
      <c r="F2107" s="89"/>
    </row>
    <row r="2108" spans="2:6" s="6" customFormat="1" x14ac:dyDescent="0.3">
      <c r="B2108" s="29"/>
      <c r="C2108" s="29"/>
      <c r="D2108" s="30"/>
      <c r="E2108" s="33"/>
      <c r="F2108" s="89"/>
    </row>
    <row r="2109" spans="2:6" s="6" customFormat="1" x14ac:dyDescent="0.3">
      <c r="B2109" s="29"/>
      <c r="C2109" s="29"/>
      <c r="D2109" s="30"/>
      <c r="E2109" s="33"/>
      <c r="F2109" s="89"/>
    </row>
    <row r="2110" spans="2:6" s="6" customFormat="1" x14ac:dyDescent="0.3">
      <c r="B2110" s="29"/>
      <c r="C2110" s="29"/>
      <c r="D2110" s="30"/>
      <c r="E2110" s="33"/>
      <c r="F2110" s="89"/>
    </row>
    <row r="2111" spans="2:6" s="6" customFormat="1" x14ac:dyDescent="0.3">
      <c r="B2111" s="29"/>
      <c r="C2111" s="29"/>
      <c r="D2111" s="30"/>
      <c r="E2111" s="33"/>
      <c r="F2111" s="89"/>
    </row>
    <row r="2112" spans="2:6" s="6" customFormat="1" x14ac:dyDescent="0.3">
      <c r="B2112" s="29"/>
      <c r="C2112" s="29"/>
      <c r="D2112" s="30"/>
      <c r="E2112" s="33"/>
      <c r="F2112" s="89"/>
    </row>
    <row r="2113" spans="2:6" s="6" customFormat="1" x14ac:dyDescent="0.3">
      <c r="B2113" s="29"/>
      <c r="C2113" s="29"/>
      <c r="D2113" s="30"/>
      <c r="E2113" s="33"/>
      <c r="F2113" s="89"/>
    </row>
    <row r="2114" spans="2:6" s="6" customFormat="1" x14ac:dyDescent="0.3">
      <c r="B2114" s="29"/>
      <c r="C2114" s="29"/>
      <c r="D2114" s="30"/>
      <c r="E2114" s="33"/>
      <c r="F2114" s="89"/>
    </row>
    <row r="2115" spans="2:6" s="6" customFormat="1" x14ac:dyDescent="0.3">
      <c r="B2115" s="29"/>
      <c r="C2115" s="29"/>
      <c r="D2115" s="30"/>
      <c r="E2115" s="33"/>
      <c r="F2115" s="89"/>
    </row>
    <row r="2116" spans="2:6" s="6" customFormat="1" x14ac:dyDescent="0.3">
      <c r="B2116" s="29"/>
      <c r="C2116" s="29"/>
      <c r="D2116" s="30"/>
      <c r="E2116" s="33"/>
      <c r="F2116" s="89"/>
    </row>
    <row r="2117" spans="2:6" s="6" customFormat="1" x14ac:dyDescent="0.3">
      <c r="B2117" s="29"/>
      <c r="C2117" s="29"/>
      <c r="D2117" s="30"/>
      <c r="E2117" s="33"/>
      <c r="F2117" s="89"/>
    </row>
    <row r="2118" spans="2:6" s="6" customFormat="1" x14ac:dyDescent="0.3">
      <c r="B2118" s="29"/>
      <c r="C2118" s="29"/>
      <c r="D2118" s="30"/>
      <c r="E2118" s="33"/>
      <c r="F2118" s="89"/>
    </row>
    <row r="2119" spans="2:6" s="6" customFormat="1" x14ac:dyDescent="0.3">
      <c r="B2119" s="29"/>
      <c r="C2119" s="29"/>
      <c r="D2119" s="30"/>
      <c r="E2119" s="33"/>
      <c r="F2119" s="89"/>
    </row>
    <row r="2120" spans="2:6" s="6" customFormat="1" x14ac:dyDescent="0.3">
      <c r="B2120" s="29"/>
      <c r="C2120" s="29"/>
      <c r="D2120" s="30"/>
      <c r="E2120" s="33"/>
      <c r="F2120" s="89"/>
    </row>
    <row r="2121" spans="2:6" s="6" customFormat="1" x14ac:dyDescent="0.3">
      <c r="B2121" s="29"/>
      <c r="C2121" s="29"/>
      <c r="D2121" s="30"/>
      <c r="E2121" s="33"/>
      <c r="F2121" s="89"/>
    </row>
    <row r="2122" spans="2:6" s="6" customFormat="1" x14ac:dyDescent="0.3">
      <c r="B2122" s="29"/>
      <c r="C2122" s="29"/>
      <c r="D2122" s="30"/>
      <c r="E2122" s="33"/>
      <c r="F2122" s="89"/>
    </row>
    <row r="2123" spans="2:6" s="6" customFormat="1" x14ac:dyDescent="0.3">
      <c r="B2123" s="29"/>
      <c r="C2123" s="29"/>
      <c r="D2123" s="30"/>
      <c r="E2123" s="33"/>
      <c r="F2123" s="89"/>
    </row>
    <row r="2124" spans="2:6" s="6" customFormat="1" x14ac:dyDescent="0.3">
      <c r="B2124" s="29"/>
      <c r="C2124" s="29"/>
      <c r="D2124" s="30"/>
      <c r="E2124" s="33"/>
      <c r="F2124" s="89"/>
    </row>
    <row r="2125" spans="2:6" s="6" customFormat="1" x14ac:dyDescent="0.3">
      <c r="B2125" s="29"/>
      <c r="C2125" s="29"/>
      <c r="D2125" s="30"/>
      <c r="E2125" s="33"/>
      <c r="F2125" s="89"/>
    </row>
    <row r="2126" spans="2:6" s="6" customFormat="1" x14ac:dyDescent="0.3">
      <c r="B2126" s="29"/>
      <c r="C2126" s="29"/>
      <c r="D2126" s="30"/>
      <c r="E2126" s="33"/>
      <c r="F2126" s="89"/>
    </row>
    <row r="2127" spans="2:6" s="6" customFormat="1" x14ac:dyDescent="0.3">
      <c r="B2127" s="29"/>
      <c r="C2127" s="29"/>
      <c r="D2127" s="30"/>
      <c r="E2127" s="33"/>
      <c r="F2127" s="89"/>
    </row>
    <row r="2128" spans="2:6" s="6" customFormat="1" x14ac:dyDescent="0.3">
      <c r="B2128" s="29"/>
      <c r="C2128" s="29"/>
      <c r="D2128" s="30"/>
      <c r="E2128" s="33"/>
      <c r="F2128" s="89"/>
    </row>
    <row r="2129" spans="2:6" s="6" customFormat="1" x14ac:dyDescent="0.3">
      <c r="B2129" s="29"/>
      <c r="C2129" s="29"/>
      <c r="D2129" s="30"/>
      <c r="E2129" s="33"/>
      <c r="F2129" s="89"/>
    </row>
    <row r="2130" spans="2:6" s="6" customFormat="1" x14ac:dyDescent="0.3">
      <c r="B2130" s="29"/>
      <c r="C2130" s="29"/>
      <c r="D2130" s="30"/>
      <c r="E2130" s="33"/>
      <c r="F2130" s="89"/>
    </row>
    <row r="2131" spans="2:6" s="6" customFormat="1" x14ac:dyDescent="0.3">
      <c r="B2131" s="29"/>
      <c r="C2131" s="29"/>
      <c r="D2131" s="30"/>
      <c r="E2131" s="33"/>
      <c r="F2131" s="89"/>
    </row>
    <row r="2132" spans="2:6" s="6" customFormat="1" x14ac:dyDescent="0.3">
      <c r="B2132" s="29"/>
      <c r="C2132" s="29"/>
      <c r="D2132" s="30"/>
      <c r="E2132" s="33"/>
      <c r="F2132" s="89"/>
    </row>
    <row r="2133" spans="2:6" s="6" customFormat="1" x14ac:dyDescent="0.3">
      <c r="B2133" s="29"/>
      <c r="C2133" s="29"/>
      <c r="D2133" s="30"/>
      <c r="E2133" s="33"/>
      <c r="F2133" s="89"/>
    </row>
    <row r="2134" spans="2:6" s="6" customFormat="1" x14ac:dyDescent="0.3">
      <c r="B2134" s="29"/>
      <c r="C2134" s="29"/>
      <c r="D2134" s="30"/>
      <c r="E2134" s="33"/>
      <c r="F2134" s="89"/>
    </row>
    <row r="2135" spans="2:6" s="6" customFormat="1" x14ac:dyDescent="0.3">
      <c r="B2135" s="29"/>
      <c r="C2135" s="29"/>
      <c r="D2135" s="30"/>
      <c r="E2135" s="33"/>
      <c r="F2135" s="89"/>
    </row>
    <row r="2136" spans="2:6" s="6" customFormat="1" x14ac:dyDescent="0.3">
      <c r="B2136" s="29"/>
      <c r="C2136" s="29"/>
      <c r="D2136" s="30"/>
      <c r="E2136" s="33"/>
      <c r="F2136" s="89"/>
    </row>
    <row r="2137" spans="2:6" s="6" customFormat="1" x14ac:dyDescent="0.3">
      <c r="B2137" s="29"/>
      <c r="C2137" s="29"/>
      <c r="D2137" s="30"/>
      <c r="E2137" s="33"/>
      <c r="F2137" s="89"/>
    </row>
    <row r="2138" spans="2:6" s="6" customFormat="1" x14ac:dyDescent="0.3">
      <c r="B2138" s="29"/>
      <c r="C2138" s="29"/>
      <c r="D2138" s="30"/>
      <c r="E2138" s="33"/>
      <c r="F2138" s="89"/>
    </row>
    <row r="2139" spans="2:6" s="6" customFormat="1" x14ac:dyDescent="0.3">
      <c r="B2139" s="29"/>
      <c r="C2139" s="29"/>
      <c r="D2139" s="30"/>
      <c r="E2139" s="33"/>
      <c r="F2139" s="89"/>
    </row>
    <row r="2140" spans="2:6" s="6" customFormat="1" x14ac:dyDescent="0.3">
      <c r="B2140" s="29"/>
      <c r="C2140" s="29"/>
      <c r="D2140" s="30"/>
      <c r="E2140" s="33"/>
      <c r="F2140" s="89"/>
    </row>
    <row r="2141" spans="2:6" s="6" customFormat="1" x14ac:dyDescent="0.3">
      <c r="B2141" s="29"/>
      <c r="C2141" s="29"/>
      <c r="D2141" s="30"/>
      <c r="E2141" s="33"/>
      <c r="F2141" s="89"/>
    </row>
    <row r="2142" spans="2:6" s="6" customFormat="1" x14ac:dyDescent="0.3">
      <c r="B2142" s="29"/>
      <c r="C2142" s="29"/>
      <c r="D2142" s="30"/>
      <c r="E2142" s="33"/>
      <c r="F2142" s="89"/>
    </row>
    <row r="2143" spans="2:6" s="6" customFormat="1" x14ac:dyDescent="0.3">
      <c r="B2143" s="29"/>
      <c r="C2143" s="29"/>
      <c r="D2143" s="30"/>
      <c r="E2143" s="33"/>
      <c r="F2143" s="89"/>
    </row>
    <row r="2144" spans="2:6" s="6" customFormat="1" x14ac:dyDescent="0.3">
      <c r="B2144" s="29"/>
      <c r="C2144" s="29"/>
      <c r="D2144" s="30"/>
      <c r="E2144" s="33"/>
      <c r="F2144" s="89"/>
    </row>
    <row r="2145" spans="2:6" s="6" customFormat="1" x14ac:dyDescent="0.3">
      <c r="B2145" s="29"/>
      <c r="C2145" s="29"/>
      <c r="D2145" s="30"/>
      <c r="E2145" s="33"/>
      <c r="F2145" s="89"/>
    </row>
    <row r="2146" spans="2:6" s="6" customFormat="1" x14ac:dyDescent="0.3">
      <c r="B2146" s="29"/>
      <c r="C2146" s="29"/>
      <c r="D2146" s="30"/>
      <c r="E2146" s="33"/>
      <c r="F2146" s="89"/>
    </row>
    <row r="2147" spans="2:6" s="6" customFormat="1" x14ac:dyDescent="0.3">
      <c r="B2147" s="29"/>
      <c r="C2147" s="29"/>
      <c r="D2147" s="30"/>
      <c r="E2147" s="33"/>
      <c r="F2147" s="89"/>
    </row>
    <row r="2148" spans="2:6" s="6" customFormat="1" x14ac:dyDescent="0.3">
      <c r="B2148" s="29"/>
      <c r="C2148" s="29"/>
      <c r="D2148" s="30"/>
      <c r="E2148" s="33"/>
      <c r="F2148" s="89"/>
    </row>
    <row r="2149" spans="2:6" s="6" customFormat="1" x14ac:dyDescent="0.3">
      <c r="B2149" s="29"/>
      <c r="C2149" s="29"/>
      <c r="D2149" s="30"/>
      <c r="E2149" s="33"/>
      <c r="F2149" s="89"/>
    </row>
    <row r="2150" spans="2:6" s="6" customFormat="1" x14ac:dyDescent="0.3">
      <c r="B2150" s="29"/>
      <c r="C2150" s="29"/>
      <c r="D2150" s="30"/>
      <c r="E2150" s="33"/>
      <c r="F2150" s="89"/>
    </row>
    <row r="2151" spans="2:6" s="6" customFormat="1" x14ac:dyDescent="0.3">
      <c r="B2151" s="29"/>
      <c r="C2151" s="29"/>
      <c r="D2151" s="30"/>
      <c r="E2151" s="33"/>
      <c r="F2151" s="89"/>
    </row>
    <row r="2152" spans="2:6" s="6" customFormat="1" x14ac:dyDescent="0.3">
      <c r="B2152" s="29"/>
      <c r="C2152" s="29"/>
      <c r="D2152" s="30"/>
      <c r="E2152" s="33"/>
      <c r="F2152" s="89"/>
    </row>
    <row r="2153" spans="2:6" s="6" customFormat="1" x14ac:dyDescent="0.3">
      <c r="B2153" s="29"/>
      <c r="C2153" s="29"/>
      <c r="D2153" s="30"/>
      <c r="E2153" s="33"/>
      <c r="F2153" s="89"/>
    </row>
    <row r="2154" spans="2:6" s="6" customFormat="1" x14ac:dyDescent="0.3">
      <c r="B2154" s="29"/>
      <c r="C2154" s="29"/>
      <c r="D2154" s="30"/>
      <c r="E2154" s="33"/>
      <c r="F2154" s="89"/>
    </row>
    <row r="2155" spans="2:6" s="6" customFormat="1" x14ac:dyDescent="0.3">
      <c r="B2155" s="29"/>
      <c r="C2155" s="29"/>
      <c r="D2155" s="30"/>
      <c r="E2155" s="33"/>
      <c r="F2155" s="89"/>
    </row>
    <row r="2156" spans="2:6" s="6" customFormat="1" x14ac:dyDescent="0.3">
      <c r="B2156" s="29"/>
      <c r="C2156" s="29"/>
      <c r="D2156" s="30"/>
      <c r="E2156" s="33"/>
      <c r="F2156" s="89"/>
    </row>
    <row r="2157" spans="2:6" s="6" customFormat="1" x14ac:dyDescent="0.3">
      <c r="B2157" s="29"/>
      <c r="C2157" s="29"/>
      <c r="D2157" s="30"/>
      <c r="E2157" s="33"/>
      <c r="F2157" s="89"/>
    </row>
    <row r="2158" spans="2:6" s="6" customFormat="1" x14ac:dyDescent="0.3">
      <c r="B2158" s="29"/>
      <c r="C2158" s="29"/>
      <c r="D2158" s="30"/>
      <c r="E2158" s="33"/>
      <c r="F2158" s="89"/>
    </row>
    <row r="2159" spans="2:6" s="6" customFormat="1" x14ac:dyDescent="0.3">
      <c r="B2159" s="29"/>
      <c r="C2159" s="29"/>
      <c r="D2159" s="30"/>
      <c r="E2159" s="33"/>
      <c r="F2159" s="89"/>
    </row>
    <row r="2160" spans="2:6" s="6" customFormat="1" x14ac:dyDescent="0.3">
      <c r="B2160" s="29"/>
      <c r="C2160" s="29"/>
      <c r="D2160" s="30"/>
      <c r="E2160" s="33"/>
      <c r="F2160" s="89"/>
    </row>
    <row r="2161" spans="2:6" s="6" customFormat="1" x14ac:dyDescent="0.3">
      <c r="B2161" s="29"/>
      <c r="C2161" s="29"/>
      <c r="D2161" s="30"/>
      <c r="E2161" s="33"/>
      <c r="F2161" s="89"/>
    </row>
    <row r="2162" spans="2:6" s="6" customFormat="1" x14ac:dyDescent="0.3">
      <c r="B2162" s="29"/>
      <c r="C2162" s="29"/>
      <c r="D2162" s="30"/>
      <c r="E2162" s="33"/>
      <c r="F2162" s="89"/>
    </row>
    <row r="2163" spans="2:6" s="6" customFormat="1" x14ac:dyDescent="0.3">
      <c r="B2163" s="29"/>
      <c r="C2163" s="29"/>
      <c r="D2163" s="30"/>
      <c r="E2163" s="33"/>
      <c r="F2163" s="89"/>
    </row>
    <row r="2164" spans="2:6" s="6" customFormat="1" x14ac:dyDescent="0.3">
      <c r="B2164" s="29"/>
      <c r="C2164" s="29"/>
      <c r="D2164" s="30"/>
      <c r="E2164" s="33"/>
      <c r="F2164" s="89"/>
    </row>
    <row r="2165" spans="2:6" s="6" customFormat="1" x14ac:dyDescent="0.3">
      <c r="B2165" s="29"/>
      <c r="C2165" s="29"/>
      <c r="D2165" s="30"/>
      <c r="E2165" s="33"/>
      <c r="F2165" s="89"/>
    </row>
    <row r="2166" spans="2:6" s="6" customFormat="1" x14ac:dyDescent="0.3">
      <c r="B2166" s="29"/>
      <c r="C2166" s="29"/>
      <c r="D2166" s="30"/>
      <c r="E2166" s="33"/>
      <c r="F2166" s="89"/>
    </row>
    <row r="2167" spans="2:6" s="6" customFormat="1" x14ac:dyDescent="0.3">
      <c r="B2167" s="29"/>
      <c r="C2167" s="29"/>
      <c r="D2167" s="30"/>
      <c r="E2167" s="33"/>
      <c r="F2167" s="89"/>
    </row>
    <row r="2168" spans="2:6" s="6" customFormat="1" x14ac:dyDescent="0.3">
      <c r="B2168" s="29"/>
      <c r="C2168" s="29"/>
      <c r="D2168" s="30"/>
      <c r="E2168" s="33"/>
      <c r="F2168" s="89"/>
    </row>
    <row r="2169" spans="2:6" s="6" customFormat="1" x14ac:dyDescent="0.3">
      <c r="B2169" s="29"/>
      <c r="C2169" s="29"/>
      <c r="D2169" s="30"/>
      <c r="E2169" s="33"/>
      <c r="F2169" s="89"/>
    </row>
    <row r="2170" spans="2:6" s="6" customFormat="1" x14ac:dyDescent="0.3">
      <c r="B2170" s="29"/>
      <c r="C2170" s="29"/>
      <c r="D2170" s="30"/>
      <c r="E2170" s="33"/>
      <c r="F2170" s="89"/>
    </row>
    <row r="2171" spans="2:6" s="6" customFormat="1" x14ac:dyDescent="0.3">
      <c r="B2171" s="29"/>
      <c r="C2171" s="29"/>
      <c r="D2171" s="30"/>
      <c r="E2171" s="33"/>
      <c r="F2171" s="89"/>
    </row>
    <row r="2172" spans="2:6" s="6" customFormat="1" x14ac:dyDescent="0.3">
      <c r="B2172" s="29"/>
      <c r="C2172" s="29"/>
      <c r="D2172" s="30"/>
      <c r="E2172" s="33"/>
      <c r="F2172" s="89"/>
    </row>
    <row r="2173" spans="2:6" s="6" customFormat="1" x14ac:dyDescent="0.3">
      <c r="B2173" s="29"/>
      <c r="C2173" s="29"/>
      <c r="D2173" s="30"/>
      <c r="E2173" s="33"/>
      <c r="F2173" s="89"/>
    </row>
    <row r="2174" spans="2:6" s="6" customFormat="1" x14ac:dyDescent="0.3">
      <c r="B2174" s="29"/>
      <c r="C2174" s="29"/>
      <c r="D2174" s="30"/>
      <c r="E2174" s="33"/>
      <c r="F2174" s="89"/>
    </row>
    <row r="2175" spans="2:6" s="6" customFormat="1" x14ac:dyDescent="0.3">
      <c r="B2175" s="29"/>
      <c r="C2175" s="29"/>
      <c r="D2175" s="30"/>
      <c r="E2175" s="33"/>
      <c r="F2175" s="89"/>
    </row>
    <row r="2176" spans="2:6" s="6" customFormat="1" x14ac:dyDescent="0.3">
      <c r="B2176" s="29"/>
      <c r="C2176" s="29"/>
      <c r="D2176" s="30"/>
      <c r="E2176" s="33"/>
      <c r="F2176" s="89"/>
    </row>
    <row r="2177" spans="2:6" s="6" customFormat="1" x14ac:dyDescent="0.3">
      <c r="B2177" s="29"/>
      <c r="C2177" s="29"/>
      <c r="D2177" s="30"/>
      <c r="E2177" s="33"/>
      <c r="F2177" s="89"/>
    </row>
    <row r="2178" spans="2:6" s="6" customFormat="1" x14ac:dyDescent="0.3">
      <c r="B2178" s="29"/>
      <c r="C2178" s="29"/>
      <c r="D2178" s="30"/>
      <c r="E2178" s="33"/>
      <c r="F2178" s="89"/>
    </row>
    <row r="2179" spans="2:6" s="6" customFormat="1" x14ac:dyDescent="0.3">
      <c r="B2179" s="29"/>
      <c r="C2179" s="29"/>
      <c r="D2179" s="30"/>
      <c r="E2179" s="33"/>
      <c r="F2179" s="89"/>
    </row>
    <row r="2180" spans="2:6" s="6" customFormat="1" x14ac:dyDescent="0.3">
      <c r="B2180" s="29"/>
      <c r="C2180" s="29"/>
      <c r="D2180" s="30"/>
      <c r="E2180" s="33"/>
      <c r="F2180" s="89"/>
    </row>
    <row r="2181" spans="2:6" s="6" customFormat="1" x14ac:dyDescent="0.3">
      <c r="B2181" s="29"/>
      <c r="C2181" s="29"/>
      <c r="D2181" s="30"/>
      <c r="E2181" s="33"/>
      <c r="F2181" s="89"/>
    </row>
    <row r="2182" spans="2:6" s="6" customFormat="1" x14ac:dyDescent="0.3">
      <c r="B2182" s="29"/>
      <c r="C2182" s="29"/>
      <c r="D2182" s="30"/>
      <c r="E2182" s="33"/>
      <c r="F2182" s="89"/>
    </row>
    <row r="2183" spans="2:6" s="6" customFormat="1" x14ac:dyDescent="0.3">
      <c r="B2183" s="29"/>
      <c r="C2183" s="29"/>
      <c r="D2183" s="30"/>
      <c r="E2183" s="33"/>
      <c r="F2183" s="89"/>
    </row>
    <row r="2184" spans="2:6" s="6" customFormat="1" x14ac:dyDescent="0.3">
      <c r="B2184" s="29"/>
      <c r="C2184" s="29"/>
      <c r="D2184" s="30"/>
      <c r="E2184" s="33"/>
      <c r="F2184" s="89"/>
    </row>
    <row r="2185" spans="2:6" s="6" customFormat="1" x14ac:dyDescent="0.3">
      <c r="B2185" s="29"/>
      <c r="C2185" s="29"/>
      <c r="D2185" s="30"/>
      <c r="E2185" s="33"/>
      <c r="F2185" s="89"/>
    </row>
    <row r="2186" spans="2:6" s="6" customFormat="1" x14ac:dyDescent="0.3">
      <c r="B2186" s="29"/>
      <c r="C2186" s="29"/>
      <c r="D2186" s="30"/>
      <c r="E2186" s="33"/>
      <c r="F2186" s="89"/>
    </row>
    <row r="2187" spans="2:6" s="6" customFormat="1" x14ac:dyDescent="0.3">
      <c r="B2187" s="29"/>
      <c r="C2187" s="29"/>
      <c r="D2187" s="30"/>
      <c r="E2187" s="33"/>
      <c r="F2187" s="89"/>
    </row>
    <row r="2188" spans="2:6" s="6" customFormat="1" x14ac:dyDescent="0.3">
      <c r="B2188" s="29"/>
      <c r="C2188" s="29"/>
      <c r="D2188" s="30"/>
      <c r="E2188" s="33"/>
      <c r="F2188" s="89"/>
    </row>
    <row r="2189" spans="2:6" s="6" customFormat="1" x14ac:dyDescent="0.3">
      <c r="B2189" s="29"/>
      <c r="C2189" s="29"/>
      <c r="D2189" s="30"/>
      <c r="E2189" s="33"/>
      <c r="F2189" s="89"/>
    </row>
    <row r="2190" spans="2:6" s="6" customFormat="1" x14ac:dyDescent="0.3">
      <c r="B2190" s="29"/>
      <c r="C2190" s="29"/>
      <c r="D2190" s="30"/>
      <c r="E2190" s="33"/>
      <c r="F2190" s="89"/>
    </row>
    <row r="2191" spans="2:6" s="6" customFormat="1" x14ac:dyDescent="0.3">
      <c r="B2191" s="29"/>
      <c r="C2191" s="29"/>
      <c r="D2191" s="30"/>
      <c r="E2191" s="33"/>
      <c r="F2191" s="89"/>
    </row>
    <row r="2192" spans="2:6" s="6" customFormat="1" x14ac:dyDescent="0.3">
      <c r="B2192" s="29"/>
      <c r="C2192" s="29"/>
      <c r="D2192" s="30"/>
      <c r="E2192" s="33"/>
      <c r="F2192" s="89"/>
    </row>
    <row r="2193" spans="2:6" s="6" customFormat="1" x14ac:dyDescent="0.3">
      <c r="B2193" s="29"/>
      <c r="C2193" s="29"/>
      <c r="D2193" s="30"/>
      <c r="E2193" s="33"/>
      <c r="F2193" s="89"/>
    </row>
    <row r="2194" spans="2:6" s="6" customFormat="1" x14ac:dyDescent="0.3">
      <c r="B2194" s="29"/>
      <c r="C2194" s="29"/>
      <c r="D2194" s="30"/>
      <c r="E2194" s="33"/>
      <c r="F2194" s="89"/>
    </row>
    <row r="2195" spans="2:6" s="6" customFormat="1" x14ac:dyDescent="0.3">
      <c r="B2195" s="29"/>
      <c r="C2195" s="29"/>
      <c r="D2195" s="30"/>
      <c r="E2195" s="33"/>
      <c r="F2195" s="89"/>
    </row>
    <row r="2196" spans="2:6" s="6" customFormat="1" x14ac:dyDescent="0.3">
      <c r="B2196" s="29"/>
      <c r="C2196" s="29"/>
      <c r="D2196" s="30"/>
      <c r="E2196" s="33"/>
      <c r="F2196" s="89"/>
    </row>
    <row r="2197" spans="2:6" s="6" customFormat="1" x14ac:dyDescent="0.3">
      <c r="B2197" s="29"/>
      <c r="C2197" s="29"/>
      <c r="D2197" s="30"/>
      <c r="E2197" s="33"/>
      <c r="F2197" s="89"/>
    </row>
    <row r="2198" spans="2:6" s="6" customFormat="1" x14ac:dyDescent="0.3">
      <c r="B2198" s="29"/>
      <c r="C2198" s="29"/>
      <c r="D2198" s="30"/>
      <c r="E2198" s="33"/>
      <c r="F2198" s="89"/>
    </row>
    <row r="2199" spans="2:6" s="6" customFormat="1" x14ac:dyDescent="0.3">
      <c r="B2199" s="29"/>
      <c r="C2199" s="29"/>
      <c r="D2199" s="30"/>
      <c r="E2199" s="33"/>
      <c r="F2199" s="89"/>
    </row>
    <row r="2200" spans="2:6" s="6" customFormat="1" x14ac:dyDescent="0.3">
      <c r="B2200" s="29"/>
      <c r="C2200" s="29"/>
      <c r="D2200" s="30"/>
      <c r="E2200" s="33"/>
      <c r="F2200" s="89"/>
    </row>
    <row r="2201" spans="2:6" s="6" customFormat="1" x14ac:dyDescent="0.3">
      <c r="B2201" s="29"/>
      <c r="C2201" s="29"/>
      <c r="D2201" s="30"/>
      <c r="E2201" s="33"/>
      <c r="F2201" s="89"/>
    </row>
    <row r="2202" spans="2:6" s="6" customFormat="1" x14ac:dyDescent="0.3">
      <c r="B2202" s="29"/>
      <c r="C2202" s="29"/>
      <c r="D2202" s="30"/>
      <c r="E2202" s="33"/>
      <c r="F2202" s="89"/>
    </row>
    <row r="2203" spans="2:6" s="6" customFormat="1" x14ac:dyDescent="0.3">
      <c r="B2203" s="29"/>
      <c r="C2203" s="29"/>
      <c r="D2203" s="30"/>
      <c r="E2203" s="33"/>
      <c r="F2203" s="89"/>
    </row>
    <row r="2204" spans="2:6" s="6" customFormat="1" x14ac:dyDescent="0.3">
      <c r="B2204" s="29"/>
      <c r="C2204" s="29"/>
      <c r="D2204" s="30"/>
      <c r="E2204" s="33"/>
      <c r="F2204" s="89"/>
    </row>
    <row r="2205" spans="2:6" s="6" customFormat="1" x14ac:dyDescent="0.3">
      <c r="B2205" s="29"/>
      <c r="C2205" s="29"/>
      <c r="D2205" s="30"/>
      <c r="E2205" s="33"/>
      <c r="F2205" s="89"/>
    </row>
    <row r="2206" spans="2:6" s="6" customFormat="1" x14ac:dyDescent="0.3">
      <c r="B2206" s="29"/>
      <c r="C2206" s="29"/>
      <c r="D2206" s="30"/>
      <c r="E2206" s="33"/>
      <c r="F2206" s="89"/>
    </row>
    <row r="2207" spans="2:6" s="6" customFormat="1" x14ac:dyDescent="0.3">
      <c r="B2207" s="29"/>
      <c r="C2207" s="29"/>
      <c r="D2207" s="30"/>
      <c r="E2207" s="33"/>
      <c r="F2207" s="89"/>
    </row>
    <row r="2208" spans="2:6" s="6" customFormat="1" x14ac:dyDescent="0.3">
      <c r="B2208" s="29"/>
      <c r="C2208" s="29"/>
      <c r="D2208" s="30"/>
      <c r="E2208" s="33"/>
      <c r="F2208" s="89"/>
    </row>
    <row r="2209" spans="2:6" s="6" customFormat="1" x14ac:dyDescent="0.3">
      <c r="B2209" s="29"/>
      <c r="C2209" s="29"/>
      <c r="D2209" s="30"/>
      <c r="E2209" s="33"/>
      <c r="F2209" s="89"/>
    </row>
    <row r="2210" spans="2:6" s="6" customFormat="1" x14ac:dyDescent="0.3">
      <c r="B2210" s="29"/>
      <c r="C2210" s="29"/>
      <c r="D2210" s="30"/>
      <c r="E2210" s="33"/>
      <c r="F2210" s="89"/>
    </row>
    <row r="2211" spans="2:6" s="6" customFormat="1" x14ac:dyDescent="0.3">
      <c r="B2211" s="29"/>
      <c r="C2211" s="29"/>
      <c r="D2211" s="30"/>
      <c r="E2211" s="33"/>
      <c r="F2211" s="89"/>
    </row>
    <row r="2212" spans="2:6" s="6" customFormat="1" x14ac:dyDescent="0.3">
      <c r="B2212" s="29"/>
      <c r="C2212" s="29"/>
      <c r="D2212" s="30"/>
      <c r="E2212" s="33"/>
      <c r="F2212" s="89"/>
    </row>
    <row r="2213" spans="2:6" s="6" customFormat="1" x14ac:dyDescent="0.3">
      <c r="B2213" s="29"/>
      <c r="C2213" s="29"/>
      <c r="D2213" s="30"/>
      <c r="E2213" s="33"/>
      <c r="F2213" s="89"/>
    </row>
    <row r="2214" spans="2:6" s="6" customFormat="1" x14ac:dyDescent="0.3">
      <c r="B2214" s="29"/>
      <c r="C2214" s="29"/>
      <c r="D2214" s="30"/>
      <c r="E2214" s="33"/>
      <c r="F2214" s="89"/>
    </row>
    <row r="2215" spans="2:6" s="6" customFormat="1" x14ac:dyDescent="0.3">
      <c r="B2215" s="29"/>
      <c r="C2215" s="29"/>
      <c r="D2215" s="30"/>
      <c r="E2215" s="33"/>
      <c r="F2215" s="89"/>
    </row>
    <row r="2216" spans="2:6" s="6" customFormat="1" x14ac:dyDescent="0.3">
      <c r="B2216" s="29"/>
      <c r="C2216" s="29"/>
      <c r="D2216" s="30"/>
      <c r="E2216" s="33"/>
      <c r="F2216" s="89"/>
    </row>
    <row r="2217" spans="2:6" s="6" customFormat="1" x14ac:dyDescent="0.3">
      <c r="B2217" s="29"/>
      <c r="C2217" s="29"/>
      <c r="D2217" s="30"/>
      <c r="E2217" s="33"/>
      <c r="F2217" s="89"/>
    </row>
    <row r="2218" spans="2:6" s="6" customFormat="1" x14ac:dyDescent="0.3">
      <c r="B2218" s="29"/>
      <c r="C2218" s="29"/>
      <c r="D2218" s="30"/>
      <c r="E2218" s="33"/>
      <c r="F2218" s="89"/>
    </row>
    <row r="2219" spans="2:6" s="6" customFormat="1" x14ac:dyDescent="0.3">
      <c r="B2219" s="29"/>
      <c r="C2219" s="29"/>
      <c r="D2219" s="30"/>
      <c r="E2219" s="33"/>
      <c r="F2219" s="89"/>
    </row>
    <row r="2220" spans="2:6" s="6" customFormat="1" x14ac:dyDescent="0.3">
      <c r="B2220" s="29"/>
      <c r="C2220" s="29"/>
      <c r="D2220" s="30"/>
      <c r="E2220" s="33"/>
      <c r="F2220" s="89"/>
    </row>
    <row r="2221" spans="2:6" s="6" customFormat="1" x14ac:dyDescent="0.3">
      <c r="B2221" s="29"/>
      <c r="C2221" s="29"/>
      <c r="D2221" s="30"/>
      <c r="E2221" s="33"/>
      <c r="F2221" s="89"/>
    </row>
    <row r="2222" spans="2:6" s="6" customFormat="1" x14ac:dyDescent="0.3">
      <c r="B2222" s="29"/>
      <c r="C2222" s="29"/>
      <c r="D2222" s="30"/>
      <c r="E2222" s="33"/>
      <c r="F2222" s="89"/>
    </row>
    <row r="2223" spans="2:6" s="6" customFormat="1" x14ac:dyDescent="0.3">
      <c r="B2223" s="29"/>
      <c r="C2223" s="29"/>
      <c r="D2223" s="30"/>
      <c r="E2223" s="33"/>
      <c r="F2223" s="89"/>
    </row>
    <row r="2224" spans="2:6" s="6" customFormat="1" x14ac:dyDescent="0.3">
      <c r="B2224" s="29"/>
      <c r="C2224" s="29"/>
      <c r="D2224" s="30"/>
      <c r="E2224" s="33"/>
      <c r="F2224" s="89"/>
    </row>
    <row r="2225" spans="2:6" s="6" customFormat="1" x14ac:dyDescent="0.3">
      <c r="B2225" s="29"/>
      <c r="C2225" s="29"/>
      <c r="D2225" s="30"/>
      <c r="E2225" s="33"/>
      <c r="F2225" s="89"/>
    </row>
    <row r="2226" spans="2:6" s="6" customFormat="1" x14ac:dyDescent="0.3">
      <c r="B2226" s="29"/>
      <c r="C2226" s="29"/>
      <c r="D2226" s="30"/>
      <c r="E2226" s="33"/>
      <c r="F2226" s="89"/>
    </row>
    <row r="2227" spans="2:6" s="6" customFormat="1" x14ac:dyDescent="0.3">
      <c r="B2227" s="29"/>
      <c r="C2227" s="29"/>
      <c r="D2227" s="30"/>
      <c r="E2227" s="33"/>
      <c r="F2227" s="89"/>
    </row>
    <row r="2228" spans="2:6" s="6" customFormat="1" x14ac:dyDescent="0.3">
      <c r="B2228" s="29"/>
      <c r="C2228" s="29"/>
      <c r="D2228" s="30"/>
      <c r="E2228" s="33"/>
      <c r="F2228" s="89"/>
    </row>
    <row r="2229" spans="2:6" s="6" customFormat="1" x14ac:dyDescent="0.3">
      <c r="B2229" s="29"/>
      <c r="C2229" s="29"/>
      <c r="D2229" s="30"/>
      <c r="E2229" s="33"/>
      <c r="F2229" s="89"/>
    </row>
    <row r="2230" spans="2:6" s="6" customFormat="1" x14ac:dyDescent="0.3">
      <c r="B2230" s="29"/>
      <c r="C2230" s="29"/>
      <c r="D2230" s="30"/>
      <c r="E2230" s="33"/>
      <c r="F2230" s="89"/>
    </row>
    <row r="2231" spans="2:6" s="6" customFormat="1" x14ac:dyDescent="0.3">
      <c r="B2231" s="29"/>
      <c r="C2231" s="29"/>
      <c r="D2231" s="30"/>
      <c r="E2231" s="33"/>
      <c r="F2231" s="89"/>
    </row>
    <row r="2232" spans="2:6" s="6" customFormat="1" x14ac:dyDescent="0.3">
      <c r="B2232" s="29"/>
      <c r="C2232" s="29"/>
      <c r="D2232" s="30"/>
      <c r="E2232" s="33"/>
      <c r="F2232" s="89"/>
    </row>
    <row r="2233" spans="2:6" s="6" customFormat="1" x14ac:dyDescent="0.3">
      <c r="B2233" s="29"/>
      <c r="C2233" s="29"/>
      <c r="D2233" s="30"/>
      <c r="E2233" s="33"/>
      <c r="F2233" s="89"/>
    </row>
    <row r="2234" spans="2:6" s="6" customFormat="1" x14ac:dyDescent="0.3">
      <c r="B2234" s="29"/>
      <c r="C2234" s="29"/>
      <c r="D2234" s="30"/>
      <c r="E2234" s="33"/>
      <c r="F2234" s="89"/>
    </row>
    <row r="2235" spans="2:6" s="6" customFormat="1" x14ac:dyDescent="0.3">
      <c r="B2235" s="29"/>
      <c r="C2235" s="29"/>
      <c r="D2235" s="30"/>
      <c r="E2235" s="33"/>
      <c r="F2235" s="89"/>
    </row>
    <row r="2236" spans="2:6" s="6" customFormat="1" x14ac:dyDescent="0.3">
      <c r="B2236" s="29"/>
      <c r="C2236" s="29"/>
      <c r="D2236" s="30"/>
      <c r="E2236" s="33"/>
      <c r="F2236" s="89"/>
    </row>
    <row r="2237" spans="2:6" s="6" customFormat="1" x14ac:dyDescent="0.3">
      <c r="B2237" s="29"/>
      <c r="C2237" s="29"/>
      <c r="D2237" s="30"/>
      <c r="E2237" s="33"/>
      <c r="F2237" s="89"/>
    </row>
    <row r="2238" spans="2:6" s="6" customFormat="1" x14ac:dyDescent="0.3">
      <c r="B2238" s="29"/>
      <c r="C2238" s="29"/>
      <c r="D2238" s="30"/>
      <c r="E2238" s="33"/>
      <c r="F2238" s="89"/>
    </row>
    <row r="2239" spans="2:6" s="6" customFormat="1" x14ac:dyDescent="0.3">
      <c r="B2239" s="29"/>
      <c r="C2239" s="29"/>
      <c r="D2239" s="30"/>
      <c r="E2239" s="33"/>
      <c r="F2239" s="89"/>
    </row>
    <row r="2240" spans="2:6" s="6" customFormat="1" x14ac:dyDescent="0.3">
      <c r="B2240" s="29"/>
      <c r="C2240" s="29"/>
      <c r="D2240" s="30"/>
      <c r="E2240" s="33"/>
      <c r="F2240" s="89"/>
    </row>
    <row r="2241" spans="2:6" s="6" customFormat="1" x14ac:dyDescent="0.3">
      <c r="B2241" s="29"/>
      <c r="C2241" s="29"/>
      <c r="D2241" s="30"/>
      <c r="E2241" s="33"/>
      <c r="F2241" s="89"/>
    </row>
    <row r="2242" spans="2:6" s="6" customFormat="1" x14ac:dyDescent="0.3">
      <c r="B2242" s="29"/>
      <c r="C2242" s="29"/>
      <c r="D2242" s="30"/>
      <c r="E2242" s="33"/>
      <c r="F2242" s="89"/>
    </row>
    <row r="2243" spans="2:6" s="6" customFormat="1" x14ac:dyDescent="0.3">
      <c r="B2243" s="29"/>
      <c r="C2243" s="29"/>
      <c r="D2243" s="30"/>
      <c r="E2243" s="33"/>
      <c r="F2243" s="89"/>
    </row>
    <row r="2244" spans="2:6" s="6" customFormat="1" x14ac:dyDescent="0.3">
      <c r="B2244" s="29"/>
      <c r="C2244" s="29"/>
      <c r="D2244" s="30"/>
      <c r="E2244" s="33"/>
      <c r="F2244" s="89"/>
    </row>
    <row r="2245" spans="2:6" s="6" customFormat="1" x14ac:dyDescent="0.3">
      <c r="B2245" s="29"/>
      <c r="C2245" s="29"/>
      <c r="D2245" s="30"/>
      <c r="E2245" s="33"/>
      <c r="F2245" s="89"/>
    </row>
    <row r="2246" spans="2:6" s="6" customFormat="1" x14ac:dyDescent="0.3">
      <c r="B2246" s="29"/>
      <c r="C2246" s="29"/>
      <c r="D2246" s="30"/>
      <c r="E2246" s="33"/>
      <c r="F2246" s="89"/>
    </row>
    <row r="2247" spans="2:6" s="6" customFormat="1" x14ac:dyDescent="0.3">
      <c r="B2247" s="29"/>
      <c r="C2247" s="29"/>
      <c r="D2247" s="30"/>
      <c r="E2247" s="33"/>
      <c r="F2247" s="89"/>
    </row>
    <row r="2248" spans="2:6" s="6" customFormat="1" x14ac:dyDescent="0.3">
      <c r="B2248" s="29"/>
      <c r="C2248" s="29"/>
      <c r="D2248" s="30"/>
      <c r="E2248" s="33"/>
      <c r="F2248" s="89"/>
    </row>
    <row r="2249" spans="2:6" s="6" customFormat="1" x14ac:dyDescent="0.3">
      <c r="B2249" s="29"/>
      <c r="C2249" s="29"/>
      <c r="D2249" s="30"/>
      <c r="E2249" s="33"/>
      <c r="F2249" s="89"/>
    </row>
    <row r="2250" spans="2:6" s="6" customFormat="1" x14ac:dyDescent="0.3">
      <c r="B2250" s="29"/>
      <c r="C2250" s="29"/>
      <c r="D2250" s="30"/>
      <c r="E2250" s="33"/>
      <c r="F2250" s="89"/>
    </row>
    <row r="2251" spans="2:6" s="6" customFormat="1" x14ac:dyDescent="0.3">
      <c r="B2251" s="29"/>
      <c r="C2251" s="29"/>
      <c r="D2251" s="30"/>
      <c r="E2251" s="33"/>
      <c r="F2251" s="89"/>
    </row>
    <row r="2252" spans="2:6" s="6" customFormat="1" x14ac:dyDescent="0.3">
      <c r="B2252" s="29"/>
      <c r="C2252" s="29"/>
      <c r="D2252" s="30"/>
      <c r="E2252" s="33"/>
      <c r="F2252" s="89"/>
    </row>
    <row r="2253" spans="2:6" s="6" customFormat="1" x14ac:dyDescent="0.3">
      <c r="B2253" s="29"/>
      <c r="C2253" s="29"/>
      <c r="D2253" s="30"/>
      <c r="E2253" s="33"/>
      <c r="F2253" s="89"/>
    </row>
    <row r="2254" spans="2:6" s="6" customFormat="1" x14ac:dyDescent="0.3">
      <c r="B2254" s="29"/>
      <c r="C2254" s="29"/>
      <c r="D2254" s="30"/>
      <c r="E2254" s="33"/>
      <c r="F2254" s="89"/>
    </row>
    <row r="2255" spans="2:6" s="6" customFormat="1" x14ac:dyDescent="0.3">
      <c r="B2255" s="29"/>
      <c r="C2255" s="29"/>
      <c r="D2255" s="30"/>
      <c r="E2255" s="33"/>
      <c r="F2255" s="89"/>
    </row>
    <row r="2256" spans="2:6" s="6" customFormat="1" x14ac:dyDescent="0.3">
      <c r="B2256" s="29"/>
      <c r="C2256" s="29"/>
      <c r="D2256" s="30"/>
      <c r="E2256" s="33"/>
      <c r="F2256" s="89"/>
    </row>
    <row r="2257" spans="2:6" s="6" customFormat="1" x14ac:dyDescent="0.3">
      <c r="B2257" s="29"/>
      <c r="C2257" s="29"/>
      <c r="D2257" s="30"/>
      <c r="E2257" s="33"/>
      <c r="F2257" s="89"/>
    </row>
    <row r="2258" spans="2:6" s="6" customFormat="1" x14ac:dyDescent="0.3">
      <c r="B2258" s="29"/>
      <c r="C2258" s="29"/>
      <c r="D2258" s="30"/>
      <c r="E2258" s="33"/>
      <c r="F2258" s="89"/>
    </row>
    <row r="2259" spans="2:6" s="6" customFormat="1" x14ac:dyDescent="0.3">
      <c r="B2259" s="29"/>
      <c r="C2259" s="29"/>
      <c r="D2259" s="30"/>
      <c r="E2259" s="33"/>
      <c r="F2259" s="89"/>
    </row>
    <row r="2260" spans="2:6" s="6" customFormat="1" x14ac:dyDescent="0.3">
      <c r="B2260" s="29"/>
      <c r="C2260" s="29"/>
      <c r="D2260" s="30"/>
      <c r="E2260" s="33"/>
      <c r="F2260" s="89"/>
    </row>
    <row r="2261" spans="2:6" s="6" customFormat="1" x14ac:dyDescent="0.3">
      <c r="B2261" s="29"/>
      <c r="C2261" s="29"/>
      <c r="D2261" s="30"/>
      <c r="E2261" s="33"/>
      <c r="F2261" s="89"/>
    </row>
    <row r="2262" spans="2:6" s="6" customFormat="1" x14ac:dyDescent="0.3">
      <c r="B2262" s="29"/>
      <c r="C2262" s="29"/>
      <c r="D2262" s="30"/>
      <c r="E2262" s="33"/>
      <c r="F2262" s="89"/>
    </row>
    <row r="2263" spans="2:6" s="6" customFormat="1" x14ac:dyDescent="0.3">
      <c r="B2263" s="29"/>
      <c r="C2263" s="29"/>
      <c r="D2263" s="30"/>
      <c r="E2263" s="33"/>
      <c r="F2263" s="89"/>
    </row>
    <row r="2264" spans="2:6" s="6" customFormat="1" x14ac:dyDescent="0.3">
      <c r="B2264" s="29"/>
      <c r="C2264" s="29"/>
      <c r="D2264" s="30"/>
      <c r="E2264" s="33"/>
      <c r="F2264" s="89"/>
    </row>
    <row r="2265" spans="2:6" s="6" customFormat="1" x14ac:dyDescent="0.3">
      <c r="B2265" s="29"/>
      <c r="C2265" s="29"/>
      <c r="D2265" s="30"/>
      <c r="E2265" s="33"/>
      <c r="F2265" s="89"/>
    </row>
    <row r="2266" spans="2:6" s="6" customFormat="1" x14ac:dyDescent="0.3">
      <c r="B2266" s="29"/>
      <c r="C2266" s="29"/>
      <c r="D2266" s="30"/>
      <c r="E2266" s="33"/>
      <c r="F2266" s="89"/>
    </row>
    <row r="2267" spans="2:6" s="6" customFormat="1" x14ac:dyDescent="0.3">
      <c r="B2267" s="29"/>
      <c r="C2267" s="29"/>
      <c r="D2267" s="30"/>
      <c r="E2267" s="33"/>
      <c r="F2267" s="89"/>
    </row>
    <row r="2268" spans="2:6" s="6" customFormat="1" x14ac:dyDescent="0.3">
      <c r="B2268" s="29"/>
      <c r="C2268" s="29"/>
      <c r="D2268" s="30"/>
      <c r="E2268" s="33"/>
      <c r="F2268" s="89"/>
    </row>
    <row r="2269" spans="2:6" s="6" customFormat="1" x14ac:dyDescent="0.3">
      <c r="B2269" s="29"/>
      <c r="C2269" s="29"/>
      <c r="D2269" s="30"/>
      <c r="E2269" s="33"/>
      <c r="F2269" s="89"/>
    </row>
    <row r="2270" spans="2:6" s="6" customFormat="1" x14ac:dyDescent="0.3">
      <c r="B2270" s="29"/>
      <c r="C2270" s="29"/>
      <c r="D2270" s="30"/>
      <c r="E2270" s="33"/>
      <c r="F2270" s="89"/>
    </row>
    <row r="2271" spans="2:6" s="6" customFormat="1" x14ac:dyDescent="0.3">
      <c r="B2271" s="29"/>
      <c r="C2271" s="29"/>
      <c r="D2271" s="30"/>
      <c r="E2271" s="33"/>
      <c r="F2271" s="89"/>
    </row>
    <row r="2272" spans="2:6" s="6" customFormat="1" x14ac:dyDescent="0.3">
      <c r="B2272" s="29"/>
      <c r="C2272" s="29"/>
      <c r="D2272" s="30"/>
      <c r="E2272" s="33"/>
      <c r="F2272" s="89"/>
    </row>
    <row r="2273" spans="2:6" s="6" customFormat="1" x14ac:dyDescent="0.3">
      <c r="B2273" s="29"/>
      <c r="C2273" s="29"/>
      <c r="D2273" s="30"/>
      <c r="E2273" s="33"/>
      <c r="F2273" s="89"/>
    </row>
    <row r="2274" spans="2:6" s="6" customFormat="1" x14ac:dyDescent="0.3">
      <c r="B2274" s="29"/>
      <c r="C2274" s="29"/>
      <c r="D2274" s="30"/>
      <c r="E2274" s="33"/>
      <c r="F2274" s="89"/>
    </row>
    <row r="2275" spans="2:6" s="6" customFormat="1" x14ac:dyDescent="0.3">
      <c r="B2275" s="29"/>
      <c r="C2275" s="29"/>
      <c r="D2275" s="30"/>
      <c r="E2275" s="33"/>
      <c r="F2275" s="89"/>
    </row>
    <row r="2276" spans="2:6" s="6" customFormat="1" x14ac:dyDescent="0.3">
      <c r="B2276" s="29"/>
      <c r="C2276" s="29"/>
      <c r="D2276" s="30"/>
      <c r="E2276" s="33"/>
      <c r="F2276" s="89"/>
    </row>
    <row r="2277" spans="2:6" s="6" customFormat="1" x14ac:dyDescent="0.3">
      <c r="B2277" s="29"/>
      <c r="C2277" s="29"/>
      <c r="D2277" s="30"/>
      <c r="E2277" s="33"/>
      <c r="F2277" s="89"/>
    </row>
    <row r="2278" spans="2:6" s="6" customFormat="1" x14ac:dyDescent="0.3">
      <c r="B2278" s="29"/>
      <c r="C2278" s="29"/>
      <c r="D2278" s="30"/>
      <c r="E2278" s="33"/>
      <c r="F2278" s="89"/>
    </row>
    <row r="2279" spans="2:6" s="6" customFormat="1" x14ac:dyDescent="0.3">
      <c r="B2279" s="29"/>
      <c r="C2279" s="29"/>
      <c r="D2279" s="30"/>
      <c r="E2279" s="33"/>
      <c r="F2279" s="89"/>
    </row>
    <row r="2280" spans="2:6" s="6" customFormat="1" x14ac:dyDescent="0.3">
      <c r="B2280" s="29"/>
      <c r="C2280" s="29"/>
      <c r="D2280" s="30"/>
      <c r="E2280" s="33"/>
      <c r="F2280" s="89"/>
    </row>
    <row r="2281" spans="2:6" s="6" customFormat="1" x14ac:dyDescent="0.3">
      <c r="B2281" s="29"/>
      <c r="C2281" s="29"/>
      <c r="D2281" s="30"/>
      <c r="E2281" s="33"/>
      <c r="F2281" s="89"/>
    </row>
    <row r="2282" spans="2:6" s="6" customFormat="1" x14ac:dyDescent="0.3">
      <c r="B2282" s="29"/>
      <c r="C2282" s="29"/>
      <c r="D2282" s="30"/>
      <c r="E2282" s="33"/>
      <c r="F2282" s="89"/>
    </row>
    <row r="2283" spans="2:6" s="6" customFormat="1" x14ac:dyDescent="0.3">
      <c r="B2283" s="29"/>
      <c r="C2283" s="29"/>
      <c r="D2283" s="30"/>
      <c r="E2283" s="33"/>
      <c r="F2283" s="89"/>
    </row>
    <row r="2284" spans="2:6" s="6" customFormat="1" x14ac:dyDescent="0.3">
      <c r="B2284" s="29"/>
      <c r="C2284" s="29"/>
      <c r="D2284" s="30"/>
      <c r="E2284" s="33"/>
      <c r="F2284" s="89"/>
    </row>
    <row r="2285" spans="2:6" s="6" customFormat="1" x14ac:dyDescent="0.3">
      <c r="B2285" s="29"/>
      <c r="C2285" s="29"/>
      <c r="D2285" s="30"/>
      <c r="E2285" s="33"/>
      <c r="F2285" s="89"/>
    </row>
    <row r="2286" spans="2:6" s="6" customFormat="1" x14ac:dyDescent="0.3">
      <c r="B2286" s="29"/>
      <c r="C2286" s="29"/>
      <c r="D2286" s="30"/>
      <c r="E2286" s="33"/>
      <c r="F2286" s="89"/>
    </row>
    <row r="2287" spans="2:6" s="6" customFormat="1" x14ac:dyDescent="0.3">
      <c r="B2287" s="29"/>
      <c r="C2287" s="29"/>
      <c r="D2287" s="30"/>
      <c r="E2287" s="33"/>
      <c r="F2287" s="89"/>
    </row>
    <row r="2288" spans="2:6" s="6" customFormat="1" x14ac:dyDescent="0.3">
      <c r="B2288" s="29"/>
      <c r="C2288" s="29"/>
      <c r="D2288" s="30"/>
      <c r="E2288" s="33"/>
      <c r="F2288" s="89"/>
    </row>
    <row r="2289" spans="2:6" s="6" customFormat="1" x14ac:dyDescent="0.3">
      <c r="B2289" s="29"/>
      <c r="C2289" s="29"/>
      <c r="D2289" s="30"/>
      <c r="E2289" s="33"/>
      <c r="F2289" s="89"/>
    </row>
    <row r="2290" spans="2:6" s="6" customFormat="1" x14ac:dyDescent="0.3">
      <c r="B2290" s="29"/>
      <c r="C2290" s="29"/>
      <c r="D2290" s="30"/>
      <c r="E2290" s="33"/>
      <c r="F2290" s="89"/>
    </row>
    <row r="2291" spans="2:6" s="6" customFormat="1" x14ac:dyDescent="0.3">
      <c r="B2291" s="29"/>
      <c r="C2291" s="29"/>
      <c r="D2291" s="30"/>
      <c r="E2291" s="33"/>
      <c r="F2291" s="89"/>
    </row>
    <row r="2292" spans="2:6" s="6" customFormat="1" x14ac:dyDescent="0.3">
      <c r="B2292" s="29"/>
      <c r="C2292" s="29"/>
      <c r="D2292" s="30"/>
      <c r="E2292" s="33"/>
      <c r="F2292" s="89"/>
    </row>
    <row r="2293" spans="2:6" s="6" customFormat="1" x14ac:dyDescent="0.3">
      <c r="B2293" s="29"/>
      <c r="C2293" s="29"/>
      <c r="D2293" s="30"/>
      <c r="E2293" s="33"/>
      <c r="F2293" s="89"/>
    </row>
    <row r="2294" spans="2:6" s="6" customFormat="1" x14ac:dyDescent="0.3">
      <c r="B2294" s="29"/>
      <c r="C2294" s="29"/>
      <c r="D2294" s="30"/>
      <c r="E2294" s="33"/>
      <c r="F2294" s="89"/>
    </row>
    <row r="2295" spans="2:6" s="6" customFormat="1" x14ac:dyDescent="0.3">
      <c r="B2295" s="29"/>
      <c r="C2295" s="29"/>
      <c r="D2295" s="30"/>
      <c r="E2295" s="33"/>
      <c r="F2295" s="89"/>
    </row>
    <row r="2296" spans="2:6" s="6" customFormat="1" x14ac:dyDescent="0.3">
      <c r="B2296" s="29"/>
      <c r="C2296" s="29"/>
      <c r="D2296" s="30"/>
      <c r="E2296" s="33"/>
      <c r="F2296" s="89"/>
    </row>
    <row r="2297" spans="2:6" s="6" customFormat="1" x14ac:dyDescent="0.3">
      <c r="B2297" s="29"/>
      <c r="C2297" s="29"/>
      <c r="D2297" s="30"/>
      <c r="E2297" s="33"/>
      <c r="F2297" s="89"/>
    </row>
    <row r="2298" spans="2:6" s="6" customFormat="1" x14ac:dyDescent="0.3">
      <c r="B2298" s="29"/>
      <c r="C2298" s="29"/>
      <c r="D2298" s="30"/>
      <c r="E2298" s="33"/>
      <c r="F2298" s="89"/>
    </row>
    <row r="2299" spans="2:6" s="6" customFormat="1" x14ac:dyDescent="0.3">
      <c r="B2299" s="29"/>
      <c r="C2299" s="29"/>
      <c r="D2299" s="30"/>
      <c r="E2299" s="33"/>
      <c r="F2299" s="89"/>
    </row>
    <row r="2300" spans="2:6" s="6" customFormat="1" x14ac:dyDescent="0.3">
      <c r="B2300" s="29"/>
      <c r="C2300" s="29"/>
      <c r="D2300" s="30"/>
      <c r="E2300" s="33"/>
      <c r="F2300" s="89"/>
    </row>
    <row r="2301" spans="2:6" s="6" customFormat="1" x14ac:dyDescent="0.3">
      <c r="B2301" s="29"/>
      <c r="C2301" s="29"/>
      <c r="D2301" s="30"/>
      <c r="E2301" s="33"/>
      <c r="F2301" s="89"/>
    </row>
    <row r="2302" spans="2:6" s="6" customFormat="1" x14ac:dyDescent="0.3">
      <c r="B2302" s="29"/>
      <c r="C2302" s="29"/>
      <c r="D2302" s="30"/>
      <c r="E2302" s="33"/>
      <c r="F2302" s="89"/>
    </row>
    <row r="2303" spans="2:6" s="6" customFormat="1" x14ac:dyDescent="0.3">
      <c r="B2303" s="29"/>
      <c r="C2303" s="29"/>
      <c r="D2303" s="30"/>
      <c r="E2303" s="33"/>
      <c r="F2303" s="89"/>
    </row>
    <row r="2304" spans="2:6" s="6" customFormat="1" x14ac:dyDescent="0.3">
      <c r="B2304" s="29"/>
      <c r="C2304" s="29"/>
      <c r="D2304" s="30"/>
      <c r="E2304" s="33"/>
      <c r="F2304" s="89"/>
    </row>
    <row r="2305" spans="2:6" s="6" customFormat="1" x14ac:dyDescent="0.3">
      <c r="B2305" s="29"/>
      <c r="C2305" s="29"/>
      <c r="D2305" s="30"/>
      <c r="E2305" s="33"/>
      <c r="F2305" s="89"/>
    </row>
    <row r="2306" spans="2:6" s="6" customFormat="1" x14ac:dyDescent="0.3">
      <c r="B2306" s="29"/>
      <c r="C2306" s="29"/>
      <c r="D2306" s="30"/>
      <c r="E2306" s="33"/>
      <c r="F2306" s="89"/>
    </row>
    <row r="2307" spans="2:6" s="6" customFormat="1" x14ac:dyDescent="0.3">
      <c r="B2307" s="29"/>
      <c r="C2307" s="29"/>
      <c r="D2307" s="30"/>
      <c r="E2307" s="33"/>
      <c r="F2307" s="89"/>
    </row>
    <row r="2308" spans="2:6" s="6" customFormat="1" x14ac:dyDescent="0.3">
      <c r="B2308" s="29"/>
      <c r="C2308" s="29"/>
      <c r="D2308" s="30"/>
      <c r="E2308" s="33"/>
      <c r="F2308" s="89"/>
    </row>
    <row r="2309" spans="2:6" s="6" customFormat="1" x14ac:dyDescent="0.3">
      <c r="B2309" s="29"/>
      <c r="C2309" s="29"/>
      <c r="D2309" s="30"/>
      <c r="E2309" s="33"/>
      <c r="F2309" s="89"/>
    </row>
    <row r="2310" spans="2:6" s="6" customFormat="1" x14ac:dyDescent="0.3">
      <c r="B2310" s="29"/>
      <c r="C2310" s="29"/>
      <c r="D2310" s="30"/>
      <c r="E2310" s="33"/>
      <c r="F2310" s="89"/>
    </row>
    <row r="2311" spans="2:6" s="6" customFormat="1" x14ac:dyDescent="0.3">
      <c r="B2311" s="29"/>
      <c r="C2311" s="29"/>
      <c r="D2311" s="30"/>
      <c r="E2311" s="33"/>
      <c r="F2311" s="89"/>
    </row>
    <row r="2312" spans="2:6" s="6" customFormat="1" x14ac:dyDescent="0.3">
      <c r="B2312" s="29"/>
      <c r="C2312" s="29"/>
      <c r="D2312" s="30"/>
      <c r="E2312" s="33"/>
      <c r="F2312" s="89"/>
    </row>
    <row r="2313" spans="2:6" s="6" customFormat="1" x14ac:dyDescent="0.3">
      <c r="B2313" s="29"/>
      <c r="C2313" s="29"/>
      <c r="D2313" s="30"/>
      <c r="E2313" s="33"/>
      <c r="F2313" s="89"/>
    </row>
    <row r="2314" spans="2:6" s="6" customFormat="1" x14ac:dyDescent="0.3">
      <c r="B2314" s="29"/>
      <c r="C2314" s="29"/>
      <c r="D2314" s="30"/>
      <c r="E2314" s="33"/>
      <c r="F2314" s="89"/>
    </row>
    <row r="2315" spans="2:6" s="6" customFormat="1" x14ac:dyDescent="0.3">
      <c r="B2315" s="29"/>
      <c r="C2315" s="29"/>
      <c r="D2315" s="30"/>
      <c r="E2315" s="33"/>
      <c r="F2315" s="89"/>
    </row>
    <row r="2316" spans="2:6" s="6" customFormat="1" x14ac:dyDescent="0.3">
      <c r="B2316" s="29"/>
      <c r="C2316" s="29"/>
      <c r="D2316" s="30"/>
      <c r="E2316" s="33"/>
      <c r="F2316" s="89"/>
    </row>
    <row r="2317" spans="2:6" s="6" customFormat="1" x14ac:dyDescent="0.3">
      <c r="B2317" s="29"/>
      <c r="C2317" s="29"/>
      <c r="D2317" s="30"/>
      <c r="E2317" s="33"/>
      <c r="F2317" s="89"/>
    </row>
    <row r="2318" spans="2:6" s="6" customFormat="1" x14ac:dyDescent="0.3">
      <c r="B2318" s="29"/>
      <c r="C2318" s="29"/>
      <c r="D2318" s="30"/>
      <c r="E2318" s="33"/>
      <c r="F2318" s="89"/>
    </row>
    <row r="2319" spans="2:6" s="6" customFormat="1" x14ac:dyDescent="0.3">
      <c r="B2319" s="29"/>
      <c r="C2319" s="29"/>
      <c r="D2319" s="30"/>
      <c r="E2319" s="33"/>
      <c r="F2319" s="89"/>
    </row>
    <row r="2320" spans="2:6" s="6" customFormat="1" x14ac:dyDescent="0.3">
      <c r="B2320" s="29"/>
      <c r="C2320" s="29"/>
      <c r="D2320" s="30"/>
      <c r="E2320" s="33"/>
      <c r="F2320" s="89"/>
    </row>
    <row r="2321" spans="2:6" s="6" customFormat="1" x14ac:dyDescent="0.3">
      <c r="B2321" s="29"/>
      <c r="C2321" s="29"/>
      <c r="D2321" s="30"/>
      <c r="E2321" s="33"/>
      <c r="F2321" s="89"/>
    </row>
    <row r="2322" spans="2:6" s="6" customFormat="1" x14ac:dyDescent="0.3">
      <c r="B2322" s="29"/>
      <c r="C2322" s="29"/>
      <c r="D2322" s="30"/>
      <c r="E2322" s="33"/>
      <c r="F2322" s="89"/>
    </row>
    <row r="2323" spans="2:6" s="6" customFormat="1" x14ac:dyDescent="0.3">
      <c r="B2323" s="29"/>
      <c r="C2323" s="29"/>
      <c r="D2323" s="30"/>
      <c r="E2323" s="33"/>
      <c r="F2323" s="89"/>
    </row>
    <row r="2324" spans="2:6" s="6" customFormat="1" x14ac:dyDescent="0.3">
      <c r="B2324" s="29"/>
      <c r="C2324" s="29"/>
      <c r="D2324" s="30"/>
      <c r="E2324" s="33"/>
      <c r="F2324" s="89"/>
    </row>
    <row r="2325" spans="2:6" s="6" customFormat="1" x14ac:dyDescent="0.3">
      <c r="B2325" s="29"/>
      <c r="C2325" s="29"/>
      <c r="D2325" s="30"/>
      <c r="E2325" s="33"/>
      <c r="F2325" s="89"/>
    </row>
    <row r="2326" spans="2:6" s="6" customFormat="1" x14ac:dyDescent="0.3">
      <c r="B2326" s="29"/>
      <c r="C2326" s="29"/>
      <c r="D2326" s="30"/>
      <c r="E2326" s="33"/>
      <c r="F2326" s="89"/>
    </row>
    <row r="2327" spans="2:6" s="6" customFormat="1" x14ac:dyDescent="0.3">
      <c r="B2327" s="29"/>
      <c r="C2327" s="29"/>
      <c r="D2327" s="30"/>
      <c r="E2327" s="33"/>
      <c r="F2327" s="89"/>
    </row>
    <row r="2328" spans="2:6" s="6" customFormat="1" x14ac:dyDescent="0.3">
      <c r="B2328" s="29"/>
      <c r="C2328" s="29"/>
      <c r="D2328" s="30"/>
      <c r="E2328" s="33"/>
      <c r="F2328" s="89"/>
    </row>
    <row r="2329" spans="2:6" s="6" customFormat="1" x14ac:dyDescent="0.3">
      <c r="B2329" s="29"/>
      <c r="C2329" s="29"/>
      <c r="D2329" s="30"/>
      <c r="E2329" s="33"/>
      <c r="F2329" s="89"/>
    </row>
    <row r="2330" spans="2:6" s="6" customFormat="1" x14ac:dyDescent="0.3">
      <c r="B2330" s="29"/>
      <c r="C2330" s="29"/>
      <c r="D2330" s="30"/>
      <c r="E2330" s="33"/>
      <c r="F2330" s="89"/>
    </row>
    <row r="2331" spans="2:6" s="6" customFormat="1" x14ac:dyDescent="0.3">
      <c r="B2331" s="29"/>
      <c r="C2331" s="29"/>
      <c r="D2331" s="30"/>
      <c r="E2331" s="33"/>
      <c r="F2331" s="89"/>
    </row>
    <row r="2332" spans="2:6" s="6" customFormat="1" x14ac:dyDescent="0.3">
      <c r="B2332" s="29"/>
      <c r="C2332" s="29"/>
      <c r="D2332" s="30"/>
      <c r="E2332" s="33"/>
      <c r="F2332" s="89"/>
    </row>
    <row r="2333" spans="2:6" s="6" customFormat="1" x14ac:dyDescent="0.3">
      <c r="B2333" s="29"/>
      <c r="C2333" s="29"/>
      <c r="D2333" s="30"/>
      <c r="E2333" s="33"/>
      <c r="F2333" s="89"/>
    </row>
    <row r="2334" spans="2:6" s="6" customFormat="1" x14ac:dyDescent="0.3">
      <c r="B2334" s="29"/>
      <c r="C2334" s="29"/>
      <c r="D2334" s="30"/>
      <c r="E2334" s="33"/>
      <c r="F2334" s="89"/>
    </row>
    <row r="2335" spans="2:6" s="6" customFormat="1" x14ac:dyDescent="0.3">
      <c r="B2335" s="29"/>
      <c r="C2335" s="29"/>
      <c r="D2335" s="30"/>
      <c r="E2335" s="33"/>
      <c r="F2335" s="89"/>
    </row>
    <row r="2336" spans="2:6" s="6" customFormat="1" x14ac:dyDescent="0.3">
      <c r="B2336" s="29"/>
      <c r="C2336" s="29"/>
      <c r="D2336" s="30"/>
      <c r="E2336" s="33"/>
      <c r="F2336" s="89"/>
    </row>
    <row r="2337" spans="2:6" s="6" customFormat="1" x14ac:dyDescent="0.3">
      <c r="B2337" s="29"/>
      <c r="C2337" s="29"/>
      <c r="D2337" s="30"/>
      <c r="E2337" s="33"/>
      <c r="F2337" s="89"/>
    </row>
    <row r="2338" spans="2:6" s="6" customFormat="1" x14ac:dyDescent="0.3">
      <c r="B2338" s="29"/>
      <c r="C2338" s="29"/>
      <c r="D2338" s="30"/>
      <c r="E2338" s="33"/>
      <c r="F2338" s="89"/>
    </row>
    <row r="2339" spans="2:6" s="6" customFormat="1" x14ac:dyDescent="0.3">
      <c r="B2339" s="29"/>
      <c r="C2339" s="29"/>
      <c r="D2339" s="30"/>
      <c r="E2339" s="33"/>
      <c r="F2339" s="89"/>
    </row>
    <row r="2340" spans="2:6" s="6" customFormat="1" x14ac:dyDescent="0.3">
      <c r="B2340" s="29"/>
      <c r="C2340" s="29"/>
      <c r="D2340" s="30"/>
      <c r="E2340" s="33"/>
      <c r="F2340" s="89"/>
    </row>
    <row r="2341" spans="2:6" s="6" customFormat="1" x14ac:dyDescent="0.3">
      <c r="B2341" s="29"/>
      <c r="C2341" s="29"/>
      <c r="D2341" s="30"/>
      <c r="E2341" s="33"/>
      <c r="F2341" s="89"/>
    </row>
    <row r="2342" spans="2:6" s="6" customFormat="1" x14ac:dyDescent="0.3">
      <c r="B2342" s="29"/>
      <c r="C2342" s="29"/>
      <c r="D2342" s="30"/>
      <c r="E2342" s="33"/>
      <c r="F2342" s="89"/>
    </row>
    <row r="2343" spans="2:6" s="6" customFormat="1" x14ac:dyDescent="0.3">
      <c r="B2343" s="29"/>
      <c r="C2343" s="29"/>
      <c r="D2343" s="30"/>
      <c r="E2343" s="33"/>
      <c r="F2343" s="89"/>
    </row>
    <row r="2344" spans="2:6" s="6" customFormat="1" x14ac:dyDescent="0.3">
      <c r="B2344" s="29"/>
      <c r="C2344" s="29"/>
      <c r="D2344" s="30"/>
      <c r="E2344" s="33"/>
      <c r="F2344" s="89"/>
    </row>
    <row r="2345" spans="2:6" s="6" customFormat="1" x14ac:dyDescent="0.3">
      <c r="B2345" s="29"/>
      <c r="C2345" s="29"/>
      <c r="D2345" s="30"/>
      <c r="E2345" s="33"/>
      <c r="F2345" s="89"/>
    </row>
    <row r="2346" spans="2:6" s="6" customFormat="1" x14ac:dyDescent="0.3">
      <c r="B2346" s="29"/>
      <c r="C2346" s="29"/>
      <c r="D2346" s="30"/>
      <c r="E2346" s="33"/>
      <c r="F2346" s="89"/>
    </row>
    <row r="2347" spans="2:6" s="6" customFormat="1" x14ac:dyDescent="0.3">
      <c r="B2347" s="29"/>
      <c r="C2347" s="29"/>
      <c r="D2347" s="30"/>
      <c r="E2347" s="33"/>
      <c r="F2347" s="89"/>
    </row>
    <row r="2348" spans="2:6" s="6" customFormat="1" x14ac:dyDescent="0.3">
      <c r="B2348" s="29"/>
      <c r="C2348" s="29"/>
      <c r="D2348" s="30"/>
      <c r="E2348" s="33"/>
      <c r="F2348" s="89"/>
    </row>
    <row r="2349" spans="2:6" s="6" customFormat="1" x14ac:dyDescent="0.3">
      <c r="B2349" s="29"/>
      <c r="C2349" s="29"/>
      <c r="D2349" s="30"/>
      <c r="E2349" s="33"/>
      <c r="F2349" s="89"/>
    </row>
    <row r="2350" spans="2:6" s="6" customFormat="1" x14ac:dyDescent="0.3">
      <c r="B2350" s="29"/>
      <c r="C2350" s="29"/>
      <c r="D2350" s="30"/>
      <c r="E2350" s="33"/>
      <c r="F2350" s="89"/>
    </row>
    <row r="2351" spans="2:6" s="6" customFormat="1" x14ac:dyDescent="0.3">
      <c r="B2351" s="29"/>
      <c r="C2351" s="29"/>
      <c r="D2351" s="30"/>
      <c r="E2351" s="33"/>
      <c r="F2351" s="89"/>
    </row>
    <row r="2352" spans="2:6" s="6" customFormat="1" x14ac:dyDescent="0.3">
      <c r="B2352" s="29"/>
      <c r="C2352" s="29"/>
      <c r="D2352" s="30"/>
      <c r="E2352" s="33"/>
      <c r="F2352" s="89"/>
    </row>
    <row r="2353" spans="2:6" s="6" customFormat="1" x14ac:dyDescent="0.3">
      <c r="B2353" s="29"/>
      <c r="C2353" s="29"/>
      <c r="D2353" s="30"/>
      <c r="E2353" s="33"/>
      <c r="F2353" s="89"/>
    </row>
    <row r="2354" spans="2:6" s="6" customFormat="1" x14ac:dyDescent="0.3">
      <c r="B2354" s="29"/>
      <c r="C2354" s="29"/>
      <c r="D2354" s="30"/>
      <c r="E2354" s="33"/>
      <c r="F2354" s="89"/>
    </row>
    <row r="2355" spans="2:6" s="6" customFormat="1" x14ac:dyDescent="0.3">
      <c r="B2355" s="29"/>
      <c r="C2355" s="29"/>
      <c r="D2355" s="30"/>
      <c r="E2355" s="33"/>
      <c r="F2355" s="89"/>
    </row>
    <row r="2356" spans="2:6" s="6" customFormat="1" x14ac:dyDescent="0.3">
      <c r="B2356" s="29"/>
      <c r="C2356" s="29"/>
      <c r="D2356" s="30"/>
      <c r="E2356" s="33"/>
      <c r="F2356" s="89"/>
    </row>
    <row r="2357" spans="2:6" s="6" customFormat="1" x14ac:dyDescent="0.3">
      <c r="B2357" s="29"/>
      <c r="C2357" s="29"/>
      <c r="D2357" s="30"/>
      <c r="E2357" s="33"/>
      <c r="F2357" s="89"/>
    </row>
    <row r="2358" spans="2:6" s="6" customFormat="1" x14ac:dyDescent="0.3">
      <c r="B2358" s="29"/>
      <c r="C2358" s="29"/>
      <c r="D2358" s="30"/>
      <c r="E2358" s="33"/>
      <c r="F2358" s="89"/>
    </row>
    <row r="2359" spans="2:6" s="6" customFormat="1" x14ac:dyDescent="0.3">
      <c r="B2359" s="29"/>
      <c r="C2359" s="29"/>
      <c r="D2359" s="30"/>
      <c r="E2359" s="33"/>
      <c r="F2359" s="89"/>
    </row>
    <row r="2360" spans="2:6" s="6" customFormat="1" x14ac:dyDescent="0.3">
      <c r="B2360" s="29"/>
      <c r="C2360" s="29"/>
      <c r="D2360" s="30"/>
      <c r="E2360" s="33"/>
      <c r="F2360" s="89"/>
    </row>
    <row r="2361" spans="2:6" s="6" customFormat="1" x14ac:dyDescent="0.3">
      <c r="B2361" s="29"/>
      <c r="C2361" s="29"/>
      <c r="D2361" s="30"/>
      <c r="E2361" s="33"/>
      <c r="F2361" s="89"/>
    </row>
    <row r="2362" spans="2:6" s="6" customFormat="1" x14ac:dyDescent="0.3">
      <c r="B2362" s="29"/>
      <c r="C2362" s="29"/>
      <c r="D2362" s="30"/>
      <c r="E2362" s="33"/>
      <c r="F2362" s="89"/>
    </row>
    <row r="2363" spans="2:6" s="6" customFormat="1" x14ac:dyDescent="0.3">
      <c r="B2363" s="29"/>
      <c r="C2363" s="29"/>
      <c r="D2363" s="30"/>
      <c r="E2363" s="33"/>
      <c r="F2363" s="89"/>
    </row>
    <row r="2364" spans="2:6" s="6" customFormat="1" x14ac:dyDescent="0.3">
      <c r="B2364" s="29"/>
      <c r="C2364" s="29"/>
      <c r="D2364" s="30"/>
      <c r="E2364" s="33"/>
      <c r="F2364" s="89"/>
    </row>
    <row r="2365" spans="2:6" s="6" customFormat="1" x14ac:dyDescent="0.3">
      <c r="B2365" s="29"/>
      <c r="C2365" s="29"/>
      <c r="D2365" s="30"/>
      <c r="E2365" s="33"/>
      <c r="F2365" s="89"/>
    </row>
    <row r="2366" spans="2:6" s="6" customFormat="1" x14ac:dyDescent="0.3">
      <c r="B2366" s="29"/>
      <c r="C2366" s="29"/>
      <c r="D2366" s="30"/>
      <c r="E2366" s="33"/>
      <c r="F2366" s="89"/>
    </row>
    <row r="2367" spans="2:6" s="6" customFormat="1" x14ac:dyDescent="0.3">
      <c r="B2367" s="29"/>
      <c r="C2367" s="29"/>
      <c r="D2367" s="30"/>
      <c r="E2367" s="33"/>
      <c r="F2367" s="89"/>
    </row>
    <row r="2368" spans="2:6" s="6" customFormat="1" x14ac:dyDescent="0.3">
      <c r="B2368" s="29"/>
      <c r="C2368" s="29"/>
      <c r="D2368" s="30"/>
      <c r="E2368" s="33"/>
      <c r="F2368" s="89"/>
    </row>
    <row r="2369" spans="2:6" s="6" customFormat="1" x14ac:dyDescent="0.3">
      <c r="B2369" s="29"/>
      <c r="C2369" s="29"/>
      <c r="D2369" s="30"/>
      <c r="E2369" s="33"/>
      <c r="F2369" s="89"/>
    </row>
    <row r="2370" spans="2:6" s="6" customFormat="1" x14ac:dyDescent="0.3">
      <c r="B2370" s="29"/>
      <c r="C2370" s="29"/>
      <c r="D2370" s="30"/>
      <c r="E2370" s="33"/>
      <c r="F2370" s="89"/>
    </row>
    <row r="2371" spans="2:6" s="6" customFormat="1" x14ac:dyDescent="0.3">
      <c r="B2371" s="29"/>
      <c r="C2371" s="29"/>
      <c r="D2371" s="30"/>
      <c r="E2371" s="33"/>
      <c r="F2371" s="89"/>
    </row>
    <row r="2372" spans="2:6" s="6" customFormat="1" x14ac:dyDescent="0.3">
      <c r="B2372" s="29"/>
      <c r="C2372" s="29"/>
      <c r="D2372" s="30"/>
      <c r="E2372" s="33"/>
      <c r="F2372" s="89"/>
    </row>
    <row r="2373" spans="2:6" s="6" customFormat="1" x14ac:dyDescent="0.3">
      <c r="B2373" s="29"/>
      <c r="C2373" s="29"/>
      <c r="D2373" s="30"/>
      <c r="E2373" s="33"/>
      <c r="F2373" s="89"/>
    </row>
    <row r="2374" spans="2:6" s="6" customFormat="1" x14ac:dyDescent="0.3">
      <c r="B2374" s="29"/>
      <c r="C2374" s="29"/>
      <c r="D2374" s="30"/>
      <c r="E2374" s="33"/>
      <c r="F2374" s="89"/>
    </row>
    <row r="2375" spans="2:6" s="6" customFormat="1" x14ac:dyDescent="0.3">
      <c r="B2375" s="29"/>
      <c r="C2375" s="29"/>
      <c r="D2375" s="30"/>
      <c r="E2375" s="33"/>
      <c r="F2375" s="89"/>
    </row>
    <row r="2376" spans="2:6" s="6" customFormat="1" x14ac:dyDescent="0.3">
      <c r="B2376" s="29"/>
      <c r="C2376" s="29"/>
      <c r="D2376" s="30"/>
      <c r="E2376" s="33"/>
      <c r="F2376" s="89"/>
    </row>
    <row r="2377" spans="2:6" s="6" customFormat="1" x14ac:dyDescent="0.3">
      <c r="B2377" s="29"/>
      <c r="C2377" s="29"/>
      <c r="D2377" s="30"/>
      <c r="E2377" s="33"/>
      <c r="F2377" s="89"/>
    </row>
    <row r="2378" spans="2:6" s="6" customFormat="1" x14ac:dyDescent="0.3">
      <c r="B2378" s="29"/>
      <c r="C2378" s="29"/>
      <c r="D2378" s="30"/>
      <c r="E2378" s="33"/>
      <c r="F2378" s="89"/>
    </row>
    <row r="2379" spans="2:6" s="6" customFormat="1" x14ac:dyDescent="0.3">
      <c r="B2379" s="29"/>
      <c r="C2379" s="29"/>
      <c r="D2379" s="30"/>
      <c r="E2379" s="33"/>
      <c r="F2379" s="89"/>
    </row>
    <row r="2380" spans="2:6" s="6" customFormat="1" x14ac:dyDescent="0.3">
      <c r="B2380" s="29"/>
      <c r="C2380" s="29"/>
      <c r="D2380" s="30"/>
      <c r="E2380" s="33"/>
      <c r="F2380" s="89"/>
    </row>
    <row r="2381" spans="2:6" s="6" customFormat="1" x14ac:dyDescent="0.3">
      <c r="B2381" s="29"/>
      <c r="C2381" s="29"/>
      <c r="D2381" s="30"/>
      <c r="E2381" s="33"/>
      <c r="F2381" s="89"/>
    </row>
    <row r="2382" spans="2:6" s="6" customFormat="1" x14ac:dyDescent="0.3">
      <c r="B2382" s="29"/>
      <c r="C2382" s="29"/>
      <c r="D2382" s="30"/>
      <c r="E2382" s="33"/>
      <c r="F2382" s="89"/>
    </row>
    <row r="2383" spans="2:6" s="6" customFormat="1" x14ac:dyDescent="0.3">
      <c r="B2383" s="29"/>
      <c r="C2383" s="29"/>
      <c r="D2383" s="30"/>
      <c r="E2383" s="33"/>
      <c r="F2383" s="89"/>
    </row>
    <row r="2384" spans="2:6" s="6" customFormat="1" x14ac:dyDescent="0.3">
      <c r="B2384" s="29"/>
      <c r="C2384" s="29"/>
      <c r="D2384" s="30"/>
      <c r="E2384" s="33"/>
      <c r="F2384" s="89"/>
    </row>
    <row r="2385" spans="2:6" s="6" customFormat="1" x14ac:dyDescent="0.3">
      <c r="B2385" s="29"/>
      <c r="C2385" s="29"/>
      <c r="D2385" s="30"/>
      <c r="E2385" s="33"/>
      <c r="F2385" s="89"/>
    </row>
    <row r="2386" spans="2:6" s="6" customFormat="1" x14ac:dyDescent="0.3">
      <c r="B2386" s="29"/>
      <c r="C2386" s="29"/>
      <c r="D2386" s="30"/>
      <c r="E2386" s="33"/>
      <c r="F2386" s="89"/>
    </row>
    <row r="2387" spans="2:6" s="6" customFormat="1" x14ac:dyDescent="0.3">
      <c r="B2387" s="29"/>
      <c r="C2387" s="29"/>
      <c r="D2387" s="30"/>
      <c r="E2387" s="33"/>
      <c r="F2387" s="89"/>
    </row>
    <row r="2388" spans="2:6" s="6" customFormat="1" x14ac:dyDescent="0.3">
      <c r="B2388" s="29"/>
      <c r="C2388" s="29"/>
      <c r="D2388" s="30"/>
      <c r="E2388" s="33"/>
      <c r="F2388" s="89"/>
    </row>
    <row r="2389" spans="2:6" s="6" customFormat="1" x14ac:dyDescent="0.3">
      <c r="B2389" s="29"/>
      <c r="C2389" s="29"/>
      <c r="D2389" s="30"/>
      <c r="E2389" s="33"/>
      <c r="F2389" s="89"/>
    </row>
    <row r="2390" spans="2:6" s="6" customFormat="1" x14ac:dyDescent="0.3">
      <c r="B2390" s="29"/>
      <c r="C2390" s="29"/>
      <c r="D2390" s="30"/>
      <c r="E2390" s="33"/>
      <c r="F2390" s="89"/>
    </row>
    <row r="2391" spans="2:6" s="6" customFormat="1" x14ac:dyDescent="0.3">
      <c r="B2391" s="29"/>
      <c r="C2391" s="29"/>
      <c r="D2391" s="30"/>
      <c r="E2391" s="33"/>
      <c r="F2391" s="89"/>
    </row>
    <row r="2392" spans="2:6" s="6" customFormat="1" x14ac:dyDescent="0.3">
      <c r="B2392" s="29"/>
      <c r="C2392" s="29"/>
      <c r="D2392" s="30"/>
      <c r="E2392" s="33"/>
      <c r="F2392" s="89"/>
    </row>
    <row r="2393" spans="2:6" s="6" customFormat="1" x14ac:dyDescent="0.3">
      <c r="B2393" s="29"/>
      <c r="C2393" s="29"/>
      <c r="D2393" s="30"/>
      <c r="E2393" s="33"/>
      <c r="F2393" s="89"/>
    </row>
    <row r="2394" spans="2:6" s="6" customFormat="1" x14ac:dyDescent="0.3">
      <c r="B2394" s="29"/>
      <c r="C2394" s="29"/>
      <c r="D2394" s="30"/>
      <c r="E2394" s="33"/>
      <c r="F2394" s="89"/>
    </row>
    <row r="2395" spans="2:6" s="6" customFormat="1" x14ac:dyDescent="0.3">
      <c r="B2395" s="29"/>
      <c r="C2395" s="29"/>
      <c r="D2395" s="30"/>
      <c r="E2395" s="33"/>
      <c r="F2395" s="89"/>
    </row>
    <row r="2396" spans="2:6" s="6" customFormat="1" x14ac:dyDescent="0.3">
      <c r="B2396" s="29"/>
      <c r="C2396" s="29"/>
      <c r="D2396" s="30"/>
      <c r="E2396" s="33"/>
      <c r="F2396" s="89"/>
    </row>
    <row r="2397" spans="2:6" s="6" customFormat="1" x14ac:dyDescent="0.3">
      <c r="B2397" s="29"/>
      <c r="C2397" s="29"/>
      <c r="D2397" s="30"/>
      <c r="E2397" s="33"/>
      <c r="F2397" s="89"/>
    </row>
    <row r="2398" spans="2:6" s="6" customFormat="1" x14ac:dyDescent="0.3">
      <c r="B2398" s="29"/>
      <c r="C2398" s="29"/>
      <c r="D2398" s="30"/>
      <c r="E2398" s="33"/>
      <c r="F2398" s="89"/>
    </row>
    <row r="2399" spans="2:6" s="6" customFormat="1" x14ac:dyDescent="0.3">
      <c r="B2399" s="29"/>
      <c r="C2399" s="29"/>
      <c r="D2399" s="30"/>
      <c r="E2399" s="33"/>
      <c r="F2399" s="89"/>
    </row>
    <row r="2400" spans="2:6" s="6" customFormat="1" x14ac:dyDescent="0.3">
      <c r="B2400" s="29"/>
      <c r="C2400" s="29"/>
      <c r="D2400" s="30"/>
      <c r="E2400" s="33"/>
      <c r="F2400" s="89"/>
    </row>
    <row r="2401" spans="2:6" s="6" customFormat="1" x14ac:dyDescent="0.3">
      <c r="B2401" s="29"/>
      <c r="C2401" s="29"/>
      <c r="D2401" s="30"/>
      <c r="E2401" s="33"/>
      <c r="F2401" s="89"/>
    </row>
    <row r="2402" spans="2:6" s="6" customFormat="1" x14ac:dyDescent="0.3">
      <c r="B2402" s="29"/>
      <c r="C2402" s="29"/>
      <c r="D2402" s="30"/>
      <c r="E2402" s="33"/>
      <c r="F2402" s="89"/>
    </row>
    <row r="2403" spans="2:6" s="6" customFormat="1" x14ac:dyDescent="0.3">
      <c r="B2403" s="29"/>
      <c r="C2403" s="29"/>
      <c r="D2403" s="30"/>
      <c r="E2403" s="33"/>
      <c r="F2403" s="89"/>
    </row>
    <row r="2404" spans="2:6" s="6" customFormat="1" x14ac:dyDescent="0.3">
      <c r="B2404" s="29"/>
      <c r="C2404" s="29"/>
      <c r="D2404" s="30"/>
      <c r="E2404" s="33"/>
      <c r="F2404" s="89"/>
    </row>
    <row r="2405" spans="2:6" s="6" customFormat="1" x14ac:dyDescent="0.3">
      <c r="B2405" s="29"/>
      <c r="C2405" s="29"/>
      <c r="D2405" s="30"/>
      <c r="E2405" s="33"/>
      <c r="F2405" s="89"/>
    </row>
    <row r="2406" spans="2:6" s="6" customFormat="1" x14ac:dyDescent="0.3">
      <c r="B2406" s="29"/>
      <c r="C2406" s="29"/>
      <c r="D2406" s="30"/>
      <c r="E2406" s="33"/>
      <c r="F2406" s="89"/>
    </row>
    <row r="2407" spans="2:6" s="6" customFormat="1" x14ac:dyDescent="0.3">
      <c r="B2407" s="29"/>
      <c r="C2407" s="29"/>
      <c r="D2407" s="30"/>
      <c r="E2407" s="33"/>
      <c r="F2407" s="89"/>
    </row>
    <row r="2408" spans="2:6" s="6" customFormat="1" x14ac:dyDescent="0.3">
      <c r="B2408" s="29"/>
      <c r="C2408" s="29"/>
      <c r="D2408" s="30"/>
      <c r="E2408" s="33"/>
      <c r="F2408" s="89"/>
    </row>
    <row r="2409" spans="2:6" s="6" customFormat="1" x14ac:dyDescent="0.3">
      <c r="B2409" s="29"/>
      <c r="C2409" s="29"/>
      <c r="D2409" s="30"/>
      <c r="E2409" s="33"/>
      <c r="F2409" s="89"/>
    </row>
    <row r="2410" spans="2:6" s="6" customFormat="1" x14ac:dyDescent="0.3">
      <c r="B2410" s="29"/>
      <c r="C2410" s="29"/>
      <c r="D2410" s="30"/>
      <c r="E2410" s="33"/>
      <c r="F2410" s="89"/>
    </row>
    <row r="2411" spans="2:6" s="6" customFormat="1" x14ac:dyDescent="0.3">
      <c r="B2411" s="29"/>
      <c r="C2411" s="29"/>
      <c r="D2411" s="30"/>
      <c r="E2411" s="33"/>
      <c r="F2411" s="89"/>
    </row>
    <row r="2412" spans="2:6" s="6" customFormat="1" x14ac:dyDescent="0.3">
      <c r="B2412" s="29"/>
      <c r="C2412" s="29"/>
      <c r="D2412" s="30"/>
      <c r="E2412" s="33"/>
      <c r="F2412" s="89"/>
    </row>
    <row r="2413" spans="2:6" s="6" customFormat="1" x14ac:dyDescent="0.3">
      <c r="B2413" s="29"/>
      <c r="C2413" s="29"/>
      <c r="D2413" s="30"/>
      <c r="E2413" s="33"/>
      <c r="F2413" s="89"/>
    </row>
    <row r="2414" spans="2:6" s="6" customFormat="1" x14ac:dyDescent="0.3">
      <c r="B2414" s="29"/>
      <c r="C2414" s="29"/>
      <c r="D2414" s="30"/>
      <c r="E2414" s="33"/>
      <c r="F2414" s="89"/>
    </row>
    <row r="2415" spans="2:6" s="6" customFormat="1" x14ac:dyDescent="0.3">
      <c r="B2415" s="29"/>
      <c r="C2415" s="29"/>
      <c r="D2415" s="30"/>
      <c r="E2415" s="33"/>
      <c r="F2415" s="89"/>
    </row>
    <row r="2416" spans="2:6" s="6" customFormat="1" x14ac:dyDescent="0.3">
      <c r="B2416" s="29"/>
      <c r="C2416" s="29"/>
      <c r="D2416" s="30"/>
      <c r="E2416" s="33"/>
      <c r="F2416" s="89"/>
    </row>
    <row r="2417" spans="2:6" s="6" customFormat="1" x14ac:dyDescent="0.3">
      <c r="B2417" s="29"/>
      <c r="C2417" s="29"/>
      <c r="D2417" s="30"/>
      <c r="E2417" s="33"/>
      <c r="F2417" s="89"/>
    </row>
    <row r="2418" spans="2:6" s="6" customFormat="1" x14ac:dyDescent="0.3">
      <c r="B2418" s="29"/>
      <c r="C2418" s="29"/>
      <c r="D2418" s="30"/>
      <c r="E2418" s="33"/>
      <c r="F2418" s="89"/>
    </row>
    <row r="2419" spans="2:6" s="6" customFormat="1" x14ac:dyDescent="0.3">
      <c r="B2419" s="29"/>
      <c r="C2419" s="29"/>
      <c r="D2419" s="30"/>
      <c r="E2419" s="33"/>
      <c r="F2419" s="89"/>
    </row>
    <row r="2420" spans="2:6" s="6" customFormat="1" x14ac:dyDescent="0.3">
      <c r="B2420" s="29"/>
      <c r="C2420" s="29"/>
      <c r="D2420" s="30"/>
      <c r="E2420" s="33"/>
      <c r="F2420" s="89"/>
    </row>
    <row r="2421" spans="2:6" s="6" customFormat="1" x14ac:dyDescent="0.3">
      <c r="B2421" s="29"/>
      <c r="C2421" s="29"/>
      <c r="D2421" s="30"/>
      <c r="E2421" s="33"/>
      <c r="F2421" s="89"/>
    </row>
    <row r="2422" spans="2:6" s="6" customFormat="1" x14ac:dyDescent="0.3">
      <c r="B2422" s="29"/>
      <c r="C2422" s="29"/>
      <c r="D2422" s="30"/>
      <c r="E2422" s="33"/>
      <c r="F2422" s="89"/>
    </row>
    <row r="2423" spans="2:6" s="6" customFormat="1" x14ac:dyDescent="0.3">
      <c r="B2423" s="29"/>
      <c r="C2423" s="29"/>
      <c r="D2423" s="30"/>
      <c r="E2423" s="33"/>
      <c r="F2423" s="89"/>
    </row>
    <row r="2424" spans="2:6" s="6" customFormat="1" x14ac:dyDescent="0.3">
      <c r="B2424" s="29"/>
      <c r="C2424" s="29"/>
      <c r="D2424" s="30"/>
      <c r="E2424" s="33"/>
      <c r="F2424" s="89"/>
    </row>
    <row r="2425" spans="2:6" s="6" customFormat="1" x14ac:dyDescent="0.3">
      <c r="B2425" s="29"/>
      <c r="C2425" s="29"/>
      <c r="D2425" s="30"/>
      <c r="E2425" s="33"/>
      <c r="F2425" s="89"/>
    </row>
    <row r="2426" spans="2:6" s="6" customFormat="1" x14ac:dyDescent="0.3">
      <c r="B2426" s="29"/>
      <c r="C2426" s="29"/>
      <c r="D2426" s="30"/>
      <c r="E2426" s="33"/>
      <c r="F2426" s="89"/>
    </row>
    <row r="2427" spans="2:6" s="6" customFormat="1" x14ac:dyDescent="0.3">
      <c r="B2427" s="29"/>
      <c r="C2427" s="29"/>
      <c r="D2427" s="30"/>
      <c r="E2427" s="33"/>
      <c r="F2427" s="89"/>
    </row>
    <row r="2428" spans="2:6" s="6" customFormat="1" x14ac:dyDescent="0.3">
      <c r="B2428" s="29"/>
      <c r="C2428" s="29"/>
      <c r="D2428" s="30"/>
      <c r="E2428" s="33"/>
      <c r="F2428" s="89"/>
    </row>
    <row r="2429" spans="2:6" s="6" customFormat="1" x14ac:dyDescent="0.3">
      <c r="B2429" s="29"/>
      <c r="C2429" s="29"/>
      <c r="D2429" s="30"/>
      <c r="E2429" s="33"/>
      <c r="F2429" s="89"/>
    </row>
    <row r="2430" spans="2:6" s="6" customFormat="1" x14ac:dyDescent="0.3">
      <c r="B2430" s="29"/>
      <c r="C2430" s="29"/>
      <c r="D2430" s="30"/>
      <c r="E2430" s="33"/>
      <c r="F2430" s="89"/>
    </row>
    <row r="2431" spans="2:6" s="6" customFormat="1" x14ac:dyDescent="0.3">
      <c r="B2431" s="29"/>
      <c r="C2431" s="29"/>
      <c r="D2431" s="30"/>
      <c r="E2431" s="33"/>
      <c r="F2431" s="89"/>
    </row>
    <row r="2432" spans="2:6" s="6" customFormat="1" x14ac:dyDescent="0.3">
      <c r="B2432" s="29"/>
      <c r="C2432" s="29"/>
      <c r="D2432" s="30"/>
      <c r="E2432" s="33"/>
      <c r="F2432" s="89"/>
    </row>
    <row r="2433" spans="2:6" s="6" customFormat="1" x14ac:dyDescent="0.3">
      <c r="B2433" s="29"/>
      <c r="C2433" s="29"/>
      <c r="D2433" s="30"/>
      <c r="E2433" s="33"/>
      <c r="F2433" s="89"/>
    </row>
    <row r="2434" spans="2:6" s="6" customFormat="1" x14ac:dyDescent="0.3">
      <c r="B2434" s="29"/>
      <c r="C2434" s="29"/>
      <c r="D2434" s="30"/>
      <c r="E2434" s="33"/>
      <c r="F2434" s="89"/>
    </row>
    <row r="2435" spans="2:6" s="6" customFormat="1" x14ac:dyDescent="0.3">
      <c r="B2435" s="29"/>
      <c r="C2435" s="29"/>
      <c r="D2435" s="30"/>
      <c r="E2435" s="33"/>
      <c r="F2435" s="89"/>
    </row>
    <row r="2436" spans="2:6" s="6" customFormat="1" x14ac:dyDescent="0.3">
      <c r="B2436" s="29"/>
      <c r="C2436" s="29"/>
      <c r="D2436" s="30"/>
      <c r="E2436" s="33"/>
      <c r="F2436" s="89"/>
    </row>
    <row r="2437" spans="2:6" s="6" customFormat="1" x14ac:dyDescent="0.3">
      <c r="B2437" s="29"/>
      <c r="C2437" s="29"/>
      <c r="D2437" s="30"/>
      <c r="E2437" s="33"/>
      <c r="F2437" s="89"/>
    </row>
    <row r="2438" spans="2:6" s="6" customFormat="1" x14ac:dyDescent="0.3">
      <c r="B2438" s="29"/>
      <c r="C2438" s="29"/>
      <c r="D2438" s="30"/>
      <c r="E2438" s="33"/>
      <c r="F2438" s="89"/>
    </row>
    <row r="2439" spans="2:6" s="6" customFormat="1" x14ac:dyDescent="0.3">
      <c r="B2439" s="29"/>
      <c r="C2439" s="29"/>
      <c r="D2439" s="30"/>
      <c r="E2439" s="33"/>
      <c r="F2439" s="89"/>
    </row>
    <row r="2440" spans="2:6" s="6" customFormat="1" x14ac:dyDescent="0.3">
      <c r="B2440" s="29"/>
      <c r="C2440" s="29"/>
      <c r="D2440" s="30"/>
      <c r="E2440" s="33"/>
      <c r="F2440" s="89"/>
    </row>
    <row r="2441" spans="2:6" s="6" customFormat="1" x14ac:dyDescent="0.3">
      <c r="B2441" s="29"/>
      <c r="C2441" s="29"/>
      <c r="D2441" s="30"/>
      <c r="E2441" s="33"/>
      <c r="F2441" s="89"/>
    </row>
    <row r="2442" spans="2:6" s="6" customFormat="1" x14ac:dyDescent="0.3">
      <c r="B2442" s="29"/>
      <c r="C2442" s="29"/>
      <c r="D2442" s="30"/>
      <c r="E2442" s="33"/>
      <c r="F2442" s="89"/>
    </row>
    <row r="2443" spans="2:6" s="6" customFormat="1" x14ac:dyDescent="0.3">
      <c r="B2443" s="29"/>
      <c r="C2443" s="29"/>
      <c r="D2443" s="30"/>
      <c r="E2443" s="33"/>
      <c r="F2443" s="89"/>
    </row>
    <row r="2444" spans="2:6" s="6" customFormat="1" x14ac:dyDescent="0.3">
      <c r="B2444" s="29"/>
      <c r="C2444" s="29"/>
      <c r="D2444" s="30"/>
      <c r="E2444" s="33"/>
      <c r="F2444" s="89"/>
    </row>
    <row r="2445" spans="2:6" s="6" customFormat="1" x14ac:dyDescent="0.3">
      <c r="B2445" s="29"/>
      <c r="C2445" s="29"/>
      <c r="D2445" s="30"/>
      <c r="E2445" s="33"/>
      <c r="F2445" s="89"/>
    </row>
    <row r="2446" spans="2:6" s="6" customFormat="1" x14ac:dyDescent="0.3">
      <c r="B2446" s="29"/>
      <c r="C2446" s="29"/>
      <c r="D2446" s="30"/>
      <c r="E2446" s="33"/>
      <c r="F2446" s="89"/>
    </row>
    <row r="2447" spans="2:6" s="6" customFormat="1" x14ac:dyDescent="0.3">
      <c r="B2447" s="29"/>
      <c r="C2447" s="29"/>
      <c r="D2447" s="30"/>
      <c r="E2447" s="33"/>
      <c r="F2447" s="89"/>
    </row>
    <row r="2448" spans="2:6" s="6" customFormat="1" x14ac:dyDescent="0.3">
      <c r="B2448" s="29"/>
      <c r="C2448" s="29"/>
      <c r="D2448" s="30"/>
      <c r="E2448" s="33"/>
      <c r="F2448" s="89"/>
    </row>
    <row r="2449" spans="2:6" s="6" customFormat="1" x14ac:dyDescent="0.3">
      <c r="B2449" s="29"/>
      <c r="C2449" s="29"/>
      <c r="D2449" s="30"/>
      <c r="E2449" s="33"/>
      <c r="F2449" s="89"/>
    </row>
    <row r="2450" spans="2:6" s="6" customFormat="1" x14ac:dyDescent="0.3">
      <c r="B2450" s="29"/>
      <c r="C2450" s="29"/>
      <c r="D2450" s="30"/>
      <c r="E2450" s="33"/>
      <c r="F2450" s="89"/>
    </row>
    <row r="2451" spans="2:6" s="6" customFormat="1" x14ac:dyDescent="0.3">
      <c r="B2451" s="29"/>
      <c r="C2451" s="29"/>
      <c r="D2451" s="30"/>
      <c r="E2451" s="33"/>
      <c r="F2451" s="89"/>
    </row>
    <row r="2452" spans="2:6" s="6" customFormat="1" x14ac:dyDescent="0.3">
      <c r="B2452" s="29"/>
      <c r="C2452" s="29"/>
      <c r="D2452" s="30"/>
      <c r="E2452" s="33"/>
      <c r="F2452" s="89"/>
    </row>
    <row r="2453" spans="2:6" s="6" customFormat="1" x14ac:dyDescent="0.3">
      <c r="B2453" s="29"/>
      <c r="C2453" s="29"/>
      <c r="D2453" s="30"/>
      <c r="E2453" s="33"/>
      <c r="F2453" s="89"/>
    </row>
    <row r="2454" spans="2:6" s="6" customFormat="1" x14ac:dyDescent="0.3">
      <c r="B2454" s="29"/>
      <c r="C2454" s="29"/>
      <c r="D2454" s="30"/>
      <c r="E2454" s="33"/>
      <c r="F2454" s="89"/>
    </row>
    <row r="2455" spans="2:6" s="6" customFormat="1" x14ac:dyDescent="0.3">
      <c r="B2455" s="29"/>
      <c r="C2455" s="29"/>
      <c r="D2455" s="30"/>
      <c r="E2455" s="33"/>
      <c r="F2455" s="89"/>
    </row>
    <row r="2456" spans="2:6" s="6" customFormat="1" x14ac:dyDescent="0.3">
      <c r="B2456" s="29"/>
      <c r="C2456" s="29"/>
      <c r="D2456" s="30"/>
      <c r="E2456" s="33"/>
      <c r="F2456" s="89"/>
    </row>
    <row r="2457" spans="2:6" s="6" customFormat="1" x14ac:dyDescent="0.3">
      <c r="B2457" s="29"/>
      <c r="C2457" s="29"/>
      <c r="D2457" s="30"/>
      <c r="E2457" s="33"/>
      <c r="F2457" s="89"/>
    </row>
    <row r="2458" spans="2:6" s="6" customFormat="1" x14ac:dyDescent="0.3">
      <c r="B2458" s="29"/>
      <c r="C2458" s="29"/>
      <c r="D2458" s="30"/>
      <c r="E2458" s="33"/>
      <c r="F2458" s="89"/>
    </row>
    <row r="2459" spans="2:6" s="6" customFormat="1" x14ac:dyDescent="0.3">
      <c r="B2459" s="29"/>
      <c r="C2459" s="29"/>
      <c r="D2459" s="30"/>
      <c r="E2459" s="33"/>
      <c r="F2459" s="89"/>
    </row>
    <row r="2460" spans="2:6" s="6" customFormat="1" x14ac:dyDescent="0.3">
      <c r="B2460" s="29"/>
      <c r="C2460" s="29"/>
      <c r="D2460" s="30"/>
      <c r="E2460" s="33"/>
      <c r="F2460" s="89"/>
    </row>
    <row r="2461" spans="2:6" s="6" customFormat="1" x14ac:dyDescent="0.3">
      <c r="B2461" s="29"/>
      <c r="C2461" s="29"/>
      <c r="D2461" s="30"/>
      <c r="E2461" s="33"/>
      <c r="F2461" s="89"/>
    </row>
    <row r="2462" spans="2:6" s="6" customFormat="1" x14ac:dyDescent="0.3">
      <c r="B2462" s="29"/>
      <c r="C2462" s="29"/>
      <c r="D2462" s="30"/>
      <c r="E2462" s="33"/>
      <c r="F2462" s="89"/>
    </row>
    <row r="2463" spans="2:6" s="6" customFormat="1" x14ac:dyDescent="0.3">
      <c r="B2463" s="29"/>
      <c r="C2463" s="29"/>
      <c r="D2463" s="30"/>
      <c r="E2463" s="33"/>
      <c r="F2463" s="89"/>
    </row>
    <row r="2464" spans="2:6" s="6" customFormat="1" x14ac:dyDescent="0.3">
      <c r="B2464" s="29"/>
      <c r="C2464" s="29"/>
      <c r="D2464" s="30"/>
      <c r="E2464" s="33"/>
      <c r="F2464" s="89"/>
    </row>
    <row r="2465" spans="2:6" s="6" customFormat="1" x14ac:dyDescent="0.3">
      <c r="B2465" s="29"/>
      <c r="C2465" s="29"/>
      <c r="D2465" s="30"/>
      <c r="E2465" s="33"/>
      <c r="F2465" s="89"/>
    </row>
    <row r="2466" spans="2:6" s="6" customFormat="1" x14ac:dyDescent="0.3">
      <c r="B2466" s="29"/>
      <c r="C2466" s="29"/>
      <c r="D2466" s="30"/>
      <c r="E2466" s="33"/>
      <c r="F2466" s="89"/>
    </row>
    <row r="2467" spans="2:6" s="6" customFormat="1" x14ac:dyDescent="0.3">
      <c r="B2467" s="29"/>
      <c r="C2467" s="29"/>
      <c r="D2467" s="30"/>
      <c r="E2467" s="33"/>
      <c r="F2467" s="89"/>
    </row>
    <row r="2468" spans="2:6" s="6" customFormat="1" x14ac:dyDescent="0.3">
      <c r="B2468" s="29"/>
      <c r="C2468" s="29"/>
      <c r="D2468" s="30"/>
      <c r="E2468" s="33"/>
      <c r="F2468" s="89"/>
    </row>
    <row r="2469" spans="2:6" s="6" customFormat="1" x14ac:dyDescent="0.3">
      <c r="B2469" s="29"/>
      <c r="C2469" s="29"/>
      <c r="D2469" s="30"/>
      <c r="E2469" s="33"/>
      <c r="F2469" s="89"/>
    </row>
    <row r="2470" spans="2:6" s="6" customFormat="1" x14ac:dyDescent="0.3">
      <c r="B2470" s="29"/>
      <c r="C2470" s="29"/>
      <c r="D2470" s="30"/>
      <c r="E2470" s="33"/>
      <c r="F2470" s="89"/>
    </row>
    <row r="2471" spans="2:6" s="6" customFormat="1" x14ac:dyDescent="0.3">
      <c r="B2471" s="29"/>
      <c r="C2471" s="29"/>
      <c r="D2471" s="30"/>
      <c r="E2471" s="33"/>
      <c r="F2471" s="89"/>
    </row>
    <row r="2472" spans="2:6" s="6" customFormat="1" x14ac:dyDescent="0.3">
      <c r="B2472" s="29"/>
      <c r="C2472" s="29"/>
      <c r="D2472" s="30"/>
      <c r="E2472" s="33"/>
      <c r="F2472" s="89"/>
    </row>
    <row r="2473" spans="2:6" s="6" customFormat="1" x14ac:dyDescent="0.3">
      <c r="B2473" s="29"/>
      <c r="C2473" s="29"/>
      <c r="D2473" s="30"/>
      <c r="E2473" s="33"/>
      <c r="F2473" s="89"/>
    </row>
    <row r="2474" spans="2:6" s="6" customFormat="1" x14ac:dyDescent="0.3">
      <c r="B2474" s="29"/>
      <c r="C2474" s="29"/>
      <c r="D2474" s="30"/>
      <c r="E2474" s="33"/>
      <c r="F2474" s="89"/>
    </row>
    <row r="2475" spans="2:6" s="6" customFormat="1" x14ac:dyDescent="0.3">
      <c r="B2475" s="29"/>
      <c r="C2475" s="29"/>
      <c r="D2475" s="30"/>
      <c r="E2475" s="33"/>
      <c r="F2475" s="89"/>
    </row>
    <row r="2476" spans="2:6" s="6" customFormat="1" x14ac:dyDescent="0.3">
      <c r="B2476" s="29"/>
      <c r="C2476" s="29"/>
      <c r="D2476" s="30"/>
      <c r="E2476" s="33"/>
      <c r="F2476" s="89"/>
    </row>
    <row r="2477" spans="2:6" s="6" customFormat="1" x14ac:dyDescent="0.3">
      <c r="B2477" s="29"/>
      <c r="C2477" s="29"/>
      <c r="D2477" s="30"/>
      <c r="E2477" s="33"/>
      <c r="F2477" s="89"/>
    </row>
    <row r="2478" spans="2:6" s="6" customFormat="1" x14ac:dyDescent="0.3">
      <c r="B2478" s="29"/>
      <c r="C2478" s="29"/>
      <c r="D2478" s="30"/>
      <c r="E2478" s="33"/>
      <c r="F2478" s="89"/>
    </row>
    <row r="2479" spans="2:6" s="6" customFormat="1" x14ac:dyDescent="0.3">
      <c r="B2479" s="29"/>
      <c r="C2479" s="29"/>
      <c r="D2479" s="30"/>
      <c r="E2479" s="33"/>
      <c r="F2479" s="89"/>
    </row>
    <row r="2480" spans="2:6" s="6" customFormat="1" x14ac:dyDescent="0.3">
      <c r="B2480" s="29"/>
      <c r="C2480" s="29"/>
      <c r="D2480" s="30"/>
      <c r="E2480" s="33"/>
      <c r="F2480" s="89"/>
    </row>
    <row r="2481" spans="2:6" s="6" customFormat="1" x14ac:dyDescent="0.3">
      <c r="B2481" s="29"/>
      <c r="C2481" s="29"/>
      <c r="D2481" s="30"/>
      <c r="E2481" s="33"/>
      <c r="F2481" s="89"/>
    </row>
    <row r="2482" spans="2:6" s="6" customFormat="1" x14ac:dyDescent="0.3">
      <c r="B2482" s="29"/>
      <c r="C2482" s="29"/>
      <c r="D2482" s="30"/>
      <c r="E2482" s="33"/>
      <c r="F2482" s="89"/>
    </row>
    <row r="2483" spans="2:6" s="6" customFormat="1" x14ac:dyDescent="0.3">
      <c r="B2483" s="29"/>
      <c r="C2483" s="29"/>
      <c r="D2483" s="30"/>
      <c r="E2483" s="33"/>
      <c r="F2483" s="89"/>
    </row>
    <row r="2484" spans="2:6" s="6" customFormat="1" x14ac:dyDescent="0.3">
      <c r="B2484" s="29"/>
      <c r="C2484" s="29"/>
      <c r="D2484" s="30"/>
      <c r="E2484" s="33"/>
      <c r="F2484" s="89"/>
    </row>
    <row r="2485" spans="2:6" s="6" customFormat="1" x14ac:dyDescent="0.3">
      <c r="B2485" s="29"/>
      <c r="C2485" s="29"/>
      <c r="D2485" s="30"/>
      <c r="E2485" s="33"/>
      <c r="F2485" s="89"/>
    </row>
    <row r="2486" spans="2:6" s="6" customFormat="1" x14ac:dyDescent="0.3">
      <c r="B2486" s="29"/>
      <c r="C2486" s="29"/>
      <c r="D2486" s="30"/>
      <c r="E2486" s="33"/>
      <c r="F2486" s="89"/>
    </row>
    <row r="2487" spans="2:6" s="6" customFormat="1" x14ac:dyDescent="0.3">
      <c r="B2487" s="29"/>
      <c r="C2487" s="29"/>
      <c r="D2487" s="30"/>
      <c r="E2487" s="33"/>
      <c r="F2487" s="89"/>
    </row>
    <row r="2488" spans="2:6" s="6" customFormat="1" x14ac:dyDescent="0.3">
      <c r="B2488" s="29"/>
      <c r="C2488" s="29"/>
      <c r="D2488" s="30"/>
      <c r="E2488" s="33"/>
      <c r="F2488" s="89"/>
    </row>
    <row r="2489" spans="2:6" s="6" customFormat="1" x14ac:dyDescent="0.3">
      <c r="B2489" s="29"/>
      <c r="C2489" s="29"/>
      <c r="D2489" s="30"/>
      <c r="E2489" s="33"/>
      <c r="F2489" s="89"/>
    </row>
    <row r="2490" spans="2:6" s="6" customFormat="1" x14ac:dyDescent="0.3">
      <c r="B2490" s="29"/>
      <c r="C2490" s="29"/>
      <c r="D2490" s="30"/>
      <c r="E2490" s="33"/>
      <c r="F2490" s="89"/>
    </row>
    <row r="2491" spans="2:6" s="6" customFormat="1" x14ac:dyDescent="0.3">
      <c r="B2491" s="29"/>
      <c r="C2491" s="29"/>
      <c r="D2491" s="30"/>
      <c r="E2491" s="33"/>
      <c r="F2491" s="89"/>
    </row>
    <row r="2492" spans="2:6" s="6" customFormat="1" x14ac:dyDescent="0.3">
      <c r="B2492" s="29"/>
      <c r="C2492" s="29"/>
      <c r="D2492" s="30"/>
      <c r="E2492" s="33"/>
      <c r="F2492" s="89"/>
    </row>
    <row r="2493" spans="2:6" s="6" customFormat="1" x14ac:dyDescent="0.3">
      <c r="B2493" s="29"/>
      <c r="C2493" s="29"/>
      <c r="D2493" s="30"/>
      <c r="E2493" s="33"/>
      <c r="F2493" s="89"/>
    </row>
    <row r="2494" spans="2:6" s="6" customFormat="1" x14ac:dyDescent="0.3">
      <c r="B2494" s="29"/>
      <c r="C2494" s="29"/>
      <c r="D2494" s="30"/>
      <c r="E2494" s="33"/>
      <c r="F2494" s="89"/>
    </row>
    <row r="2495" spans="2:6" s="6" customFormat="1" x14ac:dyDescent="0.3">
      <c r="B2495" s="29"/>
      <c r="C2495" s="29"/>
      <c r="D2495" s="30"/>
      <c r="E2495" s="33"/>
      <c r="F2495" s="89"/>
    </row>
    <row r="2496" spans="2:6" s="6" customFormat="1" x14ac:dyDescent="0.3">
      <c r="B2496" s="29"/>
      <c r="C2496" s="29"/>
      <c r="D2496" s="30"/>
      <c r="E2496" s="33"/>
      <c r="F2496" s="89"/>
    </row>
    <row r="2497" spans="2:6" s="6" customFormat="1" x14ac:dyDescent="0.3">
      <c r="B2497" s="29"/>
      <c r="C2497" s="29"/>
      <c r="D2497" s="30"/>
      <c r="E2497" s="33"/>
      <c r="F2497" s="89"/>
    </row>
    <row r="2498" spans="2:6" s="6" customFormat="1" x14ac:dyDescent="0.3">
      <c r="B2498" s="29"/>
      <c r="C2498" s="29"/>
      <c r="D2498" s="30"/>
      <c r="E2498" s="33"/>
      <c r="F2498" s="89"/>
    </row>
    <row r="2499" spans="2:6" s="6" customFormat="1" x14ac:dyDescent="0.3">
      <c r="B2499" s="29"/>
      <c r="C2499" s="29"/>
      <c r="D2499" s="30"/>
      <c r="E2499" s="33"/>
      <c r="F2499" s="89"/>
    </row>
    <row r="2500" spans="2:6" s="6" customFormat="1" x14ac:dyDescent="0.3">
      <c r="B2500" s="29"/>
      <c r="C2500" s="29"/>
      <c r="D2500" s="30"/>
      <c r="E2500" s="33"/>
      <c r="F2500" s="89"/>
    </row>
    <row r="2501" spans="2:6" s="6" customFormat="1" x14ac:dyDescent="0.3">
      <c r="B2501" s="29"/>
      <c r="C2501" s="29"/>
      <c r="D2501" s="30"/>
      <c r="E2501" s="33"/>
      <c r="F2501" s="89"/>
    </row>
    <row r="2502" spans="2:6" s="6" customFormat="1" x14ac:dyDescent="0.3">
      <c r="B2502" s="29"/>
      <c r="C2502" s="29"/>
      <c r="D2502" s="30"/>
      <c r="E2502" s="33"/>
      <c r="F2502" s="89"/>
    </row>
    <row r="2503" spans="2:6" s="6" customFormat="1" x14ac:dyDescent="0.3">
      <c r="B2503" s="29"/>
      <c r="C2503" s="29"/>
      <c r="D2503" s="30"/>
      <c r="E2503" s="33"/>
      <c r="F2503" s="89"/>
    </row>
    <row r="2504" spans="2:6" s="6" customFormat="1" x14ac:dyDescent="0.3">
      <c r="B2504" s="29"/>
      <c r="C2504" s="29"/>
      <c r="D2504" s="30"/>
      <c r="E2504" s="33"/>
      <c r="F2504" s="89"/>
    </row>
    <row r="2505" spans="2:6" s="6" customFormat="1" x14ac:dyDescent="0.3">
      <c r="B2505" s="29"/>
      <c r="C2505" s="29"/>
      <c r="D2505" s="30"/>
      <c r="E2505" s="33"/>
      <c r="F2505" s="89"/>
    </row>
    <row r="2506" spans="2:6" s="6" customFormat="1" x14ac:dyDescent="0.3">
      <c r="B2506" s="29"/>
      <c r="C2506" s="29"/>
      <c r="D2506" s="30"/>
      <c r="E2506" s="33"/>
      <c r="F2506" s="89"/>
    </row>
    <row r="2507" spans="2:6" s="6" customFormat="1" x14ac:dyDescent="0.3">
      <c r="B2507" s="29"/>
      <c r="C2507" s="29"/>
      <c r="D2507" s="30"/>
      <c r="E2507" s="33"/>
      <c r="F2507" s="89"/>
    </row>
    <row r="2508" spans="2:6" s="6" customFormat="1" x14ac:dyDescent="0.3">
      <c r="B2508" s="29"/>
      <c r="C2508" s="29"/>
      <c r="D2508" s="30"/>
      <c r="E2508" s="33"/>
      <c r="F2508" s="89"/>
    </row>
    <row r="2509" spans="2:6" s="6" customFormat="1" x14ac:dyDescent="0.3">
      <c r="B2509" s="29"/>
      <c r="C2509" s="29"/>
      <c r="D2509" s="30"/>
      <c r="E2509" s="33"/>
      <c r="F2509" s="89"/>
    </row>
    <row r="2510" spans="2:6" s="6" customFormat="1" x14ac:dyDescent="0.3">
      <c r="B2510" s="29"/>
      <c r="C2510" s="29"/>
      <c r="D2510" s="30"/>
      <c r="E2510" s="33"/>
      <c r="F2510" s="89"/>
    </row>
    <row r="2511" spans="2:6" s="6" customFormat="1" x14ac:dyDescent="0.3">
      <c r="B2511" s="29"/>
      <c r="C2511" s="29"/>
      <c r="D2511" s="30"/>
      <c r="E2511" s="33"/>
      <c r="F2511" s="89"/>
    </row>
    <row r="2512" spans="2:6" s="6" customFormat="1" x14ac:dyDescent="0.3">
      <c r="B2512" s="29"/>
      <c r="C2512" s="29"/>
      <c r="D2512" s="30"/>
      <c r="E2512" s="33"/>
      <c r="F2512" s="89"/>
    </row>
    <row r="2513" spans="2:6" s="6" customFormat="1" x14ac:dyDescent="0.3">
      <c r="B2513" s="29"/>
      <c r="C2513" s="29"/>
      <c r="D2513" s="30"/>
      <c r="E2513" s="33"/>
      <c r="F2513" s="89"/>
    </row>
    <row r="2514" spans="2:6" s="6" customFormat="1" x14ac:dyDescent="0.3">
      <c r="B2514" s="29"/>
      <c r="C2514" s="29"/>
      <c r="D2514" s="30"/>
      <c r="E2514" s="33"/>
      <c r="F2514" s="89"/>
    </row>
    <row r="2515" spans="2:6" s="6" customFormat="1" x14ac:dyDescent="0.3">
      <c r="B2515" s="29"/>
      <c r="C2515" s="29"/>
      <c r="D2515" s="30"/>
      <c r="E2515" s="33"/>
      <c r="F2515" s="89"/>
    </row>
    <row r="2516" spans="2:6" s="6" customFormat="1" x14ac:dyDescent="0.3">
      <c r="B2516" s="29"/>
      <c r="C2516" s="29"/>
      <c r="D2516" s="30"/>
      <c r="E2516" s="33"/>
      <c r="F2516" s="89"/>
    </row>
    <row r="2517" spans="2:6" s="6" customFormat="1" x14ac:dyDescent="0.3">
      <c r="B2517" s="29"/>
      <c r="C2517" s="29"/>
      <c r="D2517" s="30"/>
      <c r="E2517" s="33"/>
      <c r="F2517" s="89"/>
    </row>
    <row r="2518" spans="2:6" s="6" customFormat="1" x14ac:dyDescent="0.3">
      <c r="B2518" s="29"/>
      <c r="C2518" s="29"/>
      <c r="D2518" s="30"/>
      <c r="E2518" s="33"/>
      <c r="F2518" s="89"/>
    </row>
    <row r="2519" spans="2:6" s="6" customFormat="1" x14ac:dyDescent="0.3">
      <c r="B2519" s="29"/>
      <c r="C2519" s="29"/>
      <c r="D2519" s="30"/>
      <c r="E2519" s="33"/>
      <c r="F2519" s="89"/>
    </row>
    <row r="2520" spans="2:6" s="6" customFormat="1" x14ac:dyDescent="0.3">
      <c r="B2520" s="29"/>
      <c r="C2520" s="29"/>
      <c r="D2520" s="30"/>
      <c r="E2520" s="33"/>
      <c r="F2520" s="89"/>
    </row>
    <row r="2521" spans="2:6" s="6" customFormat="1" x14ac:dyDescent="0.3">
      <c r="B2521" s="29"/>
      <c r="C2521" s="29"/>
      <c r="D2521" s="30"/>
      <c r="E2521" s="33"/>
      <c r="F2521" s="89"/>
    </row>
    <row r="2522" spans="2:6" s="6" customFormat="1" x14ac:dyDescent="0.3">
      <c r="B2522" s="29"/>
      <c r="C2522" s="29"/>
      <c r="D2522" s="30"/>
      <c r="E2522" s="33"/>
      <c r="F2522" s="89"/>
    </row>
    <row r="2523" spans="2:6" s="6" customFormat="1" x14ac:dyDescent="0.3">
      <c r="B2523" s="29"/>
      <c r="C2523" s="29"/>
      <c r="D2523" s="30"/>
      <c r="E2523" s="33"/>
      <c r="F2523" s="89"/>
    </row>
    <row r="2524" spans="2:6" s="6" customFormat="1" x14ac:dyDescent="0.3">
      <c r="B2524" s="29"/>
      <c r="C2524" s="29"/>
      <c r="D2524" s="30"/>
      <c r="E2524" s="33"/>
      <c r="F2524" s="89"/>
    </row>
    <row r="2525" spans="2:6" s="6" customFormat="1" x14ac:dyDescent="0.3">
      <c r="B2525" s="29"/>
      <c r="C2525" s="29"/>
      <c r="D2525" s="30"/>
      <c r="E2525" s="33"/>
      <c r="F2525" s="89"/>
    </row>
    <row r="2526" spans="2:6" s="6" customFormat="1" x14ac:dyDescent="0.3">
      <c r="B2526" s="29"/>
      <c r="C2526" s="29"/>
      <c r="D2526" s="30"/>
      <c r="E2526" s="33"/>
      <c r="F2526" s="89"/>
    </row>
    <row r="2527" spans="2:6" s="6" customFormat="1" x14ac:dyDescent="0.3">
      <c r="B2527" s="29"/>
      <c r="C2527" s="29"/>
      <c r="D2527" s="30"/>
      <c r="E2527" s="33"/>
      <c r="F2527" s="89"/>
    </row>
    <row r="2528" spans="2:6" s="6" customFormat="1" x14ac:dyDescent="0.3">
      <c r="B2528" s="29"/>
      <c r="C2528" s="29"/>
      <c r="D2528" s="30"/>
      <c r="E2528" s="33"/>
      <c r="F2528" s="89"/>
    </row>
    <row r="2529" spans="2:6" s="6" customFormat="1" x14ac:dyDescent="0.3">
      <c r="B2529" s="29"/>
      <c r="C2529" s="29"/>
      <c r="D2529" s="30"/>
      <c r="E2529" s="33"/>
      <c r="F2529" s="89"/>
    </row>
    <row r="2530" spans="2:6" s="6" customFormat="1" x14ac:dyDescent="0.3">
      <c r="B2530" s="29"/>
      <c r="C2530" s="29"/>
      <c r="D2530" s="30"/>
      <c r="E2530" s="33"/>
      <c r="F2530" s="89"/>
    </row>
    <row r="2531" spans="2:6" s="6" customFormat="1" x14ac:dyDescent="0.3">
      <c r="B2531" s="29"/>
      <c r="C2531" s="29"/>
      <c r="D2531" s="30"/>
      <c r="E2531" s="33"/>
      <c r="F2531" s="89"/>
    </row>
    <row r="2532" spans="2:6" s="6" customFormat="1" x14ac:dyDescent="0.3">
      <c r="B2532" s="29"/>
      <c r="C2532" s="29"/>
      <c r="D2532" s="30"/>
      <c r="E2532" s="33"/>
      <c r="F2532" s="89"/>
    </row>
    <row r="2533" spans="2:6" s="6" customFormat="1" x14ac:dyDescent="0.3">
      <c r="B2533" s="29"/>
      <c r="C2533" s="29"/>
      <c r="D2533" s="30"/>
      <c r="E2533" s="33"/>
      <c r="F2533" s="89"/>
    </row>
    <row r="2534" spans="2:6" s="6" customFormat="1" x14ac:dyDescent="0.3">
      <c r="B2534" s="29"/>
      <c r="C2534" s="29"/>
      <c r="D2534" s="30"/>
      <c r="E2534" s="33"/>
      <c r="F2534" s="89"/>
    </row>
    <row r="2535" spans="2:6" s="6" customFormat="1" x14ac:dyDescent="0.3">
      <c r="B2535" s="29"/>
      <c r="C2535" s="29"/>
      <c r="D2535" s="30"/>
      <c r="E2535" s="33"/>
      <c r="F2535" s="89"/>
    </row>
    <row r="2536" spans="2:6" s="6" customFormat="1" x14ac:dyDescent="0.3">
      <c r="B2536" s="29"/>
      <c r="C2536" s="29"/>
      <c r="D2536" s="30"/>
      <c r="E2536" s="33"/>
      <c r="F2536" s="89"/>
    </row>
    <row r="2537" spans="2:6" s="6" customFormat="1" x14ac:dyDescent="0.3">
      <c r="B2537" s="29"/>
      <c r="C2537" s="29"/>
      <c r="D2537" s="30"/>
      <c r="E2537" s="33"/>
      <c r="F2537" s="89"/>
    </row>
    <row r="2538" spans="2:6" s="6" customFormat="1" x14ac:dyDescent="0.3">
      <c r="B2538" s="29"/>
      <c r="C2538" s="29"/>
      <c r="D2538" s="30"/>
      <c r="E2538" s="33"/>
      <c r="F2538" s="89"/>
    </row>
    <row r="2539" spans="2:6" s="6" customFormat="1" x14ac:dyDescent="0.3">
      <c r="B2539" s="29"/>
      <c r="C2539" s="29"/>
      <c r="D2539" s="30"/>
      <c r="E2539" s="33"/>
      <c r="F2539" s="89"/>
    </row>
    <row r="2540" spans="2:6" s="6" customFormat="1" x14ac:dyDescent="0.3">
      <c r="B2540" s="29"/>
      <c r="C2540" s="29"/>
      <c r="D2540" s="30"/>
      <c r="E2540" s="33"/>
      <c r="F2540" s="89"/>
    </row>
    <row r="2541" spans="2:6" s="6" customFormat="1" x14ac:dyDescent="0.3">
      <c r="B2541" s="29"/>
      <c r="C2541" s="29"/>
      <c r="D2541" s="30"/>
      <c r="E2541" s="33"/>
      <c r="F2541" s="89"/>
    </row>
    <row r="2542" spans="2:6" s="6" customFormat="1" x14ac:dyDescent="0.3">
      <c r="B2542" s="29"/>
      <c r="C2542" s="29"/>
      <c r="D2542" s="30"/>
      <c r="E2542" s="33"/>
      <c r="F2542" s="89"/>
    </row>
    <row r="2543" spans="2:6" s="6" customFormat="1" x14ac:dyDescent="0.3">
      <c r="B2543" s="29"/>
      <c r="C2543" s="29"/>
      <c r="D2543" s="30"/>
      <c r="E2543" s="33"/>
      <c r="F2543" s="89"/>
    </row>
    <row r="2544" spans="2:6" s="6" customFormat="1" x14ac:dyDescent="0.3">
      <c r="B2544" s="29"/>
      <c r="C2544" s="29"/>
      <c r="D2544" s="30"/>
      <c r="E2544" s="33"/>
      <c r="F2544" s="89"/>
    </row>
    <row r="2545" spans="2:6" s="6" customFormat="1" x14ac:dyDescent="0.3">
      <c r="B2545" s="29"/>
      <c r="C2545" s="29"/>
      <c r="D2545" s="30"/>
      <c r="E2545" s="33"/>
      <c r="F2545" s="89"/>
    </row>
    <row r="2546" spans="2:6" s="6" customFormat="1" x14ac:dyDescent="0.3">
      <c r="B2546" s="29"/>
      <c r="C2546" s="29"/>
      <c r="D2546" s="30"/>
      <c r="E2546" s="33"/>
      <c r="F2546" s="89"/>
    </row>
    <row r="2547" spans="2:6" s="6" customFormat="1" x14ac:dyDescent="0.3">
      <c r="B2547" s="29"/>
      <c r="C2547" s="29"/>
      <c r="D2547" s="30"/>
      <c r="E2547" s="33"/>
      <c r="F2547" s="89"/>
    </row>
    <row r="2548" spans="2:6" s="6" customFormat="1" x14ac:dyDescent="0.3">
      <c r="B2548" s="29"/>
      <c r="C2548" s="29"/>
      <c r="D2548" s="30"/>
      <c r="E2548" s="33"/>
      <c r="F2548" s="89"/>
    </row>
    <row r="2549" spans="2:6" s="6" customFormat="1" x14ac:dyDescent="0.3">
      <c r="B2549" s="29"/>
      <c r="C2549" s="29"/>
      <c r="D2549" s="30"/>
      <c r="E2549" s="33"/>
      <c r="F2549" s="89"/>
    </row>
    <row r="2550" spans="2:6" s="6" customFormat="1" x14ac:dyDescent="0.3">
      <c r="B2550" s="29"/>
      <c r="C2550" s="29"/>
      <c r="D2550" s="30"/>
      <c r="E2550" s="33"/>
      <c r="F2550" s="89"/>
    </row>
    <row r="2551" spans="2:6" s="6" customFormat="1" x14ac:dyDescent="0.3">
      <c r="B2551" s="29"/>
      <c r="C2551" s="29"/>
      <c r="D2551" s="30"/>
      <c r="E2551" s="33"/>
      <c r="F2551" s="89"/>
    </row>
    <row r="2552" spans="2:6" s="6" customFormat="1" x14ac:dyDescent="0.3">
      <c r="B2552" s="29"/>
      <c r="C2552" s="29"/>
      <c r="D2552" s="30"/>
      <c r="E2552" s="33"/>
      <c r="F2552" s="89"/>
    </row>
    <row r="2553" spans="2:6" s="6" customFormat="1" x14ac:dyDescent="0.3">
      <c r="B2553" s="29"/>
      <c r="C2553" s="29"/>
      <c r="D2553" s="30"/>
      <c r="E2553" s="33"/>
      <c r="F2553" s="89"/>
    </row>
    <row r="2554" spans="2:6" s="6" customFormat="1" x14ac:dyDescent="0.3">
      <c r="B2554" s="29"/>
      <c r="C2554" s="29"/>
      <c r="D2554" s="30"/>
      <c r="E2554" s="33"/>
      <c r="F2554" s="89"/>
    </row>
    <row r="2555" spans="2:6" s="6" customFormat="1" x14ac:dyDescent="0.3">
      <c r="B2555" s="29"/>
      <c r="C2555" s="29"/>
      <c r="D2555" s="30"/>
      <c r="E2555" s="33"/>
      <c r="F2555" s="89"/>
    </row>
    <row r="2556" spans="2:6" s="6" customFormat="1" x14ac:dyDescent="0.3">
      <c r="B2556" s="29"/>
      <c r="C2556" s="29"/>
      <c r="D2556" s="30"/>
      <c r="E2556" s="33"/>
      <c r="F2556" s="89"/>
    </row>
    <row r="2557" spans="2:6" s="6" customFormat="1" x14ac:dyDescent="0.3">
      <c r="B2557" s="29"/>
      <c r="C2557" s="29"/>
      <c r="D2557" s="30"/>
      <c r="E2557" s="33"/>
      <c r="F2557" s="89"/>
    </row>
    <row r="2558" spans="2:6" s="6" customFormat="1" x14ac:dyDescent="0.3">
      <c r="B2558" s="29"/>
      <c r="C2558" s="29"/>
      <c r="D2558" s="30"/>
      <c r="E2558" s="33"/>
      <c r="F2558" s="89"/>
    </row>
    <row r="2559" spans="2:6" s="6" customFormat="1" x14ac:dyDescent="0.3">
      <c r="B2559" s="29"/>
      <c r="C2559" s="29"/>
      <c r="D2559" s="30"/>
      <c r="E2559" s="33"/>
      <c r="F2559" s="89"/>
    </row>
    <row r="2560" spans="2:6" s="6" customFormat="1" x14ac:dyDescent="0.3">
      <c r="B2560" s="29"/>
      <c r="C2560" s="29"/>
      <c r="D2560" s="30"/>
      <c r="E2560" s="33"/>
      <c r="F2560" s="89"/>
    </row>
    <row r="2561" spans="2:6" s="6" customFormat="1" x14ac:dyDescent="0.3">
      <c r="B2561" s="29"/>
      <c r="C2561" s="29"/>
      <c r="D2561" s="30"/>
      <c r="E2561" s="33"/>
      <c r="F2561" s="89"/>
    </row>
    <row r="2562" spans="2:6" s="6" customFormat="1" x14ac:dyDescent="0.3">
      <c r="B2562" s="29"/>
      <c r="C2562" s="29"/>
      <c r="D2562" s="30"/>
      <c r="E2562" s="33"/>
      <c r="F2562" s="89"/>
    </row>
    <row r="2563" spans="2:6" s="6" customFormat="1" x14ac:dyDescent="0.3">
      <c r="B2563" s="29"/>
      <c r="C2563" s="29"/>
      <c r="D2563" s="30"/>
      <c r="E2563" s="33"/>
      <c r="F2563" s="89"/>
    </row>
    <row r="2564" spans="2:6" s="6" customFormat="1" x14ac:dyDescent="0.3">
      <c r="B2564" s="29"/>
      <c r="C2564" s="29"/>
      <c r="D2564" s="30"/>
      <c r="E2564" s="33"/>
      <c r="F2564" s="89"/>
    </row>
    <row r="2565" spans="2:6" s="6" customFormat="1" x14ac:dyDescent="0.3">
      <c r="B2565" s="29"/>
      <c r="C2565" s="29"/>
      <c r="D2565" s="30"/>
      <c r="E2565" s="33"/>
      <c r="F2565" s="89"/>
    </row>
    <row r="2566" spans="2:6" s="6" customFormat="1" x14ac:dyDescent="0.3">
      <c r="B2566" s="29"/>
      <c r="C2566" s="29"/>
      <c r="D2566" s="30"/>
      <c r="E2566" s="33"/>
      <c r="F2566" s="89"/>
    </row>
    <row r="2567" spans="2:6" s="6" customFormat="1" x14ac:dyDescent="0.3">
      <c r="B2567" s="29"/>
      <c r="C2567" s="29"/>
      <c r="D2567" s="30"/>
      <c r="E2567" s="33"/>
      <c r="F2567" s="89"/>
    </row>
    <row r="2568" spans="2:6" s="6" customFormat="1" x14ac:dyDescent="0.3">
      <c r="B2568" s="29"/>
      <c r="C2568" s="29"/>
      <c r="D2568" s="30"/>
      <c r="E2568" s="33"/>
      <c r="F2568" s="89"/>
    </row>
    <row r="2569" spans="2:6" s="6" customFormat="1" x14ac:dyDescent="0.3">
      <c r="B2569" s="29"/>
      <c r="C2569" s="29"/>
      <c r="D2569" s="30"/>
      <c r="E2569" s="33"/>
      <c r="F2569" s="89"/>
    </row>
    <row r="2570" spans="2:6" s="6" customFormat="1" x14ac:dyDescent="0.3">
      <c r="B2570" s="29"/>
      <c r="C2570" s="29"/>
      <c r="D2570" s="30"/>
      <c r="E2570" s="33"/>
      <c r="F2570" s="89"/>
    </row>
    <row r="2571" spans="2:6" s="6" customFormat="1" x14ac:dyDescent="0.3">
      <c r="B2571" s="29"/>
      <c r="C2571" s="29"/>
      <c r="D2571" s="30"/>
      <c r="E2571" s="33"/>
      <c r="F2571" s="89"/>
    </row>
    <row r="2572" spans="2:6" s="6" customFormat="1" x14ac:dyDescent="0.3">
      <c r="B2572" s="29"/>
      <c r="C2572" s="29"/>
      <c r="D2572" s="30"/>
      <c r="E2572" s="33"/>
      <c r="F2572" s="89"/>
    </row>
    <row r="2573" spans="2:6" s="6" customFormat="1" x14ac:dyDescent="0.3">
      <c r="B2573" s="29"/>
      <c r="C2573" s="29"/>
      <c r="D2573" s="30"/>
      <c r="E2573" s="33"/>
      <c r="F2573" s="89"/>
    </row>
    <row r="2574" spans="2:6" s="6" customFormat="1" x14ac:dyDescent="0.3">
      <c r="B2574" s="29"/>
      <c r="C2574" s="29"/>
      <c r="D2574" s="30"/>
      <c r="E2574" s="33"/>
      <c r="F2574" s="89"/>
    </row>
    <row r="2575" spans="2:6" s="6" customFormat="1" x14ac:dyDescent="0.3">
      <c r="B2575" s="29"/>
      <c r="C2575" s="29"/>
      <c r="D2575" s="30"/>
      <c r="E2575" s="33"/>
      <c r="F2575" s="89"/>
    </row>
    <row r="2576" spans="2:6" s="6" customFormat="1" x14ac:dyDescent="0.3">
      <c r="B2576" s="29"/>
      <c r="C2576" s="29"/>
      <c r="D2576" s="30"/>
      <c r="E2576" s="33"/>
      <c r="F2576" s="89"/>
    </row>
    <row r="2577" spans="2:6" s="6" customFormat="1" x14ac:dyDescent="0.3">
      <c r="B2577" s="29"/>
      <c r="C2577" s="29"/>
      <c r="D2577" s="30"/>
      <c r="E2577" s="33"/>
      <c r="F2577" s="89"/>
    </row>
    <row r="2578" spans="2:6" s="6" customFormat="1" x14ac:dyDescent="0.3">
      <c r="B2578" s="29"/>
      <c r="C2578" s="29"/>
      <c r="D2578" s="30"/>
      <c r="E2578" s="33"/>
      <c r="F2578" s="89"/>
    </row>
    <row r="2579" spans="2:6" s="6" customFormat="1" x14ac:dyDescent="0.3">
      <c r="B2579" s="29"/>
      <c r="C2579" s="29"/>
      <c r="D2579" s="30"/>
      <c r="E2579" s="33"/>
      <c r="F2579" s="89"/>
    </row>
    <row r="2580" spans="2:6" s="6" customFormat="1" x14ac:dyDescent="0.3">
      <c r="B2580" s="29"/>
      <c r="C2580" s="29"/>
      <c r="D2580" s="30"/>
      <c r="E2580" s="33"/>
      <c r="F2580" s="89"/>
    </row>
    <row r="2581" spans="2:6" s="6" customFormat="1" x14ac:dyDescent="0.3">
      <c r="B2581" s="29"/>
      <c r="C2581" s="29"/>
      <c r="D2581" s="30"/>
      <c r="E2581" s="33"/>
      <c r="F2581" s="89"/>
    </row>
    <row r="2582" spans="2:6" s="6" customFormat="1" x14ac:dyDescent="0.3">
      <c r="B2582" s="29"/>
      <c r="C2582" s="29"/>
      <c r="D2582" s="30"/>
      <c r="E2582" s="33"/>
      <c r="F2582" s="89"/>
    </row>
    <row r="2583" spans="2:6" s="6" customFormat="1" x14ac:dyDescent="0.3">
      <c r="B2583" s="29"/>
      <c r="C2583" s="29"/>
      <c r="D2583" s="30"/>
      <c r="E2583" s="33"/>
      <c r="F2583" s="89"/>
    </row>
    <row r="2584" spans="2:6" s="6" customFormat="1" x14ac:dyDescent="0.3">
      <c r="B2584" s="29"/>
      <c r="C2584" s="29"/>
      <c r="D2584" s="30"/>
      <c r="E2584" s="33"/>
      <c r="F2584" s="89"/>
    </row>
    <row r="2585" spans="2:6" s="6" customFormat="1" x14ac:dyDescent="0.3">
      <c r="B2585" s="29"/>
      <c r="C2585" s="29"/>
      <c r="D2585" s="30"/>
      <c r="E2585" s="33"/>
      <c r="F2585" s="89"/>
    </row>
    <row r="2586" spans="2:6" s="6" customFormat="1" x14ac:dyDescent="0.3">
      <c r="B2586" s="29"/>
      <c r="C2586" s="29"/>
      <c r="D2586" s="30"/>
      <c r="E2586" s="33"/>
      <c r="F2586" s="89"/>
    </row>
    <row r="2587" spans="2:6" s="6" customFormat="1" x14ac:dyDescent="0.3">
      <c r="B2587" s="29"/>
      <c r="C2587" s="29"/>
      <c r="D2587" s="30"/>
      <c r="E2587" s="33"/>
      <c r="F2587" s="89"/>
    </row>
    <row r="2588" spans="2:6" s="6" customFormat="1" x14ac:dyDescent="0.3">
      <c r="B2588" s="29"/>
      <c r="C2588" s="29"/>
      <c r="D2588" s="30"/>
      <c r="E2588" s="33"/>
      <c r="F2588" s="89"/>
    </row>
    <row r="2589" spans="2:6" s="6" customFormat="1" x14ac:dyDescent="0.3">
      <c r="B2589" s="29"/>
      <c r="C2589" s="29"/>
      <c r="D2589" s="30"/>
      <c r="E2589" s="33"/>
      <c r="F2589" s="89"/>
    </row>
    <row r="2590" spans="2:6" s="6" customFormat="1" x14ac:dyDescent="0.3">
      <c r="B2590" s="29"/>
      <c r="C2590" s="29"/>
      <c r="D2590" s="30"/>
      <c r="E2590" s="33"/>
      <c r="F2590" s="89"/>
    </row>
    <row r="2591" spans="2:6" s="6" customFormat="1" x14ac:dyDescent="0.3">
      <c r="B2591" s="29"/>
      <c r="C2591" s="29"/>
      <c r="D2591" s="30"/>
      <c r="E2591" s="33"/>
      <c r="F2591" s="89"/>
    </row>
    <row r="2592" spans="2:6" s="6" customFormat="1" x14ac:dyDescent="0.3">
      <c r="B2592" s="29"/>
      <c r="C2592" s="29"/>
      <c r="D2592" s="30"/>
      <c r="E2592" s="33"/>
      <c r="F2592" s="89"/>
    </row>
    <row r="2593" spans="2:6" s="6" customFormat="1" x14ac:dyDescent="0.3">
      <c r="B2593" s="29"/>
      <c r="C2593" s="29"/>
      <c r="D2593" s="30"/>
      <c r="E2593" s="33"/>
      <c r="F2593" s="89"/>
    </row>
    <row r="2594" spans="2:6" s="6" customFormat="1" x14ac:dyDescent="0.3">
      <c r="B2594" s="29"/>
      <c r="C2594" s="29"/>
      <c r="D2594" s="30"/>
      <c r="E2594" s="33"/>
      <c r="F2594" s="89"/>
    </row>
    <row r="2595" spans="2:6" s="6" customFormat="1" x14ac:dyDescent="0.3">
      <c r="B2595" s="29"/>
      <c r="C2595" s="29"/>
      <c r="D2595" s="30"/>
      <c r="E2595" s="33"/>
      <c r="F2595" s="89"/>
    </row>
    <row r="2596" spans="2:6" s="6" customFormat="1" x14ac:dyDescent="0.3">
      <c r="B2596" s="29"/>
      <c r="C2596" s="29"/>
      <c r="D2596" s="30"/>
      <c r="E2596" s="33"/>
      <c r="F2596" s="89"/>
    </row>
    <row r="2597" spans="2:6" s="6" customFormat="1" x14ac:dyDescent="0.3">
      <c r="B2597" s="29"/>
      <c r="C2597" s="29"/>
      <c r="D2597" s="30"/>
      <c r="E2597" s="33"/>
      <c r="F2597" s="89"/>
    </row>
    <row r="2598" spans="2:6" s="6" customFormat="1" x14ac:dyDescent="0.3">
      <c r="B2598" s="29"/>
      <c r="C2598" s="29"/>
      <c r="D2598" s="30"/>
      <c r="E2598" s="33"/>
      <c r="F2598" s="89"/>
    </row>
    <row r="2599" spans="2:6" s="6" customFormat="1" x14ac:dyDescent="0.3">
      <c r="B2599" s="29"/>
      <c r="C2599" s="29"/>
      <c r="D2599" s="30"/>
      <c r="E2599" s="33"/>
      <c r="F2599" s="89"/>
    </row>
    <row r="2600" spans="2:6" s="6" customFormat="1" x14ac:dyDescent="0.3">
      <c r="B2600" s="29"/>
      <c r="C2600" s="29"/>
      <c r="D2600" s="30"/>
      <c r="E2600" s="33"/>
      <c r="F2600" s="89"/>
    </row>
    <row r="2601" spans="2:6" s="6" customFormat="1" x14ac:dyDescent="0.3">
      <c r="B2601" s="29"/>
      <c r="C2601" s="29"/>
      <c r="D2601" s="30"/>
      <c r="E2601" s="33"/>
      <c r="F2601" s="89"/>
    </row>
    <row r="2602" spans="2:6" s="6" customFormat="1" x14ac:dyDescent="0.3">
      <c r="B2602" s="29"/>
      <c r="C2602" s="29"/>
      <c r="D2602" s="30"/>
      <c r="E2602" s="33"/>
      <c r="F2602" s="89"/>
    </row>
    <row r="2603" spans="2:6" s="6" customFormat="1" x14ac:dyDescent="0.3">
      <c r="B2603" s="29"/>
      <c r="C2603" s="29"/>
      <c r="D2603" s="30"/>
      <c r="E2603" s="33"/>
      <c r="F2603" s="89"/>
    </row>
    <row r="2604" spans="2:6" s="6" customFormat="1" x14ac:dyDescent="0.3">
      <c r="B2604" s="29"/>
      <c r="C2604" s="29"/>
      <c r="D2604" s="30"/>
      <c r="E2604" s="33"/>
      <c r="F2604" s="89"/>
    </row>
    <row r="2605" spans="2:6" s="6" customFormat="1" x14ac:dyDescent="0.3">
      <c r="B2605" s="29"/>
      <c r="C2605" s="29"/>
      <c r="D2605" s="30"/>
      <c r="E2605" s="33"/>
      <c r="F2605" s="89"/>
    </row>
    <row r="2606" spans="2:6" s="6" customFormat="1" x14ac:dyDescent="0.3">
      <c r="B2606" s="29"/>
      <c r="C2606" s="29"/>
      <c r="D2606" s="30"/>
      <c r="E2606" s="33"/>
      <c r="F2606" s="89"/>
    </row>
    <row r="2607" spans="2:6" s="6" customFormat="1" x14ac:dyDescent="0.3">
      <c r="B2607" s="29"/>
      <c r="C2607" s="29"/>
      <c r="D2607" s="30"/>
      <c r="E2607" s="33"/>
      <c r="F2607" s="89"/>
    </row>
    <row r="2608" spans="2:6" s="6" customFormat="1" x14ac:dyDescent="0.3">
      <c r="B2608" s="29"/>
      <c r="C2608" s="29"/>
      <c r="D2608" s="30"/>
      <c r="E2608" s="33"/>
      <c r="F2608" s="89"/>
    </row>
    <row r="2609" spans="2:6" s="6" customFormat="1" x14ac:dyDescent="0.3">
      <c r="B2609" s="29"/>
      <c r="C2609" s="29"/>
      <c r="D2609" s="30"/>
      <c r="E2609" s="33"/>
      <c r="F2609" s="89"/>
    </row>
    <row r="2610" spans="2:6" s="6" customFormat="1" x14ac:dyDescent="0.3">
      <c r="B2610" s="29"/>
      <c r="C2610" s="29"/>
      <c r="D2610" s="30"/>
      <c r="E2610" s="33"/>
      <c r="F2610" s="89"/>
    </row>
    <row r="2611" spans="2:6" s="6" customFormat="1" x14ac:dyDescent="0.3">
      <c r="B2611" s="29"/>
      <c r="C2611" s="29"/>
      <c r="D2611" s="30"/>
      <c r="E2611" s="33"/>
      <c r="F2611" s="89"/>
    </row>
    <row r="2612" spans="2:6" s="6" customFormat="1" x14ac:dyDescent="0.3">
      <c r="B2612" s="29"/>
      <c r="C2612" s="29"/>
      <c r="D2612" s="30"/>
      <c r="E2612" s="33"/>
      <c r="F2612" s="89"/>
    </row>
    <row r="2613" spans="2:6" s="6" customFormat="1" x14ac:dyDescent="0.3">
      <c r="B2613" s="29"/>
      <c r="C2613" s="29"/>
      <c r="D2613" s="30"/>
      <c r="E2613" s="33"/>
      <c r="F2613" s="89"/>
    </row>
    <row r="2614" spans="2:6" s="6" customFormat="1" x14ac:dyDescent="0.3">
      <c r="B2614" s="29"/>
      <c r="C2614" s="29"/>
      <c r="D2614" s="30"/>
      <c r="E2614" s="33"/>
      <c r="F2614" s="89"/>
    </row>
    <row r="2615" spans="2:6" s="6" customFormat="1" x14ac:dyDescent="0.3">
      <c r="B2615" s="29"/>
      <c r="C2615" s="29"/>
      <c r="D2615" s="30"/>
      <c r="E2615" s="33"/>
      <c r="F2615" s="89"/>
    </row>
    <row r="2616" spans="2:6" s="6" customFormat="1" x14ac:dyDescent="0.3">
      <c r="B2616" s="29"/>
      <c r="C2616" s="29"/>
      <c r="D2616" s="30"/>
      <c r="E2616" s="33"/>
      <c r="F2616" s="89"/>
    </row>
    <row r="2617" spans="2:6" s="6" customFormat="1" x14ac:dyDescent="0.3">
      <c r="B2617" s="29"/>
      <c r="C2617" s="29"/>
      <c r="D2617" s="30"/>
      <c r="E2617" s="33"/>
      <c r="F2617" s="89"/>
    </row>
    <row r="2618" spans="2:6" s="6" customFormat="1" x14ac:dyDescent="0.3">
      <c r="B2618" s="29"/>
      <c r="C2618" s="29"/>
      <c r="D2618" s="30"/>
      <c r="E2618" s="33"/>
      <c r="F2618" s="89"/>
    </row>
    <row r="2619" spans="2:6" s="6" customFormat="1" x14ac:dyDescent="0.3">
      <c r="B2619" s="29"/>
      <c r="C2619" s="29"/>
      <c r="D2619" s="30"/>
      <c r="E2619" s="33"/>
      <c r="F2619" s="89"/>
    </row>
    <row r="2620" spans="2:6" s="6" customFormat="1" x14ac:dyDescent="0.3">
      <c r="B2620" s="29"/>
      <c r="C2620" s="29"/>
      <c r="D2620" s="30"/>
      <c r="E2620" s="33"/>
      <c r="F2620" s="89"/>
    </row>
    <row r="2621" spans="2:6" s="6" customFormat="1" x14ac:dyDescent="0.3">
      <c r="B2621" s="29"/>
      <c r="C2621" s="29"/>
      <c r="D2621" s="30"/>
      <c r="E2621" s="33"/>
      <c r="F2621" s="89"/>
    </row>
    <row r="2622" spans="2:6" s="6" customFormat="1" x14ac:dyDescent="0.3">
      <c r="B2622" s="29"/>
      <c r="C2622" s="29"/>
      <c r="D2622" s="30"/>
      <c r="E2622" s="33"/>
      <c r="F2622" s="89"/>
    </row>
    <row r="2623" spans="2:6" s="6" customFormat="1" x14ac:dyDescent="0.3">
      <c r="B2623" s="29"/>
      <c r="C2623" s="29"/>
      <c r="D2623" s="30"/>
      <c r="E2623" s="33"/>
      <c r="F2623" s="89"/>
    </row>
    <row r="2624" spans="2:6" s="6" customFormat="1" x14ac:dyDescent="0.3">
      <c r="B2624" s="29"/>
      <c r="C2624" s="29"/>
      <c r="D2624" s="30"/>
      <c r="E2624" s="33"/>
      <c r="F2624" s="89"/>
    </row>
    <row r="2625" spans="2:6" s="6" customFormat="1" x14ac:dyDescent="0.3">
      <c r="B2625" s="29"/>
      <c r="C2625" s="29"/>
      <c r="D2625" s="30"/>
      <c r="E2625" s="33"/>
      <c r="F2625" s="89"/>
    </row>
    <row r="2626" spans="2:6" s="6" customFormat="1" x14ac:dyDescent="0.3">
      <c r="B2626" s="29"/>
      <c r="C2626" s="29"/>
      <c r="D2626" s="30"/>
      <c r="E2626" s="33"/>
      <c r="F2626" s="89"/>
    </row>
    <row r="2627" spans="2:6" s="6" customFormat="1" x14ac:dyDescent="0.3">
      <c r="B2627" s="29"/>
      <c r="C2627" s="29"/>
      <c r="D2627" s="30"/>
      <c r="E2627" s="33"/>
      <c r="F2627" s="89"/>
    </row>
    <row r="2628" spans="2:6" s="6" customFormat="1" x14ac:dyDescent="0.3">
      <c r="B2628" s="29"/>
      <c r="C2628" s="29"/>
      <c r="D2628" s="30"/>
      <c r="E2628" s="33"/>
      <c r="F2628" s="89"/>
    </row>
    <row r="2629" spans="2:6" s="6" customFormat="1" x14ac:dyDescent="0.3">
      <c r="B2629" s="29"/>
      <c r="C2629" s="29"/>
      <c r="D2629" s="30"/>
      <c r="E2629" s="33"/>
      <c r="F2629" s="89"/>
    </row>
    <row r="2630" spans="2:6" s="6" customFormat="1" x14ac:dyDescent="0.3">
      <c r="B2630" s="29"/>
      <c r="C2630" s="29"/>
      <c r="D2630" s="30"/>
      <c r="E2630" s="33"/>
      <c r="F2630" s="89"/>
    </row>
    <row r="2631" spans="2:6" s="6" customFormat="1" x14ac:dyDescent="0.3">
      <c r="B2631" s="29"/>
      <c r="C2631" s="29"/>
      <c r="D2631" s="30"/>
      <c r="E2631" s="33"/>
      <c r="F2631" s="89"/>
    </row>
    <row r="2632" spans="2:6" s="6" customFormat="1" x14ac:dyDescent="0.3">
      <c r="B2632" s="29"/>
      <c r="C2632" s="29"/>
      <c r="D2632" s="30"/>
      <c r="E2632" s="33"/>
      <c r="F2632" s="89"/>
    </row>
    <row r="2633" spans="2:6" s="6" customFormat="1" x14ac:dyDescent="0.3">
      <c r="B2633" s="29"/>
      <c r="C2633" s="29"/>
      <c r="D2633" s="30"/>
      <c r="E2633" s="33"/>
      <c r="F2633" s="89"/>
    </row>
    <row r="2634" spans="2:6" s="6" customFormat="1" x14ac:dyDescent="0.3">
      <c r="B2634" s="29"/>
      <c r="C2634" s="29"/>
      <c r="D2634" s="30"/>
      <c r="E2634" s="33"/>
      <c r="F2634" s="89"/>
    </row>
    <row r="2635" spans="2:6" s="6" customFormat="1" x14ac:dyDescent="0.3">
      <c r="B2635" s="29"/>
      <c r="C2635" s="29"/>
      <c r="D2635" s="30"/>
      <c r="E2635" s="33"/>
      <c r="F2635" s="89"/>
    </row>
    <row r="2636" spans="2:6" s="6" customFormat="1" x14ac:dyDescent="0.3">
      <c r="B2636" s="29"/>
      <c r="C2636" s="29"/>
      <c r="D2636" s="30"/>
      <c r="E2636" s="33"/>
      <c r="F2636" s="89"/>
    </row>
    <row r="2637" spans="2:6" s="6" customFormat="1" x14ac:dyDescent="0.3">
      <c r="B2637" s="29"/>
      <c r="C2637" s="29"/>
      <c r="D2637" s="30"/>
      <c r="E2637" s="33"/>
      <c r="F2637" s="89"/>
    </row>
    <row r="2638" spans="2:6" s="6" customFormat="1" x14ac:dyDescent="0.3">
      <c r="B2638" s="29"/>
      <c r="C2638" s="29"/>
      <c r="D2638" s="30"/>
      <c r="E2638" s="33"/>
      <c r="F2638" s="89"/>
    </row>
    <row r="2639" spans="2:6" s="6" customFormat="1" x14ac:dyDescent="0.3">
      <c r="B2639" s="29"/>
      <c r="C2639" s="29"/>
      <c r="D2639" s="30"/>
      <c r="E2639" s="33"/>
      <c r="F2639" s="89"/>
    </row>
    <row r="2640" spans="2:6" s="6" customFormat="1" x14ac:dyDescent="0.3">
      <c r="B2640" s="29"/>
      <c r="C2640" s="29"/>
      <c r="D2640" s="30"/>
      <c r="E2640" s="33"/>
      <c r="F2640" s="89"/>
    </row>
    <row r="2641" spans="2:6" s="6" customFormat="1" x14ac:dyDescent="0.3">
      <c r="B2641" s="29"/>
      <c r="C2641" s="29"/>
      <c r="D2641" s="30"/>
      <c r="E2641" s="33"/>
      <c r="F2641" s="89"/>
    </row>
    <row r="2642" spans="2:6" s="6" customFormat="1" x14ac:dyDescent="0.3">
      <c r="B2642" s="29"/>
      <c r="C2642" s="29"/>
      <c r="D2642" s="30"/>
      <c r="E2642" s="33"/>
      <c r="F2642" s="89"/>
    </row>
    <row r="2643" spans="2:6" s="6" customFormat="1" x14ac:dyDescent="0.3">
      <c r="B2643" s="29"/>
      <c r="C2643" s="29"/>
      <c r="D2643" s="30"/>
      <c r="E2643" s="33"/>
      <c r="F2643" s="89"/>
    </row>
    <row r="2644" spans="2:6" s="6" customFormat="1" x14ac:dyDescent="0.3">
      <c r="B2644" s="29"/>
      <c r="C2644" s="29"/>
      <c r="D2644" s="30"/>
      <c r="E2644" s="33"/>
      <c r="F2644" s="89"/>
    </row>
    <row r="2645" spans="2:6" s="6" customFormat="1" x14ac:dyDescent="0.3">
      <c r="B2645" s="29"/>
      <c r="C2645" s="29"/>
      <c r="D2645" s="30"/>
      <c r="E2645" s="33"/>
      <c r="F2645" s="89"/>
    </row>
    <row r="2646" spans="2:6" s="6" customFormat="1" x14ac:dyDescent="0.3">
      <c r="B2646" s="29"/>
      <c r="C2646" s="29"/>
      <c r="D2646" s="30"/>
      <c r="E2646" s="33"/>
      <c r="F2646" s="89"/>
    </row>
    <row r="2647" spans="2:6" s="6" customFormat="1" x14ac:dyDescent="0.3">
      <c r="B2647" s="29"/>
      <c r="C2647" s="29"/>
      <c r="D2647" s="30"/>
      <c r="E2647" s="33"/>
      <c r="F2647" s="89"/>
    </row>
    <row r="2648" spans="2:6" s="6" customFormat="1" x14ac:dyDescent="0.3">
      <c r="B2648" s="29"/>
      <c r="C2648" s="29"/>
      <c r="D2648" s="30"/>
      <c r="E2648" s="33"/>
      <c r="F2648" s="89"/>
    </row>
    <row r="2649" spans="2:6" s="6" customFormat="1" x14ac:dyDescent="0.3">
      <c r="B2649" s="29"/>
      <c r="C2649" s="29"/>
      <c r="D2649" s="30"/>
      <c r="E2649" s="33"/>
      <c r="F2649" s="89"/>
    </row>
    <row r="2650" spans="2:6" s="6" customFormat="1" x14ac:dyDescent="0.3">
      <c r="B2650" s="29"/>
      <c r="C2650" s="29"/>
      <c r="D2650" s="30"/>
      <c r="E2650" s="33"/>
      <c r="F2650" s="89"/>
    </row>
    <row r="2651" spans="2:6" s="6" customFormat="1" x14ac:dyDescent="0.3">
      <c r="B2651" s="29"/>
      <c r="C2651" s="29"/>
      <c r="D2651" s="30"/>
      <c r="E2651" s="33"/>
      <c r="F2651" s="89"/>
    </row>
    <row r="2652" spans="2:6" s="6" customFormat="1" x14ac:dyDescent="0.3">
      <c r="B2652" s="29"/>
      <c r="C2652" s="29"/>
      <c r="D2652" s="30"/>
      <c r="E2652" s="33"/>
      <c r="F2652" s="89"/>
    </row>
    <row r="2653" spans="2:6" s="6" customFormat="1" x14ac:dyDescent="0.3">
      <c r="B2653" s="29"/>
      <c r="C2653" s="29"/>
      <c r="D2653" s="30"/>
      <c r="E2653" s="33"/>
      <c r="F2653" s="89"/>
    </row>
    <row r="2654" spans="2:6" s="6" customFormat="1" x14ac:dyDescent="0.3">
      <c r="B2654" s="29"/>
      <c r="C2654" s="29"/>
      <c r="D2654" s="30"/>
      <c r="E2654" s="33"/>
      <c r="F2654" s="89"/>
    </row>
    <row r="2655" spans="2:6" s="6" customFormat="1" x14ac:dyDescent="0.3">
      <c r="B2655" s="29"/>
      <c r="C2655" s="29"/>
      <c r="D2655" s="30"/>
      <c r="E2655" s="33"/>
      <c r="F2655" s="89"/>
    </row>
    <row r="2656" spans="2:6" s="6" customFormat="1" x14ac:dyDescent="0.3">
      <c r="B2656" s="29"/>
      <c r="C2656" s="29"/>
      <c r="D2656" s="30"/>
      <c r="E2656" s="33"/>
      <c r="F2656" s="89"/>
    </row>
    <row r="2657" spans="2:6" s="6" customFormat="1" x14ac:dyDescent="0.3">
      <c r="B2657" s="29"/>
      <c r="C2657" s="29"/>
      <c r="D2657" s="30"/>
      <c r="E2657" s="33"/>
      <c r="F2657" s="89"/>
    </row>
    <row r="2658" spans="2:6" s="6" customFormat="1" x14ac:dyDescent="0.3">
      <c r="B2658" s="29"/>
      <c r="C2658" s="29"/>
      <c r="D2658" s="30"/>
      <c r="E2658" s="33"/>
      <c r="F2658" s="89"/>
    </row>
    <row r="2659" spans="2:6" s="6" customFormat="1" x14ac:dyDescent="0.3">
      <c r="B2659" s="29"/>
      <c r="C2659" s="29"/>
      <c r="D2659" s="30"/>
      <c r="E2659" s="33"/>
      <c r="F2659" s="89"/>
    </row>
    <row r="2660" spans="2:6" s="6" customFormat="1" x14ac:dyDescent="0.3">
      <c r="B2660" s="29"/>
      <c r="C2660" s="29"/>
      <c r="D2660" s="30"/>
      <c r="E2660" s="33"/>
      <c r="F2660" s="89"/>
    </row>
    <row r="2661" spans="2:6" s="6" customFormat="1" x14ac:dyDescent="0.3">
      <c r="B2661" s="29"/>
      <c r="C2661" s="29"/>
      <c r="D2661" s="30"/>
      <c r="E2661" s="33"/>
      <c r="F2661" s="89"/>
    </row>
    <row r="2662" spans="2:6" s="6" customFormat="1" x14ac:dyDescent="0.3">
      <c r="B2662" s="29"/>
      <c r="C2662" s="29"/>
      <c r="D2662" s="30"/>
      <c r="E2662" s="33"/>
      <c r="F2662" s="89"/>
    </row>
    <row r="2663" spans="2:6" s="6" customFormat="1" x14ac:dyDescent="0.3">
      <c r="B2663" s="29"/>
      <c r="C2663" s="29"/>
      <c r="D2663" s="30"/>
      <c r="E2663" s="33"/>
      <c r="F2663" s="89"/>
    </row>
    <row r="2664" spans="2:6" s="6" customFormat="1" x14ac:dyDescent="0.3">
      <c r="B2664" s="29"/>
      <c r="C2664" s="29"/>
      <c r="D2664" s="30"/>
      <c r="E2664" s="33"/>
      <c r="F2664" s="89"/>
    </row>
    <row r="2665" spans="2:6" s="6" customFormat="1" x14ac:dyDescent="0.3">
      <c r="B2665" s="29"/>
      <c r="C2665" s="29"/>
      <c r="D2665" s="30"/>
      <c r="E2665" s="33"/>
      <c r="F2665" s="89"/>
    </row>
    <row r="2666" spans="2:6" s="6" customFormat="1" x14ac:dyDescent="0.3">
      <c r="B2666" s="29"/>
      <c r="C2666" s="29"/>
      <c r="D2666" s="30"/>
      <c r="E2666" s="33"/>
      <c r="F2666" s="89"/>
    </row>
    <row r="2667" spans="2:6" s="6" customFormat="1" x14ac:dyDescent="0.3">
      <c r="B2667" s="29"/>
      <c r="C2667" s="29"/>
      <c r="D2667" s="30"/>
      <c r="E2667" s="33"/>
      <c r="F2667" s="89"/>
    </row>
    <row r="2668" spans="2:6" s="6" customFormat="1" x14ac:dyDescent="0.3">
      <c r="B2668" s="29"/>
      <c r="C2668" s="29"/>
      <c r="D2668" s="30"/>
      <c r="E2668" s="33"/>
      <c r="F2668" s="89"/>
    </row>
    <row r="2669" spans="2:6" s="6" customFormat="1" x14ac:dyDescent="0.3">
      <c r="B2669" s="29"/>
      <c r="C2669" s="29"/>
      <c r="D2669" s="30"/>
      <c r="E2669" s="33"/>
      <c r="F2669" s="89"/>
    </row>
    <row r="2670" spans="2:6" s="6" customFormat="1" x14ac:dyDescent="0.3">
      <c r="B2670" s="29"/>
      <c r="C2670" s="29"/>
      <c r="D2670" s="30"/>
      <c r="E2670" s="33"/>
      <c r="F2670" s="89"/>
    </row>
    <row r="2671" spans="2:6" s="6" customFormat="1" x14ac:dyDescent="0.3">
      <c r="B2671" s="29"/>
      <c r="C2671" s="29"/>
      <c r="D2671" s="30"/>
      <c r="E2671" s="33"/>
      <c r="F2671" s="89"/>
    </row>
    <row r="2672" spans="2:6" s="6" customFormat="1" x14ac:dyDescent="0.3">
      <c r="B2672" s="29"/>
      <c r="C2672" s="29"/>
      <c r="D2672" s="30"/>
      <c r="E2672" s="33"/>
      <c r="F2672" s="89"/>
    </row>
    <row r="2673" spans="2:6" s="6" customFormat="1" x14ac:dyDescent="0.3">
      <c r="B2673" s="29"/>
      <c r="C2673" s="29"/>
      <c r="D2673" s="30"/>
      <c r="E2673" s="33"/>
      <c r="F2673" s="89"/>
    </row>
    <row r="2674" spans="2:6" s="6" customFormat="1" x14ac:dyDescent="0.3">
      <c r="B2674" s="29"/>
      <c r="C2674" s="29"/>
      <c r="D2674" s="30"/>
      <c r="E2674" s="33"/>
      <c r="F2674" s="89"/>
    </row>
    <row r="2675" spans="2:6" s="6" customFormat="1" x14ac:dyDescent="0.3">
      <c r="B2675" s="29"/>
      <c r="C2675" s="29"/>
      <c r="D2675" s="30"/>
      <c r="E2675" s="33"/>
      <c r="F2675" s="89"/>
    </row>
    <row r="2676" spans="2:6" s="6" customFormat="1" x14ac:dyDescent="0.3">
      <c r="B2676" s="29"/>
      <c r="C2676" s="29"/>
      <c r="D2676" s="30"/>
      <c r="E2676" s="33"/>
      <c r="F2676" s="89"/>
    </row>
    <row r="2677" spans="2:6" s="6" customFormat="1" x14ac:dyDescent="0.3">
      <c r="B2677" s="29"/>
      <c r="C2677" s="29"/>
      <c r="D2677" s="30"/>
      <c r="E2677" s="33"/>
      <c r="F2677" s="89"/>
    </row>
    <row r="2678" spans="2:6" s="6" customFormat="1" x14ac:dyDescent="0.3">
      <c r="B2678" s="29"/>
      <c r="C2678" s="29"/>
      <c r="D2678" s="30"/>
      <c r="E2678" s="33"/>
      <c r="F2678" s="89"/>
    </row>
    <row r="2679" spans="2:6" s="6" customFormat="1" x14ac:dyDescent="0.3">
      <c r="B2679" s="29"/>
      <c r="C2679" s="29"/>
      <c r="D2679" s="30"/>
      <c r="E2679" s="33"/>
      <c r="F2679" s="89"/>
    </row>
    <row r="2680" spans="2:6" s="6" customFormat="1" x14ac:dyDescent="0.3">
      <c r="B2680" s="29"/>
      <c r="C2680" s="29"/>
      <c r="D2680" s="30"/>
      <c r="E2680" s="33"/>
      <c r="F2680" s="89"/>
    </row>
    <row r="2681" spans="2:6" s="6" customFormat="1" x14ac:dyDescent="0.3">
      <c r="B2681" s="29"/>
      <c r="C2681" s="29"/>
      <c r="D2681" s="30"/>
      <c r="E2681" s="33"/>
      <c r="F2681" s="89"/>
    </row>
    <row r="2682" spans="2:6" s="6" customFormat="1" x14ac:dyDescent="0.3">
      <c r="B2682" s="29"/>
      <c r="C2682" s="29"/>
      <c r="D2682" s="30"/>
      <c r="E2682" s="33"/>
      <c r="F2682" s="89"/>
    </row>
    <row r="2683" spans="2:6" s="6" customFormat="1" x14ac:dyDescent="0.3">
      <c r="B2683" s="29"/>
      <c r="C2683" s="29"/>
      <c r="D2683" s="30"/>
      <c r="E2683" s="33"/>
      <c r="F2683" s="89"/>
    </row>
    <row r="2684" spans="2:6" s="6" customFormat="1" x14ac:dyDescent="0.3">
      <c r="B2684" s="29"/>
      <c r="C2684" s="29"/>
      <c r="D2684" s="30"/>
      <c r="E2684" s="33"/>
      <c r="F2684" s="89"/>
    </row>
    <row r="2685" spans="2:6" s="6" customFormat="1" x14ac:dyDescent="0.3">
      <c r="B2685" s="29"/>
      <c r="C2685" s="29"/>
      <c r="D2685" s="30"/>
      <c r="E2685" s="33"/>
      <c r="F2685" s="89"/>
    </row>
    <row r="2686" spans="2:6" s="6" customFormat="1" x14ac:dyDescent="0.3">
      <c r="B2686" s="29"/>
      <c r="C2686" s="29"/>
      <c r="D2686" s="30"/>
      <c r="E2686" s="33"/>
      <c r="F2686" s="89"/>
    </row>
    <row r="2687" spans="2:6" s="6" customFormat="1" x14ac:dyDescent="0.3">
      <c r="B2687" s="29"/>
      <c r="C2687" s="29"/>
      <c r="D2687" s="30"/>
      <c r="E2687" s="33"/>
      <c r="F2687" s="89"/>
    </row>
    <row r="2688" spans="2:6" s="6" customFormat="1" x14ac:dyDescent="0.3">
      <c r="B2688" s="29"/>
      <c r="C2688" s="29"/>
      <c r="D2688" s="30"/>
      <c r="E2688" s="33"/>
      <c r="F2688" s="89"/>
    </row>
    <row r="2689" spans="2:6" s="6" customFormat="1" x14ac:dyDescent="0.3">
      <c r="B2689" s="29"/>
      <c r="C2689" s="29"/>
      <c r="D2689" s="30"/>
      <c r="E2689" s="33"/>
      <c r="F2689" s="89"/>
    </row>
    <row r="2690" spans="2:6" s="6" customFormat="1" x14ac:dyDescent="0.3">
      <c r="B2690" s="29"/>
      <c r="C2690" s="29"/>
      <c r="D2690" s="30"/>
      <c r="E2690" s="33"/>
      <c r="F2690" s="89"/>
    </row>
    <row r="2691" spans="2:6" s="6" customFormat="1" x14ac:dyDescent="0.3">
      <c r="B2691" s="29"/>
      <c r="C2691" s="29"/>
      <c r="D2691" s="30"/>
      <c r="E2691" s="33"/>
      <c r="F2691" s="89"/>
    </row>
    <row r="2692" spans="2:6" s="6" customFormat="1" x14ac:dyDescent="0.3">
      <c r="B2692" s="29"/>
      <c r="C2692" s="29"/>
      <c r="D2692" s="30"/>
      <c r="E2692" s="33"/>
      <c r="F2692" s="89"/>
    </row>
    <row r="2693" spans="2:6" s="6" customFormat="1" x14ac:dyDescent="0.3">
      <c r="B2693" s="29"/>
      <c r="C2693" s="29"/>
      <c r="D2693" s="30"/>
      <c r="E2693" s="33"/>
      <c r="F2693" s="89"/>
    </row>
    <row r="2694" spans="2:6" s="6" customFormat="1" x14ac:dyDescent="0.3">
      <c r="B2694" s="29"/>
      <c r="C2694" s="29"/>
      <c r="D2694" s="30"/>
      <c r="E2694" s="33"/>
      <c r="F2694" s="89"/>
    </row>
    <row r="2695" spans="2:6" s="6" customFormat="1" x14ac:dyDescent="0.3">
      <c r="B2695" s="29"/>
      <c r="C2695" s="29"/>
      <c r="D2695" s="30"/>
      <c r="E2695" s="33"/>
      <c r="F2695" s="89"/>
    </row>
    <row r="2696" spans="2:6" s="6" customFormat="1" x14ac:dyDescent="0.3">
      <c r="B2696" s="29"/>
      <c r="C2696" s="29"/>
      <c r="D2696" s="30"/>
      <c r="E2696" s="33"/>
      <c r="F2696" s="89"/>
    </row>
    <row r="2697" spans="2:6" s="6" customFormat="1" x14ac:dyDescent="0.3">
      <c r="B2697" s="29"/>
      <c r="C2697" s="29"/>
      <c r="D2697" s="30"/>
      <c r="E2697" s="33"/>
      <c r="F2697" s="89"/>
    </row>
    <row r="2698" spans="2:6" s="6" customFormat="1" x14ac:dyDescent="0.3">
      <c r="B2698" s="29"/>
      <c r="C2698" s="29"/>
      <c r="D2698" s="30"/>
      <c r="E2698" s="33"/>
      <c r="F2698" s="89"/>
    </row>
    <row r="2699" spans="2:6" s="6" customFormat="1" x14ac:dyDescent="0.3">
      <c r="B2699" s="29"/>
      <c r="C2699" s="29"/>
      <c r="D2699" s="30"/>
      <c r="E2699" s="33"/>
      <c r="F2699" s="89"/>
    </row>
    <row r="2700" spans="2:6" s="6" customFormat="1" x14ac:dyDescent="0.3">
      <c r="B2700" s="29"/>
      <c r="C2700" s="29"/>
      <c r="D2700" s="30"/>
      <c r="E2700" s="33"/>
      <c r="F2700" s="89"/>
    </row>
    <row r="2701" spans="2:6" s="6" customFormat="1" x14ac:dyDescent="0.3">
      <c r="B2701" s="29"/>
      <c r="C2701" s="29"/>
      <c r="D2701" s="30"/>
      <c r="E2701" s="33"/>
      <c r="F2701" s="89"/>
    </row>
    <row r="2702" spans="2:6" s="6" customFormat="1" x14ac:dyDescent="0.3">
      <c r="B2702" s="29"/>
      <c r="C2702" s="29"/>
      <c r="D2702" s="30"/>
      <c r="E2702" s="33"/>
      <c r="F2702" s="89"/>
    </row>
    <row r="2703" spans="2:6" s="6" customFormat="1" x14ac:dyDescent="0.3">
      <c r="B2703" s="29"/>
      <c r="C2703" s="29"/>
      <c r="D2703" s="30"/>
      <c r="E2703" s="33"/>
      <c r="F2703" s="89"/>
    </row>
    <row r="2704" spans="2:6" s="6" customFormat="1" x14ac:dyDescent="0.3">
      <c r="B2704" s="29"/>
      <c r="C2704" s="29"/>
      <c r="D2704" s="30"/>
      <c r="E2704" s="33"/>
      <c r="F2704" s="89"/>
    </row>
    <row r="2705" spans="2:6" s="6" customFormat="1" x14ac:dyDescent="0.3">
      <c r="B2705" s="29"/>
      <c r="C2705" s="29"/>
      <c r="D2705" s="30"/>
      <c r="E2705" s="33"/>
      <c r="F2705" s="89"/>
    </row>
    <row r="2706" spans="2:6" s="6" customFormat="1" x14ac:dyDescent="0.3">
      <c r="B2706" s="29"/>
      <c r="C2706" s="29"/>
      <c r="D2706" s="30"/>
      <c r="E2706" s="33"/>
      <c r="F2706" s="89"/>
    </row>
    <row r="2707" spans="2:6" s="6" customFormat="1" x14ac:dyDescent="0.3">
      <c r="B2707" s="29"/>
      <c r="C2707" s="29"/>
      <c r="D2707" s="30"/>
      <c r="E2707" s="33"/>
      <c r="F2707" s="89"/>
    </row>
    <row r="2708" spans="2:6" s="6" customFormat="1" x14ac:dyDescent="0.3">
      <c r="B2708" s="29"/>
      <c r="C2708" s="29"/>
      <c r="D2708" s="30"/>
      <c r="E2708" s="33"/>
      <c r="F2708" s="89"/>
    </row>
    <row r="2709" spans="2:6" s="6" customFormat="1" x14ac:dyDescent="0.3">
      <c r="B2709" s="29"/>
      <c r="C2709" s="29"/>
      <c r="D2709" s="30"/>
      <c r="E2709" s="33"/>
      <c r="F2709" s="89"/>
    </row>
    <row r="2710" spans="2:6" s="6" customFormat="1" x14ac:dyDescent="0.3">
      <c r="B2710" s="29"/>
      <c r="C2710" s="29"/>
      <c r="D2710" s="30"/>
      <c r="E2710" s="33"/>
      <c r="F2710" s="89"/>
    </row>
    <row r="2711" spans="2:6" s="6" customFormat="1" x14ac:dyDescent="0.3">
      <c r="B2711" s="29"/>
      <c r="C2711" s="29"/>
      <c r="D2711" s="30"/>
      <c r="E2711" s="33"/>
      <c r="F2711" s="89"/>
    </row>
    <row r="2712" spans="2:6" s="6" customFormat="1" x14ac:dyDescent="0.3">
      <c r="B2712" s="29"/>
      <c r="C2712" s="29"/>
      <c r="D2712" s="30"/>
      <c r="E2712" s="33"/>
      <c r="F2712" s="89"/>
    </row>
    <row r="2713" spans="2:6" s="6" customFormat="1" x14ac:dyDescent="0.3">
      <c r="B2713" s="29"/>
      <c r="C2713" s="29"/>
      <c r="D2713" s="30"/>
      <c r="E2713" s="33"/>
      <c r="F2713" s="89"/>
    </row>
    <row r="2714" spans="2:6" s="6" customFormat="1" x14ac:dyDescent="0.3">
      <c r="B2714" s="29"/>
      <c r="C2714" s="29"/>
      <c r="D2714" s="30"/>
      <c r="E2714" s="33"/>
      <c r="F2714" s="89"/>
    </row>
    <row r="2715" spans="2:6" s="6" customFormat="1" x14ac:dyDescent="0.3">
      <c r="B2715" s="29"/>
      <c r="C2715" s="29"/>
      <c r="D2715" s="30"/>
      <c r="E2715" s="33"/>
      <c r="F2715" s="89"/>
    </row>
    <row r="2716" spans="2:6" s="6" customFormat="1" x14ac:dyDescent="0.3">
      <c r="B2716" s="29"/>
      <c r="C2716" s="29"/>
      <c r="D2716" s="30"/>
      <c r="E2716" s="33"/>
      <c r="F2716" s="89"/>
    </row>
    <row r="2717" spans="2:6" s="6" customFormat="1" x14ac:dyDescent="0.3">
      <c r="B2717" s="29"/>
      <c r="C2717" s="29"/>
      <c r="D2717" s="30"/>
      <c r="E2717" s="33"/>
      <c r="F2717" s="89"/>
    </row>
    <row r="2718" spans="2:6" s="6" customFormat="1" x14ac:dyDescent="0.3">
      <c r="B2718" s="29"/>
      <c r="C2718" s="29"/>
      <c r="D2718" s="30"/>
      <c r="E2718" s="33"/>
      <c r="F2718" s="89"/>
    </row>
    <row r="2719" spans="2:6" s="6" customFormat="1" x14ac:dyDescent="0.3">
      <c r="B2719" s="29"/>
      <c r="C2719" s="29"/>
      <c r="D2719" s="30"/>
      <c r="E2719" s="33"/>
      <c r="F2719" s="89"/>
    </row>
    <row r="2720" spans="2:6" s="6" customFormat="1" x14ac:dyDescent="0.3">
      <c r="B2720" s="29"/>
      <c r="C2720" s="29"/>
      <c r="D2720" s="30"/>
      <c r="E2720" s="33"/>
      <c r="F2720" s="89"/>
    </row>
    <row r="2721" spans="2:6" s="6" customFormat="1" x14ac:dyDescent="0.3">
      <c r="B2721" s="29"/>
      <c r="C2721" s="29"/>
      <c r="D2721" s="30"/>
      <c r="E2721" s="33"/>
      <c r="F2721" s="89"/>
    </row>
    <row r="2722" spans="2:6" s="6" customFormat="1" x14ac:dyDescent="0.3">
      <c r="B2722" s="29"/>
      <c r="C2722" s="29"/>
      <c r="D2722" s="30"/>
      <c r="E2722" s="33"/>
      <c r="F2722" s="89"/>
    </row>
    <row r="2723" spans="2:6" s="6" customFormat="1" x14ac:dyDescent="0.3">
      <c r="B2723" s="29"/>
      <c r="C2723" s="29"/>
      <c r="D2723" s="30"/>
      <c r="E2723" s="33"/>
      <c r="F2723" s="89"/>
    </row>
    <row r="2724" spans="2:6" s="6" customFormat="1" x14ac:dyDescent="0.3">
      <c r="B2724" s="29"/>
      <c r="C2724" s="29"/>
      <c r="D2724" s="30"/>
      <c r="E2724" s="33"/>
      <c r="F2724" s="89"/>
    </row>
    <row r="2725" spans="2:6" s="6" customFormat="1" x14ac:dyDescent="0.3">
      <c r="B2725" s="29"/>
      <c r="C2725" s="29"/>
      <c r="D2725" s="30"/>
      <c r="E2725" s="33"/>
      <c r="F2725" s="89"/>
    </row>
    <row r="2726" spans="2:6" s="6" customFormat="1" x14ac:dyDescent="0.3">
      <c r="B2726" s="29"/>
      <c r="C2726" s="29"/>
      <c r="D2726" s="30"/>
      <c r="E2726" s="33"/>
      <c r="F2726" s="89"/>
    </row>
    <row r="2727" spans="2:6" s="6" customFormat="1" x14ac:dyDescent="0.3">
      <c r="B2727" s="29"/>
      <c r="C2727" s="29"/>
      <c r="D2727" s="30"/>
      <c r="E2727" s="33"/>
      <c r="F2727" s="89"/>
    </row>
    <row r="2728" spans="2:6" s="6" customFormat="1" x14ac:dyDescent="0.3">
      <c r="B2728" s="29"/>
      <c r="C2728" s="29"/>
      <c r="D2728" s="30"/>
      <c r="E2728" s="33"/>
      <c r="F2728" s="89"/>
    </row>
    <row r="2729" spans="2:6" s="6" customFormat="1" x14ac:dyDescent="0.3">
      <c r="B2729" s="29"/>
      <c r="C2729" s="29"/>
      <c r="D2729" s="30"/>
      <c r="E2729" s="33"/>
      <c r="F2729" s="89"/>
    </row>
    <row r="2730" spans="2:6" s="6" customFormat="1" x14ac:dyDescent="0.3">
      <c r="B2730" s="29"/>
      <c r="C2730" s="29"/>
      <c r="D2730" s="30"/>
      <c r="E2730" s="33"/>
      <c r="F2730" s="89"/>
    </row>
    <row r="2731" spans="2:6" s="6" customFormat="1" x14ac:dyDescent="0.3">
      <c r="B2731" s="29"/>
      <c r="C2731" s="29"/>
      <c r="D2731" s="30"/>
      <c r="E2731" s="33"/>
      <c r="F2731" s="89"/>
    </row>
    <row r="2732" spans="2:6" s="6" customFormat="1" x14ac:dyDescent="0.3">
      <c r="B2732" s="29"/>
      <c r="C2732" s="29"/>
      <c r="D2732" s="30"/>
      <c r="E2732" s="33"/>
      <c r="F2732" s="89"/>
    </row>
    <row r="2733" spans="2:6" s="6" customFormat="1" x14ac:dyDescent="0.3">
      <c r="B2733" s="29"/>
      <c r="C2733" s="29"/>
      <c r="D2733" s="30"/>
      <c r="E2733" s="33"/>
      <c r="F2733" s="89"/>
    </row>
    <row r="2734" spans="2:6" s="6" customFormat="1" x14ac:dyDescent="0.3">
      <c r="B2734" s="29"/>
      <c r="C2734" s="29"/>
      <c r="D2734" s="30"/>
      <c r="E2734" s="33"/>
      <c r="F2734" s="89"/>
    </row>
    <row r="2735" spans="2:6" s="6" customFormat="1" x14ac:dyDescent="0.3">
      <c r="B2735" s="29"/>
      <c r="C2735" s="29"/>
      <c r="D2735" s="30"/>
      <c r="E2735" s="33"/>
      <c r="F2735" s="89"/>
    </row>
    <row r="2736" spans="2:6" s="6" customFormat="1" x14ac:dyDescent="0.3">
      <c r="B2736" s="29"/>
      <c r="C2736" s="29"/>
      <c r="D2736" s="30"/>
      <c r="E2736" s="33"/>
      <c r="F2736" s="89"/>
    </row>
    <row r="2737" spans="2:6" s="6" customFormat="1" x14ac:dyDescent="0.3">
      <c r="B2737" s="29"/>
      <c r="C2737" s="29"/>
      <c r="D2737" s="30"/>
      <c r="E2737" s="33"/>
      <c r="F2737" s="89"/>
    </row>
    <row r="2738" spans="2:6" s="6" customFormat="1" x14ac:dyDescent="0.3">
      <c r="B2738" s="29"/>
      <c r="C2738" s="29"/>
      <c r="D2738" s="30"/>
      <c r="E2738" s="33"/>
      <c r="F2738" s="89"/>
    </row>
    <row r="2739" spans="2:6" s="6" customFormat="1" x14ac:dyDescent="0.3">
      <c r="B2739" s="29"/>
      <c r="C2739" s="29"/>
      <c r="D2739" s="30"/>
      <c r="E2739" s="33"/>
      <c r="F2739" s="89"/>
    </row>
    <row r="2740" spans="2:6" s="6" customFormat="1" x14ac:dyDescent="0.3">
      <c r="B2740" s="29"/>
      <c r="C2740" s="29"/>
      <c r="D2740" s="30"/>
      <c r="E2740" s="33"/>
      <c r="F2740" s="89"/>
    </row>
    <row r="2741" spans="2:6" s="6" customFormat="1" x14ac:dyDescent="0.3">
      <c r="B2741" s="29"/>
      <c r="C2741" s="29"/>
      <c r="D2741" s="30"/>
      <c r="E2741" s="33"/>
      <c r="F2741" s="89"/>
    </row>
    <row r="2742" spans="2:6" s="6" customFormat="1" x14ac:dyDescent="0.3">
      <c r="B2742" s="29"/>
      <c r="C2742" s="29"/>
      <c r="D2742" s="30"/>
      <c r="E2742" s="33"/>
      <c r="F2742" s="89"/>
    </row>
    <row r="2743" spans="2:6" s="6" customFormat="1" x14ac:dyDescent="0.3">
      <c r="B2743" s="29"/>
      <c r="C2743" s="29"/>
      <c r="D2743" s="30"/>
      <c r="E2743" s="33"/>
      <c r="F2743" s="89"/>
    </row>
    <row r="2744" spans="2:6" s="6" customFormat="1" x14ac:dyDescent="0.3">
      <c r="B2744" s="29"/>
      <c r="C2744" s="29"/>
      <c r="D2744" s="30"/>
      <c r="E2744" s="33"/>
      <c r="F2744" s="89"/>
    </row>
    <row r="2745" spans="2:6" s="6" customFormat="1" x14ac:dyDescent="0.3">
      <c r="B2745" s="29"/>
      <c r="C2745" s="29"/>
      <c r="D2745" s="30"/>
      <c r="E2745" s="33"/>
      <c r="F2745" s="89"/>
    </row>
    <row r="2746" spans="2:6" s="6" customFormat="1" x14ac:dyDescent="0.3">
      <c r="B2746" s="29"/>
      <c r="C2746" s="29"/>
      <c r="D2746" s="30"/>
      <c r="E2746" s="33"/>
      <c r="F2746" s="89"/>
    </row>
    <row r="2747" spans="2:6" s="6" customFormat="1" x14ac:dyDescent="0.3">
      <c r="B2747" s="29"/>
      <c r="C2747" s="29"/>
      <c r="D2747" s="30"/>
      <c r="E2747" s="33"/>
      <c r="F2747" s="89"/>
    </row>
    <row r="2748" spans="2:6" s="6" customFormat="1" x14ac:dyDescent="0.3">
      <c r="B2748" s="29"/>
      <c r="C2748" s="29"/>
      <c r="D2748" s="30"/>
      <c r="E2748" s="33"/>
      <c r="F2748" s="89"/>
    </row>
    <row r="2749" spans="2:6" s="6" customFormat="1" x14ac:dyDescent="0.3">
      <c r="B2749" s="29"/>
      <c r="C2749" s="29"/>
      <c r="D2749" s="30"/>
      <c r="E2749" s="33"/>
      <c r="F2749" s="89"/>
    </row>
    <row r="2750" spans="2:6" s="6" customFormat="1" x14ac:dyDescent="0.3">
      <c r="B2750" s="29"/>
      <c r="C2750" s="29"/>
      <c r="D2750" s="30"/>
      <c r="E2750" s="33"/>
      <c r="F2750" s="89"/>
    </row>
    <row r="2751" spans="2:6" s="6" customFormat="1" x14ac:dyDescent="0.3">
      <c r="B2751" s="29"/>
      <c r="C2751" s="29"/>
      <c r="D2751" s="30"/>
      <c r="E2751" s="33"/>
      <c r="F2751" s="89"/>
    </row>
    <row r="2752" spans="2:6" s="6" customFormat="1" x14ac:dyDescent="0.3">
      <c r="B2752" s="29"/>
      <c r="C2752" s="29"/>
      <c r="D2752" s="30"/>
      <c r="E2752" s="33"/>
      <c r="F2752" s="89"/>
    </row>
    <row r="2753" spans="2:6" s="6" customFormat="1" x14ac:dyDescent="0.3">
      <c r="B2753" s="29"/>
      <c r="C2753" s="29"/>
      <c r="D2753" s="30"/>
      <c r="E2753" s="33"/>
      <c r="F2753" s="89"/>
    </row>
    <row r="2754" spans="2:6" s="6" customFormat="1" x14ac:dyDescent="0.3">
      <c r="B2754" s="29"/>
      <c r="C2754" s="29"/>
      <c r="D2754" s="30"/>
      <c r="E2754" s="33"/>
      <c r="F2754" s="89"/>
    </row>
    <row r="2755" spans="2:6" s="6" customFormat="1" x14ac:dyDescent="0.3">
      <c r="B2755" s="29"/>
      <c r="C2755" s="29"/>
      <c r="D2755" s="30"/>
      <c r="E2755" s="33"/>
      <c r="F2755" s="89"/>
    </row>
    <row r="2756" spans="2:6" s="6" customFormat="1" x14ac:dyDescent="0.3">
      <c r="B2756" s="29"/>
      <c r="C2756" s="29"/>
      <c r="D2756" s="30"/>
      <c r="E2756" s="33"/>
      <c r="F2756" s="89"/>
    </row>
    <row r="2757" spans="2:6" s="6" customFormat="1" x14ac:dyDescent="0.3">
      <c r="B2757" s="29"/>
      <c r="C2757" s="29"/>
      <c r="D2757" s="30"/>
      <c r="E2757" s="33"/>
      <c r="F2757" s="89"/>
    </row>
    <row r="2758" spans="2:6" s="6" customFormat="1" x14ac:dyDescent="0.3">
      <c r="B2758" s="29"/>
      <c r="C2758" s="29"/>
      <c r="D2758" s="30"/>
      <c r="E2758" s="33"/>
      <c r="F2758" s="89"/>
    </row>
    <row r="2759" spans="2:6" s="6" customFormat="1" x14ac:dyDescent="0.3">
      <c r="B2759" s="29"/>
      <c r="C2759" s="29"/>
      <c r="D2759" s="30"/>
      <c r="E2759" s="33"/>
      <c r="F2759" s="89"/>
    </row>
    <row r="2760" spans="2:6" s="6" customFormat="1" x14ac:dyDescent="0.3">
      <c r="B2760" s="29"/>
      <c r="C2760" s="29"/>
      <c r="D2760" s="30"/>
      <c r="E2760" s="33"/>
      <c r="F2760" s="89"/>
    </row>
    <row r="2761" spans="2:6" s="6" customFormat="1" x14ac:dyDescent="0.3">
      <c r="B2761" s="29"/>
      <c r="C2761" s="29"/>
      <c r="D2761" s="30"/>
      <c r="E2761" s="33"/>
      <c r="F2761" s="89"/>
    </row>
    <row r="2762" spans="2:6" s="6" customFormat="1" x14ac:dyDescent="0.3">
      <c r="B2762" s="29"/>
      <c r="C2762" s="29"/>
      <c r="D2762" s="30"/>
      <c r="E2762" s="33"/>
      <c r="F2762" s="89"/>
    </row>
    <row r="2763" spans="2:6" s="6" customFormat="1" x14ac:dyDescent="0.3">
      <c r="B2763" s="29"/>
      <c r="C2763" s="29"/>
      <c r="D2763" s="30"/>
      <c r="E2763" s="33"/>
      <c r="F2763" s="89"/>
    </row>
    <row r="2764" spans="2:6" s="6" customFormat="1" x14ac:dyDescent="0.3">
      <c r="B2764" s="29"/>
      <c r="C2764" s="29"/>
      <c r="D2764" s="30"/>
      <c r="E2764" s="33"/>
      <c r="F2764" s="89"/>
    </row>
    <row r="2765" spans="2:6" s="6" customFormat="1" x14ac:dyDescent="0.3">
      <c r="B2765" s="29"/>
      <c r="C2765" s="29"/>
      <c r="D2765" s="30"/>
      <c r="E2765" s="33"/>
      <c r="F2765" s="89"/>
    </row>
    <row r="2766" spans="2:6" s="6" customFormat="1" x14ac:dyDescent="0.3">
      <c r="B2766" s="29"/>
      <c r="C2766" s="29"/>
      <c r="D2766" s="30"/>
      <c r="E2766" s="33"/>
      <c r="F2766" s="89"/>
    </row>
    <row r="2767" spans="2:6" s="6" customFormat="1" x14ac:dyDescent="0.3">
      <c r="B2767" s="29"/>
      <c r="C2767" s="29"/>
      <c r="D2767" s="30"/>
      <c r="E2767" s="33"/>
      <c r="F2767" s="89"/>
    </row>
    <row r="2768" spans="2:6" s="6" customFormat="1" x14ac:dyDescent="0.3">
      <c r="B2768" s="29"/>
      <c r="C2768" s="29"/>
      <c r="D2768" s="30"/>
      <c r="E2768" s="33"/>
      <c r="F2768" s="89"/>
    </row>
    <row r="2769" spans="2:6" s="6" customFormat="1" x14ac:dyDescent="0.3">
      <c r="B2769" s="29"/>
      <c r="C2769" s="29"/>
      <c r="D2769" s="30"/>
      <c r="E2769" s="33"/>
      <c r="F2769" s="89"/>
    </row>
    <row r="2770" spans="2:6" s="6" customFormat="1" x14ac:dyDescent="0.3">
      <c r="B2770" s="29"/>
      <c r="C2770" s="29"/>
      <c r="D2770" s="30"/>
      <c r="E2770" s="33"/>
      <c r="F2770" s="89"/>
    </row>
    <row r="2771" spans="2:6" s="6" customFormat="1" x14ac:dyDescent="0.3">
      <c r="B2771" s="29"/>
      <c r="C2771" s="29"/>
      <c r="D2771" s="30"/>
      <c r="E2771" s="33"/>
      <c r="F2771" s="89"/>
    </row>
    <row r="2772" spans="2:6" s="6" customFormat="1" x14ac:dyDescent="0.3">
      <c r="B2772" s="29"/>
      <c r="C2772" s="29"/>
      <c r="D2772" s="30"/>
      <c r="E2772" s="33"/>
      <c r="F2772" s="89"/>
    </row>
    <row r="2773" spans="2:6" s="6" customFormat="1" x14ac:dyDescent="0.3">
      <c r="B2773" s="29"/>
      <c r="C2773" s="29"/>
      <c r="D2773" s="30"/>
      <c r="E2773" s="33"/>
      <c r="F2773" s="89"/>
    </row>
    <row r="2774" spans="2:6" s="6" customFormat="1" x14ac:dyDescent="0.3">
      <c r="B2774" s="29"/>
      <c r="C2774" s="29"/>
      <c r="D2774" s="30"/>
      <c r="E2774" s="33"/>
      <c r="F2774" s="89"/>
    </row>
    <row r="2775" spans="2:6" s="6" customFormat="1" x14ac:dyDescent="0.3">
      <c r="B2775" s="29"/>
      <c r="C2775" s="29"/>
      <c r="D2775" s="30"/>
      <c r="E2775" s="33"/>
      <c r="F2775" s="89"/>
    </row>
    <row r="2776" spans="2:6" s="6" customFormat="1" x14ac:dyDescent="0.3">
      <c r="B2776" s="29"/>
      <c r="C2776" s="29"/>
      <c r="D2776" s="30"/>
      <c r="E2776" s="33"/>
      <c r="F2776" s="89"/>
    </row>
    <row r="2777" spans="2:6" s="6" customFormat="1" x14ac:dyDescent="0.3">
      <c r="B2777" s="29"/>
      <c r="C2777" s="29"/>
      <c r="D2777" s="30"/>
      <c r="E2777" s="33"/>
      <c r="F2777" s="89"/>
    </row>
    <row r="2778" spans="2:6" s="6" customFormat="1" x14ac:dyDescent="0.3">
      <c r="B2778" s="29"/>
      <c r="C2778" s="29"/>
      <c r="D2778" s="30"/>
      <c r="E2778" s="33"/>
      <c r="F2778" s="89"/>
    </row>
    <row r="2779" spans="2:6" s="6" customFormat="1" x14ac:dyDescent="0.3">
      <c r="B2779" s="29"/>
      <c r="C2779" s="29"/>
      <c r="D2779" s="30"/>
      <c r="E2779" s="33"/>
      <c r="F2779" s="89"/>
    </row>
    <row r="2780" spans="2:6" s="6" customFormat="1" x14ac:dyDescent="0.3">
      <c r="B2780" s="29"/>
      <c r="C2780" s="29"/>
      <c r="D2780" s="30"/>
      <c r="E2780" s="33"/>
      <c r="F2780" s="89"/>
    </row>
    <row r="2781" spans="2:6" s="6" customFormat="1" x14ac:dyDescent="0.3">
      <c r="B2781" s="29"/>
      <c r="C2781" s="29"/>
      <c r="D2781" s="30"/>
      <c r="E2781" s="33"/>
      <c r="F2781" s="89"/>
    </row>
    <row r="2782" spans="2:6" s="6" customFormat="1" x14ac:dyDescent="0.3">
      <c r="B2782" s="29"/>
      <c r="C2782" s="29"/>
      <c r="D2782" s="30"/>
      <c r="E2782" s="33"/>
      <c r="F2782" s="89"/>
    </row>
    <row r="2783" spans="2:6" s="6" customFormat="1" x14ac:dyDescent="0.3">
      <c r="B2783" s="29"/>
      <c r="C2783" s="29"/>
      <c r="D2783" s="30"/>
      <c r="E2783" s="33"/>
      <c r="F2783" s="89"/>
    </row>
    <row r="2784" spans="2:6" s="6" customFormat="1" x14ac:dyDescent="0.3">
      <c r="B2784" s="29"/>
      <c r="C2784" s="29"/>
      <c r="D2784" s="30"/>
      <c r="E2784" s="33"/>
      <c r="F2784" s="89"/>
    </row>
    <row r="2785" spans="2:6" s="6" customFormat="1" x14ac:dyDescent="0.3">
      <c r="B2785" s="29"/>
      <c r="C2785" s="29"/>
      <c r="D2785" s="30"/>
      <c r="E2785" s="33"/>
      <c r="F2785" s="89"/>
    </row>
    <row r="2786" spans="2:6" s="6" customFormat="1" x14ac:dyDescent="0.3">
      <c r="B2786" s="29"/>
      <c r="C2786" s="29"/>
      <c r="D2786" s="30"/>
      <c r="E2786" s="33"/>
      <c r="F2786" s="89"/>
    </row>
    <row r="2787" spans="2:6" s="6" customFormat="1" x14ac:dyDescent="0.3">
      <c r="B2787" s="29"/>
      <c r="C2787" s="29"/>
      <c r="D2787" s="30"/>
      <c r="E2787" s="33"/>
      <c r="F2787" s="89"/>
    </row>
    <row r="2788" spans="2:6" s="6" customFormat="1" x14ac:dyDescent="0.3">
      <c r="B2788" s="29"/>
      <c r="C2788" s="29"/>
      <c r="D2788" s="30"/>
      <c r="E2788" s="33"/>
      <c r="F2788" s="89"/>
    </row>
    <row r="2789" spans="2:6" s="6" customFormat="1" x14ac:dyDescent="0.3">
      <c r="B2789" s="29"/>
      <c r="C2789" s="29"/>
      <c r="D2789" s="30"/>
      <c r="E2789" s="33"/>
      <c r="F2789" s="89"/>
    </row>
    <row r="2790" spans="2:6" s="6" customFormat="1" x14ac:dyDescent="0.3">
      <c r="B2790" s="29"/>
      <c r="C2790" s="29"/>
      <c r="D2790" s="30"/>
      <c r="E2790" s="33"/>
      <c r="F2790" s="89"/>
    </row>
    <row r="2791" spans="2:6" s="6" customFormat="1" x14ac:dyDescent="0.3">
      <c r="B2791" s="29"/>
      <c r="C2791" s="29"/>
      <c r="D2791" s="30"/>
      <c r="E2791" s="33"/>
      <c r="F2791" s="89"/>
    </row>
    <row r="2792" spans="2:6" s="6" customFormat="1" x14ac:dyDescent="0.3">
      <c r="B2792" s="29"/>
      <c r="C2792" s="29"/>
      <c r="D2792" s="30"/>
      <c r="E2792" s="33"/>
      <c r="F2792" s="89"/>
    </row>
    <row r="2793" spans="2:6" s="6" customFormat="1" x14ac:dyDescent="0.3">
      <c r="B2793" s="29"/>
      <c r="C2793" s="29"/>
      <c r="D2793" s="30"/>
      <c r="E2793" s="33"/>
      <c r="F2793" s="89"/>
    </row>
    <row r="2794" spans="2:6" s="6" customFormat="1" x14ac:dyDescent="0.3">
      <c r="B2794" s="29"/>
      <c r="C2794" s="29"/>
      <c r="D2794" s="30"/>
      <c r="E2794" s="33"/>
      <c r="F2794" s="89"/>
    </row>
    <row r="2795" spans="2:6" s="6" customFormat="1" x14ac:dyDescent="0.3">
      <c r="B2795" s="29"/>
      <c r="C2795" s="29"/>
      <c r="D2795" s="30"/>
      <c r="E2795" s="33"/>
      <c r="F2795" s="89"/>
    </row>
    <row r="2796" spans="2:6" s="6" customFormat="1" x14ac:dyDescent="0.3">
      <c r="B2796" s="29"/>
      <c r="C2796" s="29"/>
      <c r="D2796" s="30"/>
      <c r="E2796" s="33"/>
      <c r="F2796" s="89"/>
    </row>
    <row r="2797" spans="2:6" s="6" customFormat="1" x14ac:dyDescent="0.3">
      <c r="B2797" s="29"/>
      <c r="C2797" s="29"/>
      <c r="D2797" s="30"/>
      <c r="E2797" s="33"/>
      <c r="F2797" s="89"/>
    </row>
    <row r="2798" spans="2:6" s="6" customFormat="1" x14ac:dyDescent="0.3">
      <c r="B2798" s="29"/>
      <c r="C2798" s="29"/>
      <c r="D2798" s="30"/>
      <c r="E2798" s="33"/>
      <c r="F2798" s="89"/>
    </row>
    <row r="2799" spans="2:6" s="6" customFormat="1" x14ac:dyDescent="0.3">
      <c r="B2799" s="29"/>
      <c r="C2799" s="29"/>
      <c r="D2799" s="30"/>
      <c r="E2799" s="33"/>
      <c r="F2799" s="89"/>
    </row>
    <row r="2800" spans="2:6" s="6" customFormat="1" x14ac:dyDescent="0.3">
      <c r="B2800" s="29"/>
      <c r="C2800" s="29"/>
      <c r="D2800" s="30"/>
      <c r="E2800" s="33"/>
      <c r="F2800" s="89"/>
    </row>
    <row r="2801" spans="2:6" s="6" customFormat="1" x14ac:dyDescent="0.3">
      <c r="B2801" s="29"/>
      <c r="C2801" s="29"/>
      <c r="D2801" s="30"/>
      <c r="E2801" s="33"/>
      <c r="F2801" s="89"/>
    </row>
    <row r="2802" spans="2:6" s="6" customFormat="1" x14ac:dyDescent="0.3">
      <c r="B2802" s="29"/>
      <c r="C2802" s="29"/>
      <c r="D2802" s="30"/>
      <c r="E2802" s="33"/>
      <c r="F2802" s="89"/>
    </row>
    <row r="2803" spans="2:6" s="6" customFormat="1" x14ac:dyDescent="0.3">
      <c r="B2803" s="29"/>
      <c r="C2803" s="29"/>
      <c r="D2803" s="30"/>
      <c r="E2803" s="33"/>
      <c r="F2803" s="89"/>
    </row>
    <row r="2804" spans="2:6" s="6" customFormat="1" x14ac:dyDescent="0.3">
      <c r="B2804" s="29"/>
      <c r="C2804" s="29"/>
      <c r="D2804" s="30"/>
      <c r="E2804" s="33"/>
      <c r="F2804" s="89"/>
    </row>
    <row r="2805" spans="2:6" s="6" customFormat="1" x14ac:dyDescent="0.3">
      <c r="B2805" s="29"/>
      <c r="C2805" s="29"/>
      <c r="D2805" s="30"/>
      <c r="E2805" s="33"/>
      <c r="F2805" s="89"/>
    </row>
    <row r="2806" spans="2:6" s="6" customFormat="1" x14ac:dyDescent="0.3">
      <c r="B2806" s="29"/>
      <c r="C2806" s="29"/>
      <c r="D2806" s="30"/>
      <c r="E2806" s="33"/>
      <c r="F2806" s="89"/>
    </row>
    <row r="2807" spans="2:6" s="6" customFormat="1" x14ac:dyDescent="0.3">
      <c r="B2807" s="29"/>
      <c r="C2807" s="29"/>
      <c r="D2807" s="30"/>
      <c r="E2807" s="33"/>
      <c r="F2807" s="89"/>
    </row>
    <row r="2808" spans="2:6" s="6" customFormat="1" x14ac:dyDescent="0.3">
      <c r="B2808" s="29"/>
      <c r="C2808" s="29"/>
      <c r="D2808" s="30"/>
      <c r="E2808" s="33"/>
      <c r="F2808" s="89"/>
    </row>
    <row r="2809" spans="2:6" s="6" customFormat="1" x14ac:dyDescent="0.3">
      <c r="B2809" s="29"/>
      <c r="C2809" s="29"/>
      <c r="D2809" s="30"/>
      <c r="E2809" s="33"/>
      <c r="F2809" s="89"/>
    </row>
    <row r="2810" spans="2:6" s="6" customFormat="1" x14ac:dyDescent="0.3">
      <c r="B2810" s="29"/>
      <c r="C2810" s="29"/>
      <c r="D2810" s="30"/>
      <c r="E2810" s="33"/>
      <c r="F2810" s="89"/>
    </row>
    <row r="2811" spans="2:6" s="6" customFormat="1" x14ac:dyDescent="0.3">
      <c r="B2811" s="29"/>
      <c r="C2811" s="29"/>
      <c r="D2811" s="30"/>
      <c r="E2811" s="33"/>
      <c r="F2811" s="89"/>
    </row>
    <row r="2812" spans="2:6" s="6" customFormat="1" x14ac:dyDescent="0.3">
      <c r="B2812" s="29"/>
      <c r="C2812" s="29"/>
      <c r="D2812" s="30"/>
      <c r="E2812" s="33"/>
      <c r="F2812" s="89"/>
    </row>
    <row r="2813" spans="2:6" s="6" customFormat="1" x14ac:dyDescent="0.3">
      <c r="B2813" s="29"/>
      <c r="C2813" s="29"/>
      <c r="D2813" s="30"/>
      <c r="E2813" s="33"/>
      <c r="F2813" s="89"/>
    </row>
    <row r="2814" spans="2:6" s="6" customFormat="1" x14ac:dyDescent="0.3">
      <c r="B2814" s="29"/>
      <c r="C2814" s="29"/>
      <c r="D2814" s="30"/>
      <c r="E2814" s="33"/>
      <c r="F2814" s="89"/>
    </row>
    <row r="2815" spans="2:6" s="6" customFormat="1" x14ac:dyDescent="0.3">
      <c r="B2815" s="29"/>
      <c r="C2815" s="29"/>
      <c r="D2815" s="30"/>
      <c r="E2815" s="33"/>
      <c r="F2815" s="89"/>
    </row>
    <row r="2816" spans="2:6" s="6" customFormat="1" x14ac:dyDescent="0.3">
      <c r="B2816" s="29"/>
      <c r="C2816" s="29"/>
      <c r="D2816" s="30"/>
      <c r="E2816" s="33"/>
      <c r="F2816" s="89"/>
    </row>
    <row r="2817" spans="2:6" s="6" customFormat="1" x14ac:dyDescent="0.3">
      <c r="B2817" s="29"/>
      <c r="C2817" s="29"/>
      <c r="D2817" s="30"/>
      <c r="E2817" s="33"/>
      <c r="F2817" s="89"/>
    </row>
    <row r="2818" spans="2:6" s="6" customFormat="1" x14ac:dyDescent="0.3">
      <c r="B2818" s="29"/>
      <c r="C2818" s="29"/>
      <c r="D2818" s="30"/>
      <c r="E2818" s="33"/>
      <c r="F2818" s="89"/>
    </row>
    <row r="2819" spans="2:6" s="6" customFormat="1" x14ac:dyDescent="0.3">
      <c r="B2819" s="29"/>
      <c r="C2819" s="29"/>
      <c r="D2819" s="30"/>
      <c r="E2819" s="33"/>
      <c r="F2819" s="89"/>
    </row>
    <row r="2820" spans="2:6" s="6" customFormat="1" x14ac:dyDescent="0.3">
      <c r="B2820" s="29"/>
      <c r="C2820" s="29"/>
      <c r="D2820" s="30"/>
      <c r="E2820" s="33"/>
      <c r="F2820" s="89"/>
    </row>
    <row r="2821" spans="2:6" s="6" customFormat="1" x14ac:dyDescent="0.3">
      <c r="B2821" s="29"/>
      <c r="C2821" s="29"/>
      <c r="D2821" s="30"/>
      <c r="E2821" s="33"/>
      <c r="F2821" s="89"/>
    </row>
    <row r="2822" spans="2:6" s="6" customFormat="1" x14ac:dyDescent="0.3">
      <c r="B2822" s="29"/>
      <c r="C2822" s="29"/>
      <c r="D2822" s="30"/>
      <c r="E2822" s="33"/>
      <c r="F2822" s="89"/>
    </row>
    <row r="2823" spans="2:6" s="6" customFormat="1" x14ac:dyDescent="0.3">
      <c r="B2823" s="29"/>
      <c r="C2823" s="29"/>
      <c r="D2823" s="30"/>
      <c r="E2823" s="33"/>
      <c r="F2823" s="89"/>
    </row>
    <row r="2824" spans="2:6" s="6" customFormat="1" x14ac:dyDescent="0.3">
      <c r="B2824" s="29"/>
      <c r="C2824" s="29"/>
      <c r="D2824" s="30"/>
      <c r="E2824" s="33"/>
      <c r="F2824" s="89"/>
    </row>
    <row r="2825" spans="2:6" s="6" customFormat="1" x14ac:dyDescent="0.3">
      <c r="B2825" s="29"/>
      <c r="C2825" s="29"/>
      <c r="D2825" s="30"/>
      <c r="E2825" s="33"/>
      <c r="F2825" s="89"/>
    </row>
    <row r="2826" spans="2:6" s="6" customFormat="1" x14ac:dyDescent="0.3">
      <c r="B2826" s="29"/>
      <c r="C2826" s="29"/>
      <c r="D2826" s="30"/>
      <c r="E2826" s="33"/>
      <c r="F2826" s="89"/>
    </row>
    <row r="2827" spans="2:6" s="6" customFormat="1" x14ac:dyDescent="0.3">
      <c r="B2827" s="29"/>
      <c r="C2827" s="29"/>
      <c r="D2827" s="30"/>
      <c r="E2827" s="33"/>
      <c r="F2827" s="89"/>
    </row>
    <row r="2828" spans="2:6" s="6" customFormat="1" x14ac:dyDescent="0.3">
      <c r="B2828" s="29"/>
      <c r="C2828" s="29"/>
      <c r="D2828" s="30"/>
      <c r="E2828" s="33"/>
      <c r="F2828" s="89"/>
    </row>
    <row r="2829" spans="2:6" s="6" customFormat="1" x14ac:dyDescent="0.3">
      <c r="B2829" s="29"/>
      <c r="C2829" s="29"/>
      <c r="D2829" s="30"/>
      <c r="E2829" s="33"/>
      <c r="F2829" s="89"/>
    </row>
    <row r="2830" spans="2:6" s="6" customFormat="1" x14ac:dyDescent="0.3">
      <c r="B2830" s="29"/>
      <c r="C2830" s="29"/>
      <c r="D2830" s="30"/>
      <c r="E2830" s="33"/>
      <c r="F2830" s="89"/>
    </row>
    <row r="2831" spans="2:6" s="6" customFormat="1" x14ac:dyDescent="0.3">
      <c r="B2831" s="29"/>
      <c r="C2831" s="29"/>
      <c r="D2831" s="30"/>
      <c r="E2831" s="33"/>
      <c r="F2831" s="89"/>
    </row>
    <row r="2832" spans="2:6" s="6" customFormat="1" x14ac:dyDescent="0.3">
      <c r="B2832" s="29"/>
      <c r="C2832" s="29"/>
      <c r="D2832" s="30"/>
      <c r="E2832" s="33"/>
      <c r="F2832" s="89"/>
    </row>
    <row r="2833" spans="2:6" s="6" customFormat="1" x14ac:dyDescent="0.3">
      <c r="B2833" s="29"/>
      <c r="C2833" s="29"/>
      <c r="D2833" s="30"/>
      <c r="E2833" s="33"/>
      <c r="F2833" s="89"/>
    </row>
    <row r="2834" spans="2:6" s="6" customFormat="1" x14ac:dyDescent="0.3">
      <c r="B2834" s="29"/>
      <c r="C2834" s="29"/>
      <c r="D2834" s="30"/>
      <c r="E2834" s="33"/>
      <c r="F2834" s="89"/>
    </row>
    <row r="2835" spans="2:6" s="6" customFormat="1" x14ac:dyDescent="0.3">
      <c r="B2835" s="29"/>
      <c r="C2835" s="29"/>
      <c r="D2835" s="30"/>
      <c r="E2835" s="33"/>
      <c r="F2835" s="89"/>
    </row>
    <row r="2836" spans="2:6" s="6" customFormat="1" x14ac:dyDescent="0.3">
      <c r="B2836" s="29"/>
      <c r="C2836" s="29"/>
      <c r="D2836" s="30"/>
      <c r="E2836" s="33"/>
      <c r="F2836" s="89"/>
    </row>
    <row r="2837" spans="2:6" s="6" customFormat="1" x14ac:dyDescent="0.3">
      <c r="B2837" s="29"/>
      <c r="C2837" s="29"/>
      <c r="D2837" s="30"/>
      <c r="E2837" s="33"/>
      <c r="F2837" s="89"/>
    </row>
    <row r="2838" spans="2:6" s="6" customFormat="1" x14ac:dyDescent="0.3">
      <c r="B2838" s="29"/>
      <c r="C2838" s="29"/>
      <c r="D2838" s="30"/>
      <c r="E2838" s="33"/>
      <c r="F2838" s="89"/>
    </row>
    <row r="2839" spans="2:6" s="6" customFormat="1" x14ac:dyDescent="0.3">
      <c r="B2839" s="29"/>
      <c r="C2839" s="29"/>
      <c r="D2839" s="30"/>
      <c r="E2839" s="33"/>
      <c r="F2839" s="89"/>
    </row>
    <row r="2840" spans="2:6" s="6" customFormat="1" x14ac:dyDescent="0.3">
      <c r="B2840" s="29"/>
      <c r="C2840" s="29"/>
      <c r="D2840" s="30"/>
      <c r="E2840" s="33"/>
      <c r="F2840" s="89"/>
    </row>
    <row r="2841" spans="2:6" s="6" customFormat="1" x14ac:dyDescent="0.3">
      <c r="B2841" s="29"/>
      <c r="C2841" s="29"/>
      <c r="D2841" s="30"/>
      <c r="E2841" s="33"/>
      <c r="F2841" s="89"/>
    </row>
    <row r="2842" spans="2:6" s="6" customFormat="1" x14ac:dyDescent="0.3">
      <c r="B2842" s="29"/>
      <c r="C2842" s="29"/>
      <c r="D2842" s="30"/>
      <c r="E2842" s="33"/>
      <c r="F2842" s="89"/>
    </row>
    <row r="2843" spans="2:6" s="6" customFormat="1" x14ac:dyDescent="0.3">
      <c r="B2843" s="29"/>
      <c r="C2843" s="29"/>
      <c r="D2843" s="30"/>
      <c r="E2843" s="33"/>
      <c r="F2843" s="89"/>
    </row>
    <row r="2844" spans="2:6" s="6" customFormat="1" x14ac:dyDescent="0.3">
      <c r="B2844" s="29"/>
      <c r="C2844" s="29"/>
      <c r="D2844" s="30"/>
      <c r="E2844" s="33"/>
      <c r="F2844" s="89"/>
    </row>
    <row r="2845" spans="2:6" s="6" customFormat="1" x14ac:dyDescent="0.3">
      <c r="B2845" s="29"/>
      <c r="C2845" s="29"/>
      <c r="D2845" s="30"/>
      <c r="E2845" s="33"/>
      <c r="F2845" s="89"/>
    </row>
    <row r="2846" spans="2:6" s="6" customFormat="1" x14ac:dyDescent="0.3">
      <c r="B2846" s="29"/>
      <c r="C2846" s="29"/>
      <c r="D2846" s="30"/>
      <c r="E2846" s="33"/>
      <c r="F2846" s="89"/>
    </row>
    <row r="2847" spans="2:6" s="6" customFormat="1" x14ac:dyDescent="0.3">
      <c r="B2847" s="29"/>
      <c r="C2847" s="29"/>
      <c r="D2847" s="30"/>
      <c r="E2847" s="33"/>
      <c r="F2847" s="89"/>
    </row>
    <row r="2848" spans="2:6" s="6" customFormat="1" x14ac:dyDescent="0.3">
      <c r="B2848" s="29"/>
      <c r="C2848" s="29"/>
      <c r="D2848" s="30"/>
      <c r="E2848" s="33"/>
      <c r="F2848" s="89"/>
    </row>
    <row r="2849" spans="2:6" s="6" customFormat="1" x14ac:dyDescent="0.3">
      <c r="B2849" s="29"/>
      <c r="C2849" s="29"/>
      <c r="D2849" s="30"/>
      <c r="E2849" s="33"/>
      <c r="F2849" s="89"/>
    </row>
    <row r="2850" spans="2:6" s="6" customFormat="1" x14ac:dyDescent="0.3">
      <c r="B2850" s="29"/>
      <c r="C2850" s="29"/>
      <c r="D2850" s="30"/>
      <c r="E2850" s="33"/>
      <c r="F2850" s="89"/>
    </row>
    <row r="2851" spans="2:6" s="6" customFormat="1" x14ac:dyDescent="0.3">
      <c r="B2851" s="29"/>
      <c r="C2851" s="29"/>
      <c r="D2851" s="30"/>
      <c r="E2851" s="33"/>
      <c r="F2851" s="89"/>
    </row>
    <row r="2852" spans="2:6" s="6" customFormat="1" x14ac:dyDescent="0.3">
      <c r="B2852" s="29"/>
      <c r="C2852" s="29"/>
      <c r="D2852" s="30"/>
      <c r="E2852" s="33"/>
      <c r="F2852" s="89"/>
    </row>
    <row r="2853" spans="2:6" s="6" customFormat="1" x14ac:dyDescent="0.3">
      <c r="B2853" s="29"/>
      <c r="C2853" s="29"/>
      <c r="D2853" s="30"/>
      <c r="E2853" s="33"/>
      <c r="F2853" s="89"/>
    </row>
    <row r="2854" spans="2:6" s="6" customFormat="1" x14ac:dyDescent="0.3">
      <c r="B2854" s="29"/>
      <c r="C2854" s="29"/>
      <c r="D2854" s="30"/>
      <c r="E2854" s="33"/>
      <c r="F2854" s="89"/>
    </row>
    <row r="2855" spans="2:6" s="6" customFormat="1" x14ac:dyDescent="0.3">
      <c r="B2855" s="29"/>
      <c r="C2855" s="29"/>
      <c r="D2855" s="30"/>
      <c r="E2855" s="33"/>
      <c r="F2855" s="89"/>
    </row>
    <row r="2856" spans="2:6" s="6" customFormat="1" x14ac:dyDescent="0.3">
      <c r="B2856" s="29"/>
      <c r="C2856" s="29"/>
      <c r="D2856" s="30"/>
      <c r="E2856" s="33"/>
      <c r="F2856" s="89"/>
    </row>
    <row r="2857" spans="2:6" s="6" customFormat="1" x14ac:dyDescent="0.3">
      <c r="B2857" s="29"/>
      <c r="C2857" s="29"/>
      <c r="D2857" s="30"/>
      <c r="E2857" s="33"/>
      <c r="F2857" s="89"/>
    </row>
    <row r="2858" spans="2:6" s="6" customFormat="1" x14ac:dyDescent="0.3">
      <c r="B2858" s="29"/>
      <c r="C2858" s="29"/>
      <c r="D2858" s="30"/>
      <c r="E2858" s="33"/>
      <c r="F2858" s="89"/>
    </row>
    <row r="2859" spans="2:6" s="6" customFormat="1" x14ac:dyDescent="0.3">
      <c r="B2859" s="29"/>
      <c r="C2859" s="29"/>
      <c r="D2859" s="30"/>
      <c r="E2859" s="33"/>
      <c r="F2859" s="89"/>
    </row>
    <row r="2860" spans="2:6" s="6" customFormat="1" x14ac:dyDescent="0.3">
      <c r="B2860" s="29"/>
      <c r="C2860" s="29"/>
      <c r="D2860" s="30"/>
      <c r="E2860" s="33"/>
      <c r="F2860" s="89"/>
    </row>
    <row r="2861" spans="2:6" s="6" customFormat="1" x14ac:dyDescent="0.3">
      <c r="B2861" s="29"/>
      <c r="C2861" s="29"/>
      <c r="D2861" s="30"/>
      <c r="E2861" s="33"/>
      <c r="F2861" s="89"/>
    </row>
    <row r="2862" spans="2:6" s="6" customFormat="1" x14ac:dyDescent="0.3">
      <c r="B2862" s="29"/>
      <c r="C2862" s="29"/>
      <c r="D2862" s="30"/>
      <c r="E2862" s="33"/>
      <c r="F2862" s="89"/>
    </row>
    <row r="2863" spans="2:6" s="6" customFormat="1" x14ac:dyDescent="0.3">
      <c r="B2863" s="29"/>
      <c r="C2863" s="29"/>
      <c r="D2863" s="30"/>
      <c r="E2863" s="33"/>
      <c r="F2863" s="89"/>
    </row>
    <row r="2864" spans="2:6" s="6" customFormat="1" x14ac:dyDescent="0.3">
      <c r="B2864" s="29"/>
      <c r="C2864" s="29"/>
      <c r="D2864" s="30"/>
      <c r="E2864" s="33"/>
      <c r="F2864" s="89"/>
    </row>
    <row r="2865" spans="2:6" s="6" customFormat="1" x14ac:dyDescent="0.3">
      <c r="B2865" s="29"/>
      <c r="C2865" s="29"/>
      <c r="D2865" s="30"/>
      <c r="E2865" s="33"/>
      <c r="F2865" s="89"/>
    </row>
    <row r="2866" spans="2:6" s="6" customFormat="1" x14ac:dyDescent="0.3">
      <c r="B2866" s="29"/>
      <c r="C2866" s="29"/>
      <c r="D2866" s="30"/>
      <c r="E2866" s="33"/>
      <c r="F2866" s="89"/>
    </row>
    <row r="2867" spans="2:6" s="6" customFormat="1" x14ac:dyDescent="0.3">
      <c r="B2867" s="29"/>
      <c r="C2867" s="29"/>
      <c r="D2867" s="30"/>
      <c r="E2867" s="33"/>
      <c r="F2867" s="89"/>
    </row>
    <row r="2868" spans="2:6" s="6" customFormat="1" x14ac:dyDescent="0.3">
      <c r="B2868" s="29"/>
      <c r="C2868" s="29"/>
      <c r="D2868" s="30"/>
      <c r="E2868" s="33"/>
      <c r="F2868" s="89"/>
    </row>
    <row r="2869" spans="2:6" s="6" customFormat="1" x14ac:dyDescent="0.3">
      <c r="B2869" s="29"/>
      <c r="C2869" s="29"/>
      <c r="D2869" s="30"/>
      <c r="E2869" s="33"/>
      <c r="F2869" s="89"/>
    </row>
    <row r="2870" spans="2:6" s="6" customFormat="1" x14ac:dyDescent="0.3">
      <c r="B2870" s="29"/>
      <c r="C2870" s="29"/>
      <c r="D2870" s="30"/>
      <c r="E2870" s="33"/>
      <c r="F2870" s="89"/>
    </row>
    <row r="2871" spans="2:6" s="6" customFormat="1" x14ac:dyDescent="0.3">
      <c r="B2871" s="29"/>
      <c r="C2871" s="29"/>
      <c r="D2871" s="30"/>
      <c r="E2871" s="33"/>
      <c r="F2871" s="89"/>
    </row>
    <row r="2872" spans="2:6" s="6" customFormat="1" x14ac:dyDescent="0.3">
      <c r="B2872" s="29"/>
      <c r="C2872" s="29"/>
      <c r="D2872" s="30"/>
      <c r="E2872" s="33"/>
      <c r="F2872" s="89"/>
    </row>
    <row r="2873" spans="2:6" s="6" customFormat="1" x14ac:dyDescent="0.3">
      <c r="B2873" s="29"/>
      <c r="C2873" s="29"/>
      <c r="D2873" s="30"/>
      <c r="E2873" s="33"/>
      <c r="F2873" s="89"/>
    </row>
    <row r="2874" spans="2:6" s="6" customFormat="1" x14ac:dyDescent="0.3">
      <c r="B2874" s="29"/>
      <c r="C2874" s="29"/>
      <c r="D2874" s="30"/>
      <c r="E2874" s="33"/>
      <c r="F2874" s="89"/>
    </row>
    <row r="2875" spans="2:6" s="6" customFormat="1" x14ac:dyDescent="0.3">
      <c r="B2875" s="29"/>
      <c r="C2875" s="29"/>
      <c r="D2875" s="30"/>
      <c r="E2875" s="33"/>
      <c r="F2875" s="89"/>
    </row>
    <row r="2876" spans="2:6" s="6" customFormat="1" x14ac:dyDescent="0.3">
      <c r="B2876" s="29"/>
      <c r="C2876" s="29"/>
      <c r="D2876" s="30"/>
      <c r="E2876" s="33"/>
      <c r="F2876" s="89"/>
    </row>
    <row r="2877" spans="2:6" s="6" customFormat="1" x14ac:dyDescent="0.3">
      <c r="B2877" s="29"/>
      <c r="C2877" s="29"/>
      <c r="D2877" s="30"/>
      <c r="E2877" s="33"/>
      <c r="F2877" s="89"/>
    </row>
    <row r="2878" spans="2:6" s="6" customFormat="1" x14ac:dyDescent="0.3">
      <c r="B2878" s="29"/>
      <c r="C2878" s="29"/>
      <c r="D2878" s="30"/>
      <c r="E2878" s="33"/>
      <c r="F2878" s="89"/>
    </row>
    <row r="2879" spans="2:6" s="6" customFormat="1" x14ac:dyDescent="0.3">
      <c r="B2879" s="29"/>
      <c r="C2879" s="29"/>
      <c r="D2879" s="30"/>
      <c r="E2879" s="33"/>
      <c r="F2879" s="89"/>
    </row>
    <row r="2880" spans="2:6" s="6" customFormat="1" x14ac:dyDescent="0.3">
      <c r="B2880" s="29"/>
      <c r="C2880" s="29"/>
      <c r="D2880" s="30"/>
      <c r="E2880" s="33"/>
      <c r="F2880" s="89"/>
    </row>
    <row r="2881" spans="2:6" s="6" customFormat="1" x14ac:dyDescent="0.3">
      <c r="B2881" s="29"/>
      <c r="C2881" s="29"/>
      <c r="D2881" s="30"/>
      <c r="E2881" s="33"/>
      <c r="F2881" s="89"/>
    </row>
    <row r="2882" spans="2:6" s="6" customFormat="1" x14ac:dyDescent="0.3">
      <c r="B2882" s="29"/>
      <c r="C2882" s="29"/>
      <c r="D2882" s="30"/>
      <c r="E2882" s="33"/>
      <c r="F2882" s="89"/>
    </row>
    <row r="2883" spans="2:6" s="6" customFormat="1" x14ac:dyDescent="0.3">
      <c r="B2883" s="29"/>
      <c r="C2883" s="29"/>
      <c r="D2883" s="30"/>
      <c r="E2883" s="33"/>
      <c r="F2883" s="89"/>
    </row>
    <row r="2884" spans="2:6" s="6" customFormat="1" x14ac:dyDescent="0.3">
      <c r="B2884" s="29"/>
      <c r="C2884" s="29"/>
      <c r="D2884" s="30"/>
      <c r="E2884" s="33"/>
      <c r="F2884" s="89"/>
    </row>
    <row r="2885" spans="2:6" s="6" customFormat="1" x14ac:dyDescent="0.3">
      <c r="B2885" s="29"/>
      <c r="C2885" s="29"/>
      <c r="D2885" s="30"/>
      <c r="E2885" s="33"/>
      <c r="F2885" s="89"/>
    </row>
    <row r="2886" spans="2:6" s="6" customFormat="1" x14ac:dyDescent="0.3">
      <c r="B2886" s="29"/>
      <c r="C2886" s="29"/>
      <c r="D2886" s="30"/>
      <c r="E2886" s="33"/>
      <c r="F2886" s="89"/>
    </row>
    <row r="2887" spans="2:6" s="6" customFormat="1" x14ac:dyDescent="0.3">
      <c r="B2887" s="29"/>
      <c r="C2887" s="29"/>
      <c r="D2887" s="30"/>
      <c r="E2887" s="33"/>
      <c r="F2887" s="89"/>
    </row>
    <row r="2888" spans="2:6" s="6" customFormat="1" x14ac:dyDescent="0.3">
      <c r="B2888" s="29"/>
      <c r="C2888" s="29"/>
      <c r="D2888" s="30"/>
      <c r="E2888" s="33"/>
      <c r="F2888" s="89"/>
    </row>
    <row r="2889" spans="2:6" s="6" customFormat="1" x14ac:dyDescent="0.3">
      <c r="B2889" s="29"/>
      <c r="C2889" s="29"/>
      <c r="D2889" s="30"/>
      <c r="E2889" s="33"/>
      <c r="F2889" s="89"/>
    </row>
    <row r="2890" spans="2:6" s="6" customFormat="1" x14ac:dyDescent="0.3">
      <c r="B2890" s="29"/>
      <c r="C2890" s="29"/>
      <c r="D2890" s="30"/>
      <c r="E2890" s="33"/>
      <c r="F2890" s="89"/>
    </row>
    <row r="2891" spans="2:6" s="6" customFormat="1" x14ac:dyDescent="0.3">
      <c r="B2891" s="29"/>
      <c r="C2891" s="29"/>
      <c r="D2891" s="30"/>
      <c r="E2891" s="33"/>
      <c r="F2891" s="89"/>
    </row>
    <row r="2892" spans="2:6" s="6" customFormat="1" x14ac:dyDescent="0.3">
      <c r="B2892" s="29"/>
      <c r="C2892" s="29"/>
      <c r="D2892" s="30"/>
      <c r="E2892" s="33"/>
      <c r="F2892" s="89"/>
    </row>
    <row r="2893" spans="2:6" s="6" customFormat="1" x14ac:dyDescent="0.3">
      <c r="B2893" s="29"/>
      <c r="C2893" s="29"/>
      <c r="D2893" s="30"/>
      <c r="E2893" s="33"/>
      <c r="F2893" s="89"/>
    </row>
    <row r="2894" spans="2:6" s="6" customFormat="1" x14ac:dyDescent="0.3">
      <c r="B2894" s="29"/>
      <c r="C2894" s="29"/>
      <c r="D2894" s="30"/>
      <c r="E2894" s="33"/>
      <c r="F2894" s="89"/>
    </row>
    <row r="2895" spans="2:6" s="6" customFormat="1" x14ac:dyDescent="0.3">
      <c r="B2895" s="29"/>
      <c r="C2895" s="29"/>
      <c r="D2895" s="30"/>
      <c r="E2895" s="33"/>
      <c r="F2895" s="89"/>
    </row>
    <row r="2896" spans="2:6" s="6" customFormat="1" x14ac:dyDescent="0.3">
      <c r="B2896" s="29"/>
      <c r="C2896" s="29"/>
      <c r="D2896" s="30"/>
      <c r="E2896" s="33"/>
      <c r="F2896" s="89"/>
    </row>
    <row r="2897" spans="2:6" s="6" customFormat="1" x14ac:dyDescent="0.3">
      <c r="B2897" s="29"/>
      <c r="C2897" s="29"/>
      <c r="D2897" s="30"/>
      <c r="E2897" s="33"/>
      <c r="F2897" s="89"/>
    </row>
    <row r="2898" spans="2:6" s="6" customFormat="1" x14ac:dyDescent="0.3">
      <c r="B2898" s="29"/>
      <c r="C2898" s="29"/>
      <c r="D2898" s="30"/>
      <c r="E2898" s="33"/>
      <c r="F2898" s="89"/>
    </row>
    <row r="2899" spans="2:6" s="6" customFormat="1" x14ac:dyDescent="0.3">
      <c r="B2899" s="29"/>
      <c r="C2899" s="29"/>
      <c r="D2899" s="30"/>
      <c r="E2899" s="33"/>
      <c r="F2899" s="89"/>
    </row>
    <row r="2900" spans="2:6" s="6" customFormat="1" x14ac:dyDescent="0.3">
      <c r="B2900" s="29"/>
      <c r="C2900" s="29"/>
      <c r="D2900" s="30"/>
      <c r="E2900" s="33"/>
      <c r="F2900" s="89"/>
    </row>
    <row r="2901" spans="2:6" s="6" customFormat="1" x14ac:dyDescent="0.3">
      <c r="B2901" s="29"/>
      <c r="C2901" s="29"/>
      <c r="D2901" s="30"/>
      <c r="E2901" s="33"/>
      <c r="F2901" s="89"/>
    </row>
    <row r="2902" spans="2:6" s="6" customFormat="1" x14ac:dyDescent="0.3">
      <c r="B2902" s="29"/>
      <c r="C2902" s="29"/>
      <c r="D2902" s="30"/>
      <c r="E2902" s="33"/>
      <c r="F2902" s="89"/>
    </row>
    <row r="2903" spans="2:6" s="6" customFormat="1" x14ac:dyDescent="0.3">
      <c r="B2903" s="29"/>
      <c r="C2903" s="29"/>
      <c r="D2903" s="30"/>
      <c r="E2903" s="33"/>
      <c r="F2903" s="89"/>
    </row>
    <row r="2904" spans="2:6" s="6" customFormat="1" x14ac:dyDescent="0.3">
      <c r="B2904" s="29"/>
      <c r="C2904" s="29"/>
      <c r="D2904" s="30"/>
      <c r="E2904" s="33"/>
      <c r="F2904" s="89"/>
    </row>
    <row r="2905" spans="2:6" s="6" customFormat="1" x14ac:dyDescent="0.3">
      <c r="B2905" s="29"/>
      <c r="C2905" s="29"/>
      <c r="D2905" s="30"/>
      <c r="E2905" s="33"/>
      <c r="F2905" s="89"/>
    </row>
    <row r="2906" spans="2:6" s="6" customFormat="1" x14ac:dyDescent="0.3">
      <c r="B2906" s="29"/>
      <c r="C2906" s="29"/>
      <c r="D2906" s="30"/>
      <c r="E2906" s="33"/>
      <c r="F2906" s="89"/>
    </row>
    <row r="2907" spans="2:6" s="6" customFormat="1" x14ac:dyDescent="0.3">
      <c r="B2907" s="29"/>
      <c r="C2907" s="29"/>
      <c r="D2907" s="30"/>
      <c r="E2907" s="33"/>
      <c r="F2907" s="89"/>
    </row>
    <row r="2908" spans="2:6" s="6" customFormat="1" x14ac:dyDescent="0.3">
      <c r="B2908" s="29"/>
      <c r="C2908" s="29"/>
      <c r="D2908" s="30"/>
      <c r="E2908" s="33"/>
      <c r="F2908" s="89"/>
    </row>
    <row r="2909" spans="2:6" s="6" customFormat="1" x14ac:dyDescent="0.3">
      <c r="B2909" s="29"/>
      <c r="C2909" s="29"/>
      <c r="D2909" s="30"/>
      <c r="E2909" s="33"/>
      <c r="F2909" s="89"/>
    </row>
    <row r="2910" spans="2:6" s="6" customFormat="1" x14ac:dyDescent="0.3">
      <c r="B2910" s="29"/>
      <c r="C2910" s="29"/>
      <c r="D2910" s="30"/>
      <c r="E2910" s="33"/>
      <c r="F2910" s="89"/>
    </row>
    <row r="2911" spans="2:6" s="6" customFormat="1" x14ac:dyDescent="0.3">
      <c r="B2911" s="29"/>
      <c r="C2911" s="29"/>
      <c r="D2911" s="30"/>
      <c r="E2911" s="33"/>
      <c r="F2911" s="89"/>
    </row>
    <row r="2912" spans="2:6" s="6" customFormat="1" x14ac:dyDescent="0.3">
      <c r="B2912" s="29"/>
      <c r="C2912" s="29"/>
      <c r="D2912" s="30"/>
      <c r="E2912" s="33"/>
      <c r="F2912" s="89"/>
    </row>
    <row r="2913" spans="2:6" s="6" customFormat="1" x14ac:dyDescent="0.3">
      <c r="B2913" s="29"/>
      <c r="C2913" s="29"/>
      <c r="D2913" s="30"/>
      <c r="E2913" s="33"/>
      <c r="F2913" s="89"/>
    </row>
    <row r="2914" spans="2:6" s="6" customFormat="1" x14ac:dyDescent="0.3">
      <c r="B2914" s="29"/>
      <c r="C2914" s="29"/>
      <c r="D2914" s="30"/>
      <c r="E2914" s="33"/>
      <c r="F2914" s="89"/>
    </row>
    <row r="2915" spans="2:6" s="6" customFormat="1" x14ac:dyDescent="0.3">
      <c r="B2915" s="29"/>
      <c r="C2915" s="29"/>
      <c r="D2915" s="30"/>
      <c r="E2915" s="33"/>
      <c r="F2915" s="89"/>
    </row>
    <row r="2916" spans="2:6" s="6" customFormat="1" x14ac:dyDescent="0.3">
      <c r="B2916" s="29"/>
      <c r="C2916" s="29"/>
      <c r="D2916" s="30"/>
      <c r="E2916" s="33"/>
      <c r="F2916" s="89"/>
    </row>
    <row r="2917" spans="2:6" s="6" customFormat="1" x14ac:dyDescent="0.3">
      <c r="B2917" s="29"/>
      <c r="C2917" s="29"/>
      <c r="D2917" s="30"/>
      <c r="E2917" s="33"/>
      <c r="F2917" s="89"/>
    </row>
    <row r="2918" spans="2:6" s="6" customFormat="1" x14ac:dyDescent="0.3">
      <c r="B2918" s="29"/>
      <c r="C2918" s="29"/>
      <c r="D2918" s="30"/>
      <c r="E2918" s="33"/>
      <c r="F2918" s="89"/>
    </row>
    <row r="2919" spans="2:6" s="6" customFormat="1" x14ac:dyDescent="0.3">
      <c r="B2919" s="29"/>
      <c r="C2919" s="29"/>
      <c r="D2919" s="30"/>
      <c r="E2919" s="33"/>
      <c r="F2919" s="89"/>
    </row>
    <row r="2920" spans="2:6" s="6" customFormat="1" x14ac:dyDescent="0.3">
      <c r="B2920" s="29"/>
      <c r="C2920" s="29"/>
      <c r="D2920" s="30"/>
      <c r="E2920" s="33"/>
      <c r="F2920" s="89"/>
    </row>
    <row r="2921" spans="2:6" s="6" customFormat="1" x14ac:dyDescent="0.3">
      <c r="B2921" s="29"/>
      <c r="C2921" s="29"/>
      <c r="D2921" s="30"/>
      <c r="E2921" s="33"/>
      <c r="F2921" s="89"/>
    </row>
    <row r="2922" spans="2:6" s="6" customFormat="1" x14ac:dyDescent="0.3">
      <c r="B2922" s="29"/>
      <c r="C2922" s="29"/>
      <c r="D2922" s="30"/>
      <c r="E2922" s="33"/>
      <c r="F2922" s="89"/>
    </row>
    <row r="2923" spans="2:6" s="6" customFormat="1" x14ac:dyDescent="0.3">
      <c r="B2923" s="29"/>
      <c r="C2923" s="29"/>
      <c r="D2923" s="30"/>
      <c r="E2923" s="33"/>
      <c r="F2923" s="89"/>
    </row>
    <row r="2924" spans="2:6" s="6" customFormat="1" x14ac:dyDescent="0.3">
      <c r="B2924" s="29"/>
      <c r="C2924" s="29"/>
      <c r="D2924" s="30"/>
      <c r="E2924" s="33"/>
      <c r="F2924" s="89"/>
    </row>
    <row r="2925" spans="2:6" s="6" customFormat="1" x14ac:dyDescent="0.3">
      <c r="B2925" s="29"/>
      <c r="C2925" s="29"/>
      <c r="D2925" s="30"/>
      <c r="E2925" s="33"/>
      <c r="F2925" s="89"/>
    </row>
    <row r="2926" spans="2:6" s="6" customFormat="1" x14ac:dyDescent="0.3">
      <c r="B2926" s="29"/>
      <c r="C2926" s="29"/>
      <c r="D2926" s="30"/>
      <c r="E2926" s="33"/>
      <c r="F2926" s="89"/>
    </row>
    <row r="2927" spans="2:6" s="6" customFormat="1" x14ac:dyDescent="0.3">
      <c r="B2927" s="29"/>
      <c r="C2927" s="29"/>
      <c r="D2927" s="30"/>
      <c r="E2927" s="33"/>
      <c r="F2927" s="89"/>
    </row>
    <row r="2928" spans="2:6" s="6" customFormat="1" x14ac:dyDescent="0.3">
      <c r="B2928" s="29"/>
      <c r="C2928" s="29"/>
      <c r="D2928" s="30"/>
      <c r="E2928" s="33"/>
      <c r="F2928" s="89"/>
    </row>
    <row r="2929" spans="2:6" s="6" customFormat="1" x14ac:dyDescent="0.3">
      <c r="B2929" s="29"/>
      <c r="C2929" s="29"/>
      <c r="D2929" s="30"/>
      <c r="E2929" s="33"/>
      <c r="F2929" s="89"/>
    </row>
    <row r="2930" spans="2:6" s="6" customFormat="1" x14ac:dyDescent="0.3">
      <c r="B2930" s="29"/>
      <c r="C2930" s="29"/>
      <c r="D2930" s="30"/>
      <c r="E2930" s="33"/>
      <c r="F2930" s="89"/>
    </row>
    <row r="2931" spans="2:6" s="6" customFormat="1" x14ac:dyDescent="0.3">
      <c r="B2931" s="29"/>
      <c r="C2931" s="29"/>
      <c r="D2931" s="30"/>
      <c r="E2931" s="33"/>
      <c r="F2931" s="89"/>
    </row>
    <row r="2932" spans="2:6" s="6" customFormat="1" x14ac:dyDescent="0.3">
      <c r="B2932" s="29"/>
      <c r="C2932" s="29"/>
      <c r="D2932" s="30"/>
      <c r="E2932" s="33"/>
      <c r="F2932" s="89"/>
    </row>
    <row r="2933" spans="2:6" s="6" customFormat="1" x14ac:dyDescent="0.3">
      <c r="B2933" s="29"/>
      <c r="C2933" s="29"/>
      <c r="D2933" s="30"/>
      <c r="E2933" s="33"/>
      <c r="F2933" s="89"/>
    </row>
    <row r="2934" spans="2:6" s="6" customFormat="1" x14ac:dyDescent="0.3">
      <c r="B2934" s="29"/>
      <c r="C2934" s="29"/>
      <c r="D2934" s="30"/>
      <c r="E2934" s="33"/>
      <c r="F2934" s="89"/>
    </row>
    <row r="2935" spans="2:6" s="6" customFormat="1" x14ac:dyDescent="0.3">
      <c r="B2935" s="29"/>
      <c r="C2935" s="29"/>
      <c r="D2935" s="30"/>
      <c r="E2935" s="33"/>
      <c r="F2935" s="89"/>
    </row>
    <row r="2936" spans="2:6" s="6" customFormat="1" x14ac:dyDescent="0.3">
      <c r="B2936" s="29"/>
      <c r="C2936" s="29"/>
      <c r="D2936" s="30"/>
      <c r="E2936" s="33"/>
      <c r="F2936" s="89"/>
    </row>
    <row r="2937" spans="2:6" s="6" customFormat="1" x14ac:dyDescent="0.3">
      <c r="B2937" s="29"/>
      <c r="C2937" s="29"/>
      <c r="D2937" s="30"/>
      <c r="E2937" s="33"/>
      <c r="F2937" s="89"/>
    </row>
    <row r="2938" spans="2:6" s="6" customFormat="1" x14ac:dyDescent="0.3">
      <c r="B2938" s="29"/>
      <c r="C2938" s="29"/>
      <c r="D2938" s="30"/>
      <c r="E2938" s="33"/>
      <c r="F2938" s="89"/>
    </row>
    <row r="2939" spans="2:6" s="6" customFormat="1" x14ac:dyDescent="0.3">
      <c r="B2939" s="29"/>
      <c r="C2939" s="29"/>
      <c r="D2939" s="30"/>
      <c r="E2939" s="33"/>
      <c r="F2939" s="89"/>
    </row>
    <row r="2940" spans="2:6" s="6" customFormat="1" x14ac:dyDescent="0.3">
      <c r="B2940" s="29"/>
      <c r="C2940" s="29"/>
      <c r="D2940" s="30"/>
      <c r="E2940" s="33"/>
      <c r="F2940" s="89"/>
    </row>
    <row r="2941" spans="2:6" s="6" customFormat="1" x14ac:dyDescent="0.3">
      <c r="B2941" s="29"/>
      <c r="C2941" s="29"/>
      <c r="D2941" s="30"/>
      <c r="E2941" s="33"/>
      <c r="F2941" s="89"/>
    </row>
    <row r="2942" spans="2:6" s="6" customFormat="1" x14ac:dyDescent="0.3">
      <c r="B2942" s="29"/>
      <c r="C2942" s="29"/>
      <c r="D2942" s="30"/>
      <c r="E2942" s="33"/>
      <c r="F2942" s="89"/>
    </row>
    <row r="2943" spans="2:6" s="6" customFormat="1" x14ac:dyDescent="0.3">
      <c r="B2943" s="29"/>
      <c r="C2943" s="29"/>
      <c r="D2943" s="30"/>
      <c r="E2943" s="33"/>
      <c r="F2943" s="89"/>
    </row>
    <row r="2944" spans="2:6" s="6" customFormat="1" x14ac:dyDescent="0.3">
      <c r="B2944" s="29"/>
      <c r="C2944" s="29"/>
      <c r="D2944" s="30"/>
      <c r="E2944" s="33"/>
      <c r="F2944" s="89"/>
    </row>
    <row r="2945" spans="2:6" s="6" customFormat="1" x14ac:dyDescent="0.3">
      <c r="B2945" s="29"/>
      <c r="C2945" s="29"/>
      <c r="D2945" s="30"/>
      <c r="E2945" s="33"/>
      <c r="F2945" s="89"/>
    </row>
    <row r="2946" spans="2:6" s="6" customFormat="1" x14ac:dyDescent="0.3">
      <c r="B2946" s="29"/>
      <c r="C2946" s="29"/>
      <c r="D2946" s="30"/>
      <c r="E2946" s="33"/>
      <c r="F2946" s="89"/>
    </row>
    <row r="2947" spans="2:6" s="6" customFormat="1" x14ac:dyDescent="0.3">
      <c r="B2947" s="29"/>
      <c r="C2947" s="29"/>
      <c r="D2947" s="30"/>
      <c r="E2947" s="33"/>
      <c r="F2947" s="89"/>
    </row>
    <row r="2948" spans="2:6" s="6" customFormat="1" x14ac:dyDescent="0.3">
      <c r="B2948" s="29"/>
      <c r="C2948" s="29"/>
      <c r="D2948" s="30"/>
      <c r="E2948" s="33"/>
      <c r="F2948" s="89"/>
    </row>
    <row r="2949" spans="2:6" s="6" customFormat="1" x14ac:dyDescent="0.3">
      <c r="B2949" s="29"/>
      <c r="C2949" s="29"/>
      <c r="D2949" s="30"/>
      <c r="E2949" s="33"/>
      <c r="F2949" s="89"/>
    </row>
    <row r="2950" spans="2:6" s="6" customFormat="1" x14ac:dyDescent="0.3">
      <c r="B2950" s="29"/>
      <c r="C2950" s="29"/>
      <c r="D2950" s="30"/>
      <c r="E2950" s="33"/>
      <c r="F2950" s="89"/>
    </row>
    <row r="2951" spans="2:6" s="6" customFormat="1" x14ac:dyDescent="0.3">
      <c r="B2951" s="29"/>
      <c r="C2951" s="29"/>
      <c r="D2951" s="30"/>
      <c r="E2951" s="33"/>
      <c r="F2951" s="89"/>
    </row>
    <row r="2952" spans="2:6" s="6" customFormat="1" x14ac:dyDescent="0.3">
      <c r="B2952" s="29"/>
      <c r="C2952" s="29"/>
      <c r="D2952" s="30"/>
      <c r="E2952" s="33"/>
      <c r="F2952" s="89"/>
    </row>
    <row r="2953" spans="2:6" s="6" customFormat="1" x14ac:dyDescent="0.3">
      <c r="B2953" s="29"/>
      <c r="C2953" s="29"/>
      <c r="D2953" s="30"/>
      <c r="E2953" s="33"/>
      <c r="F2953" s="89"/>
    </row>
    <row r="2954" spans="2:6" s="6" customFormat="1" x14ac:dyDescent="0.3">
      <c r="B2954" s="29"/>
      <c r="C2954" s="29"/>
      <c r="D2954" s="30"/>
      <c r="E2954" s="33"/>
      <c r="F2954" s="89"/>
    </row>
    <row r="2955" spans="2:6" s="6" customFormat="1" x14ac:dyDescent="0.3">
      <c r="B2955" s="29"/>
      <c r="C2955" s="29"/>
      <c r="D2955" s="30"/>
      <c r="E2955" s="33"/>
      <c r="F2955" s="89"/>
    </row>
    <row r="2956" spans="2:6" s="6" customFormat="1" x14ac:dyDescent="0.3">
      <c r="B2956" s="29"/>
      <c r="C2956" s="29"/>
      <c r="D2956" s="30"/>
      <c r="E2956" s="33"/>
      <c r="F2956" s="89"/>
    </row>
    <row r="2957" spans="2:6" s="6" customFormat="1" x14ac:dyDescent="0.3">
      <c r="B2957" s="29"/>
      <c r="C2957" s="29"/>
      <c r="D2957" s="30"/>
      <c r="E2957" s="33"/>
      <c r="F2957" s="89"/>
    </row>
    <row r="2958" spans="2:6" s="6" customFormat="1" x14ac:dyDescent="0.3">
      <c r="B2958" s="29"/>
      <c r="C2958" s="29"/>
      <c r="D2958" s="30"/>
      <c r="E2958" s="33"/>
      <c r="F2958" s="89"/>
    </row>
    <row r="2959" spans="2:6" s="6" customFormat="1" x14ac:dyDescent="0.3">
      <c r="B2959" s="29"/>
      <c r="C2959" s="29"/>
      <c r="D2959" s="30"/>
      <c r="E2959" s="33"/>
      <c r="F2959" s="89"/>
    </row>
    <row r="2960" spans="2:6" s="6" customFormat="1" x14ac:dyDescent="0.3">
      <c r="B2960" s="29"/>
      <c r="C2960" s="29"/>
      <c r="D2960" s="30"/>
      <c r="E2960" s="33"/>
      <c r="F2960" s="89"/>
    </row>
    <row r="2961" spans="2:6" s="6" customFormat="1" x14ac:dyDescent="0.3">
      <c r="B2961" s="29"/>
      <c r="C2961" s="29"/>
      <c r="D2961" s="30"/>
      <c r="E2961" s="33"/>
      <c r="F2961" s="89"/>
    </row>
    <row r="2962" spans="2:6" s="6" customFormat="1" x14ac:dyDescent="0.3">
      <c r="B2962" s="29"/>
      <c r="C2962" s="29"/>
      <c r="D2962" s="30"/>
      <c r="E2962" s="33"/>
      <c r="F2962" s="89"/>
    </row>
    <row r="2963" spans="2:6" s="6" customFormat="1" x14ac:dyDescent="0.3">
      <c r="B2963" s="29"/>
      <c r="C2963" s="29"/>
      <c r="D2963" s="30"/>
      <c r="E2963" s="33"/>
      <c r="F2963" s="89"/>
    </row>
    <row r="2964" spans="2:6" s="6" customFormat="1" x14ac:dyDescent="0.3">
      <c r="B2964" s="29"/>
      <c r="C2964" s="29"/>
      <c r="D2964" s="30"/>
      <c r="E2964" s="33"/>
      <c r="F2964" s="89"/>
    </row>
    <row r="2965" spans="2:6" s="6" customFormat="1" x14ac:dyDescent="0.3">
      <c r="B2965" s="29"/>
      <c r="C2965" s="29"/>
      <c r="D2965" s="30"/>
      <c r="E2965" s="33"/>
      <c r="F2965" s="89"/>
    </row>
    <row r="2966" spans="2:6" s="6" customFormat="1" x14ac:dyDescent="0.3">
      <c r="B2966" s="29"/>
      <c r="C2966" s="29"/>
      <c r="D2966" s="30"/>
      <c r="E2966" s="33"/>
      <c r="F2966" s="89"/>
    </row>
    <row r="2967" spans="2:6" s="6" customFormat="1" x14ac:dyDescent="0.3">
      <c r="B2967" s="29"/>
      <c r="C2967" s="29"/>
      <c r="D2967" s="30"/>
      <c r="E2967" s="33"/>
      <c r="F2967" s="89"/>
    </row>
    <row r="2968" spans="2:6" s="6" customFormat="1" x14ac:dyDescent="0.3">
      <c r="B2968" s="29"/>
      <c r="C2968" s="29"/>
      <c r="D2968" s="30"/>
      <c r="E2968" s="33"/>
      <c r="F2968" s="89"/>
    </row>
    <row r="2969" spans="2:6" s="6" customFormat="1" x14ac:dyDescent="0.3">
      <c r="B2969" s="29"/>
      <c r="C2969" s="29"/>
      <c r="D2969" s="30"/>
      <c r="E2969" s="33"/>
      <c r="F2969" s="89"/>
    </row>
    <row r="2970" spans="2:6" s="6" customFormat="1" x14ac:dyDescent="0.3">
      <c r="B2970" s="29"/>
      <c r="C2970" s="29"/>
      <c r="D2970" s="30"/>
      <c r="E2970" s="33"/>
      <c r="F2970" s="89"/>
    </row>
    <row r="2971" spans="2:6" s="6" customFormat="1" x14ac:dyDescent="0.3">
      <c r="B2971" s="29"/>
      <c r="C2971" s="29"/>
      <c r="D2971" s="30"/>
      <c r="E2971" s="33"/>
      <c r="F2971" s="89"/>
    </row>
    <row r="2972" spans="2:6" s="6" customFormat="1" x14ac:dyDescent="0.3">
      <c r="B2972" s="29"/>
      <c r="C2972" s="29"/>
      <c r="D2972" s="30"/>
      <c r="E2972" s="33"/>
      <c r="F2972" s="89"/>
    </row>
    <row r="2973" spans="2:6" s="6" customFormat="1" x14ac:dyDescent="0.3">
      <c r="B2973" s="29"/>
      <c r="C2973" s="29"/>
      <c r="D2973" s="30"/>
      <c r="E2973" s="33"/>
      <c r="F2973" s="89"/>
    </row>
    <row r="2974" spans="2:6" s="6" customFormat="1" x14ac:dyDescent="0.3">
      <c r="B2974" s="29"/>
      <c r="C2974" s="29"/>
      <c r="D2974" s="30"/>
      <c r="E2974" s="33"/>
      <c r="F2974" s="89"/>
    </row>
    <row r="2975" spans="2:6" s="6" customFormat="1" x14ac:dyDescent="0.3">
      <c r="B2975" s="29"/>
      <c r="C2975" s="29"/>
      <c r="D2975" s="30"/>
      <c r="E2975" s="33"/>
      <c r="F2975" s="89"/>
    </row>
    <row r="2976" spans="2:6" s="6" customFormat="1" x14ac:dyDescent="0.3">
      <c r="B2976" s="29"/>
      <c r="C2976" s="29"/>
      <c r="D2976" s="30"/>
      <c r="E2976" s="33"/>
      <c r="F2976" s="89"/>
    </row>
    <row r="2977" spans="2:6" s="6" customFormat="1" x14ac:dyDescent="0.3">
      <c r="B2977" s="29"/>
      <c r="C2977" s="29"/>
      <c r="D2977" s="30"/>
      <c r="E2977" s="33"/>
      <c r="F2977" s="89"/>
    </row>
    <row r="2978" spans="2:6" s="6" customFormat="1" x14ac:dyDescent="0.3">
      <c r="B2978" s="29"/>
      <c r="C2978" s="29"/>
      <c r="D2978" s="30"/>
      <c r="E2978" s="33"/>
      <c r="F2978" s="89"/>
    </row>
    <row r="2979" spans="2:6" s="6" customFormat="1" x14ac:dyDescent="0.3">
      <c r="B2979" s="29"/>
      <c r="C2979" s="29"/>
      <c r="D2979" s="30"/>
      <c r="E2979" s="33"/>
      <c r="F2979" s="89"/>
    </row>
    <row r="2980" spans="2:6" s="6" customFormat="1" x14ac:dyDescent="0.3">
      <c r="B2980" s="29"/>
      <c r="C2980" s="29"/>
      <c r="D2980" s="30"/>
      <c r="E2980" s="33"/>
      <c r="F2980" s="89"/>
    </row>
    <row r="2981" spans="2:6" s="6" customFormat="1" x14ac:dyDescent="0.3">
      <c r="B2981" s="29"/>
      <c r="C2981" s="29"/>
      <c r="D2981" s="30"/>
      <c r="E2981" s="33"/>
      <c r="F2981" s="89"/>
    </row>
    <row r="2982" spans="2:6" s="6" customFormat="1" x14ac:dyDescent="0.3">
      <c r="B2982" s="29"/>
      <c r="C2982" s="29"/>
      <c r="D2982" s="30"/>
      <c r="E2982" s="33"/>
      <c r="F2982" s="89"/>
    </row>
    <row r="2983" spans="2:6" s="6" customFormat="1" x14ac:dyDescent="0.3">
      <c r="B2983" s="29"/>
      <c r="C2983" s="29"/>
      <c r="D2983" s="30"/>
      <c r="E2983" s="33"/>
      <c r="F2983" s="89"/>
    </row>
    <row r="2984" spans="2:6" s="6" customFormat="1" x14ac:dyDescent="0.3">
      <c r="B2984" s="29"/>
      <c r="C2984" s="29"/>
      <c r="D2984" s="30"/>
      <c r="E2984" s="33"/>
      <c r="F2984" s="89"/>
    </row>
    <row r="2985" spans="2:6" s="6" customFormat="1" x14ac:dyDescent="0.3">
      <c r="B2985" s="29"/>
      <c r="C2985" s="29"/>
      <c r="D2985" s="30"/>
      <c r="E2985" s="33"/>
      <c r="F2985" s="89"/>
    </row>
    <row r="2986" spans="2:6" s="6" customFormat="1" x14ac:dyDescent="0.3">
      <c r="B2986" s="29"/>
      <c r="C2986" s="29"/>
      <c r="D2986" s="30"/>
      <c r="E2986" s="33"/>
      <c r="F2986" s="89"/>
    </row>
    <row r="2987" spans="2:6" s="6" customFormat="1" x14ac:dyDescent="0.3">
      <c r="B2987" s="29"/>
      <c r="C2987" s="29"/>
      <c r="D2987" s="30"/>
      <c r="E2987" s="33"/>
      <c r="F2987" s="89"/>
    </row>
    <row r="2988" spans="2:6" s="6" customFormat="1" x14ac:dyDescent="0.3">
      <c r="B2988" s="29"/>
      <c r="C2988" s="29"/>
      <c r="D2988" s="30"/>
      <c r="E2988" s="33"/>
      <c r="F2988" s="89"/>
    </row>
    <row r="2989" spans="2:6" s="6" customFormat="1" x14ac:dyDescent="0.3">
      <c r="B2989" s="29"/>
      <c r="C2989" s="29"/>
      <c r="D2989" s="30"/>
      <c r="E2989" s="33"/>
      <c r="F2989" s="89"/>
    </row>
    <row r="2990" spans="2:6" s="6" customFormat="1" x14ac:dyDescent="0.3">
      <c r="B2990" s="29"/>
      <c r="C2990" s="29"/>
      <c r="D2990" s="30"/>
      <c r="E2990" s="33"/>
      <c r="F2990" s="89"/>
    </row>
    <row r="2991" spans="2:6" s="6" customFormat="1" x14ac:dyDescent="0.3">
      <c r="B2991" s="29"/>
      <c r="C2991" s="29"/>
      <c r="D2991" s="30"/>
      <c r="E2991" s="33"/>
      <c r="F2991" s="89"/>
    </row>
    <row r="2992" spans="2:6" s="6" customFormat="1" x14ac:dyDescent="0.3">
      <c r="B2992" s="29"/>
      <c r="C2992" s="29"/>
      <c r="D2992" s="30"/>
      <c r="E2992" s="33"/>
      <c r="F2992" s="89"/>
    </row>
    <row r="2993" spans="2:6" s="6" customFormat="1" x14ac:dyDescent="0.3">
      <c r="B2993" s="29"/>
      <c r="C2993" s="29"/>
      <c r="D2993" s="30"/>
      <c r="E2993" s="33"/>
      <c r="F2993" s="89"/>
    </row>
    <row r="2994" spans="2:6" s="6" customFormat="1" x14ac:dyDescent="0.3">
      <c r="B2994" s="29"/>
      <c r="C2994" s="29"/>
      <c r="D2994" s="30"/>
      <c r="E2994" s="33"/>
      <c r="F2994" s="89"/>
    </row>
    <row r="2995" spans="2:6" s="6" customFormat="1" x14ac:dyDescent="0.3">
      <c r="B2995" s="29"/>
      <c r="C2995" s="29"/>
      <c r="D2995" s="30"/>
      <c r="E2995" s="33"/>
      <c r="F2995" s="89"/>
    </row>
    <row r="2996" spans="2:6" s="6" customFormat="1" x14ac:dyDescent="0.3">
      <c r="B2996" s="29"/>
      <c r="C2996" s="29"/>
      <c r="D2996" s="30"/>
      <c r="E2996" s="33"/>
      <c r="F2996" s="89"/>
    </row>
    <row r="2997" spans="2:6" s="6" customFormat="1" x14ac:dyDescent="0.3">
      <c r="B2997" s="29"/>
      <c r="C2997" s="29"/>
      <c r="D2997" s="30"/>
      <c r="E2997" s="33"/>
      <c r="F2997" s="89"/>
    </row>
    <row r="2998" spans="2:6" s="6" customFormat="1" x14ac:dyDescent="0.3">
      <c r="B2998" s="29"/>
      <c r="C2998" s="29"/>
      <c r="D2998" s="30"/>
      <c r="E2998" s="33"/>
      <c r="F2998" s="89"/>
    </row>
    <row r="2999" spans="2:6" s="6" customFormat="1" x14ac:dyDescent="0.3">
      <c r="B2999" s="29"/>
      <c r="C2999" s="29"/>
      <c r="D2999" s="30"/>
      <c r="E2999" s="33"/>
      <c r="F2999" s="89"/>
    </row>
    <row r="3000" spans="2:6" s="6" customFormat="1" x14ac:dyDescent="0.3">
      <c r="B3000" s="29"/>
      <c r="C3000" s="29"/>
      <c r="D3000" s="30"/>
      <c r="E3000" s="33"/>
      <c r="F3000" s="89"/>
    </row>
    <row r="3001" spans="2:6" s="6" customFormat="1" x14ac:dyDescent="0.3">
      <c r="B3001" s="29"/>
      <c r="C3001" s="29"/>
      <c r="D3001" s="30"/>
      <c r="E3001" s="33"/>
      <c r="F3001" s="89"/>
    </row>
    <row r="3002" spans="2:6" s="6" customFormat="1" x14ac:dyDescent="0.3">
      <c r="B3002" s="29"/>
      <c r="C3002" s="29"/>
      <c r="D3002" s="30"/>
      <c r="E3002" s="33"/>
      <c r="F3002" s="89"/>
    </row>
    <row r="3003" spans="2:6" s="6" customFormat="1" x14ac:dyDescent="0.3">
      <c r="B3003" s="29"/>
      <c r="C3003" s="29"/>
      <c r="D3003" s="30"/>
      <c r="E3003" s="33"/>
      <c r="F3003" s="89"/>
    </row>
    <row r="3004" spans="2:6" s="6" customFormat="1" x14ac:dyDescent="0.3">
      <c r="B3004" s="29"/>
      <c r="C3004" s="29"/>
      <c r="D3004" s="30"/>
      <c r="E3004" s="33"/>
      <c r="F3004" s="89"/>
    </row>
    <row r="3005" spans="2:6" s="6" customFormat="1" x14ac:dyDescent="0.3">
      <c r="B3005" s="29"/>
      <c r="C3005" s="29"/>
      <c r="D3005" s="30"/>
      <c r="E3005" s="33"/>
      <c r="F3005" s="89"/>
    </row>
    <row r="3006" spans="2:6" s="6" customFormat="1" x14ac:dyDescent="0.3">
      <c r="B3006" s="29"/>
      <c r="C3006" s="29"/>
      <c r="D3006" s="30"/>
      <c r="E3006" s="33"/>
      <c r="F3006" s="89"/>
    </row>
    <row r="3007" spans="2:6" s="6" customFormat="1" x14ac:dyDescent="0.3">
      <c r="B3007" s="29"/>
      <c r="C3007" s="29"/>
      <c r="D3007" s="30"/>
      <c r="E3007" s="33"/>
      <c r="F3007" s="89"/>
    </row>
    <row r="3008" spans="2:6" s="6" customFormat="1" x14ac:dyDescent="0.3">
      <c r="B3008" s="29"/>
      <c r="C3008" s="29"/>
      <c r="D3008" s="30"/>
      <c r="E3008" s="33"/>
      <c r="F3008" s="89"/>
    </row>
    <row r="3009" spans="2:6" s="6" customFormat="1" x14ac:dyDescent="0.3">
      <c r="B3009" s="29"/>
      <c r="C3009" s="29"/>
      <c r="D3009" s="30"/>
      <c r="E3009" s="33"/>
      <c r="F3009" s="89"/>
    </row>
    <row r="3010" spans="2:6" s="6" customFormat="1" x14ac:dyDescent="0.3">
      <c r="B3010" s="29"/>
      <c r="C3010" s="29"/>
      <c r="D3010" s="30"/>
      <c r="E3010" s="33"/>
      <c r="F3010" s="89"/>
    </row>
    <row r="3011" spans="2:6" s="6" customFormat="1" x14ac:dyDescent="0.3">
      <c r="B3011" s="29"/>
      <c r="C3011" s="29"/>
      <c r="D3011" s="30"/>
      <c r="E3011" s="33"/>
      <c r="F3011" s="89"/>
    </row>
    <row r="3012" spans="2:6" s="6" customFormat="1" x14ac:dyDescent="0.3">
      <c r="B3012" s="29"/>
      <c r="C3012" s="29"/>
      <c r="D3012" s="30"/>
      <c r="E3012" s="33"/>
      <c r="F3012" s="89"/>
    </row>
    <row r="3013" spans="2:6" s="6" customFormat="1" x14ac:dyDescent="0.3">
      <c r="B3013" s="29"/>
      <c r="C3013" s="29"/>
      <c r="D3013" s="30"/>
      <c r="E3013" s="33"/>
      <c r="F3013" s="89"/>
    </row>
    <row r="3014" spans="2:6" s="6" customFormat="1" x14ac:dyDescent="0.3">
      <c r="B3014" s="29"/>
      <c r="C3014" s="29"/>
      <c r="D3014" s="30"/>
      <c r="E3014" s="33"/>
      <c r="F3014" s="89"/>
    </row>
    <row r="3015" spans="2:6" s="6" customFormat="1" x14ac:dyDescent="0.3">
      <c r="B3015" s="29"/>
      <c r="C3015" s="29"/>
      <c r="D3015" s="30"/>
      <c r="E3015" s="33"/>
      <c r="F3015" s="89"/>
    </row>
    <row r="3016" spans="2:6" s="6" customFormat="1" x14ac:dyDescent="0.3">
      <c r="B3016" s="29"/>
      <c r="C3016" s="29"/>
      <c r="D3016" s="30"/>
      <c r="E3016" s="33"/>
      <c r="F3016" s="89"/>
    </row>
    <row r="3017" spans="2:6" s="6" customFormat="1" x14ac:dyDescent="0.3">
      <c r="B3017" s="29"/>
      <c r="C3017" s="29"/>
      <c r="D3017" s="30"/>
      <c r="E3017" s="33"/>
      <c r="F3017" s="89"/>
    </row>
    <row r="3018" spans="2:6" s="6" customFormat="1" x14ac:dyDescent="0.3">
      <c r="B3018" s="29"/>
      <c r="C3018" s="29"/>
      <c r="D3018" s="30"/>
      <c r="E3018" s="33"/>
      <c r="F3018" s="89"/>
    </row>
    <row r="3019" spans="2:6" s="6" customFormat="1" x14ac:dyDescent="0.3">
      <c r="B3019" s="29"/>
      <c r="C3019" s="29"/>
      <c r="D3019" s="30"/>
      <c r="E3019" s="33"/>
      <c r="F3019" s="89"/>
    </row>
    <row r="3020" spans="2:6" s="6" customFormat="1" x14ac:dyDescent="0.3">
      <c r="B3020" s="29"/>
      <c r="C3020" s="29"/>
      <c r="D3020" s="30"/>
      <c r="E3020" s="33"/>
      <c r="F3020" s="89"/>
    </row>
    <row r="3021" spans="2:6" s="6" customFormat="1" x14ac:dyDescent="0.3">
      <c r="B3021" s="29"/>
      <c r="C3021" s="29"/>
      <c r="D3021" s="30"/>
      <c r="E3021" s="33"/>
      <c r="F3021" s="89"/>
    </row>
    <row r="3022" spans="2:6" s="6" customFormat="1" x14ac:dyDescent="0.3">
      <c r="B3022" s="29"/>
      <c r="C3022" s="29"/>
      <c r="D3022" s="30"/>
      <c r="E3022" s="33"/>
      <c r="F3022" s="89"/>
    </row>
    <row r="3023" spans="2:6" s="6" customFormat="1" x14ac:dyDescent="0.3">
      <c r="B3023" s="29"/>
      <c r="C3023" s="29"/>
      <c r="D3023" s="30"/>
      <c r="E3023" s="33"/>
      <c r="F3023" s="89"/>
    </row>
    <row r="3024" spans="2:6" s="6" customFormat="1" x14ac:dyDescent="0.3">
      <c r="B3024" s="29"/>
      <c r="C3024" s="29"/>
      <c r="D3024" s="30"/>
      <c r="E3024" s="33"/>
      <c r="F3024" s="89"/>
    </row>
    <row r="3025" spans="2:6" s="6" customFormat="1" x14ac:dyDescent="0.3">
      <c r="B3025" s="29"/>
      <c r="C3025" s="29"/>
      <c r="D3025" s="30"/>
      <c r="E3025" s="33"/>
      <c r="F3025" s="89"/>
    </row>
    <row r="3026" spans="2:6" s="6" customFormat="1" x14ac:dyDescent="0.3">
      <c r="B3026" s="29"/>
      <c r="C3026" s="29"/>
      <c r="D3026" s="30"/>
      <c r="E3026" s="33"/>
      <c r="F3026" s="89"/>
    </row>
    <row r="3027" spans="2:6" s="6" customFormat="1" x14ac:dyDescent="0.3">
      <c r="B3027" s="29"/>
      <c r="C3027" s="29"/>
      <c r="D3027" s="30"/>
      <c r="E3027" s="33"/>
      <c r="F3027" s="89"/>
    </row>
    <row r="3028" spans="2:6" s="6" customFormat="1" x14ac:dyDescent="0.3">
      <c r="B3028" s="29"/>
      <c r="C3028" s="29"/>
      <c r="D3028" s="30"/>
      <c r="E3028" s="33"/>
      <c r="F3028" s="89"/>
    </row>
    <row r="3029" spans="2:6" s="6" customFormat="1" x14ac:dyDescent="0.3">
      <c r="B3029" s="29"/>
      <c r="C3029" s="29"/>
      <c r="D3029" s="30"/>
      <c r="E3029" s="33"/>
      <c r="F3029" s="89"/>
    </row>
    <row r="3030" spans="2:6" s="6" customFormat="1" x14ac:dyDescent="0.3">
      <c r="B3030" s="29"/>
      <c r="C3030" s="29"/>
      <c r="D3030" s="30"/>
      <c r="E3030" s="33"/>
      <c r="F3030" s="89"/>
    </row>
    <row r="3031" spans="2:6" s="6" customFormat="1" x14ac:dyDescent="0.3">
      <c r="B3031" s="29"/>
      <c r="C3031" s="29"/>
      <c r="D3031" s="30"/>
      <c r="E3031" s="33"/>
      <c r="F3031" s="89"/>
    </row>
    <row r="3032" spans="2:6" s="6" customFormat="1" x14ac:dyDescent="0.3">
      <c r="B3032" s="29"/>
      <c r="C3032" s="29"/>
      <c r="D3032" s="30"/>
      <c r="E3032" s="33"/>
      <c r="F3032" s="89"/>
    </row>
    <row r="3033" spans="2:6" s="6" customFormat="1" x14ac:dyDescent="0.3">
      <c r="B3033" s="29"/>
      <c r="C3033" s="29"/>
      <c r="D3033" s="30"/>
      <c r="E3033" s="33"/>
      <c r="F3033" s="89"/>
    </row>
    <row r="3034" spans="2:6" s="6" customFormat="1" x14ac:dyDescent="0.3">
      <c r="B3034" s="29"/>
      <c r="C3034" s="29"/>
      <c r="D3034" s="30"/>
      <c r="E3034" s="33"/>
      <c r="F3034" s="89"/>
    </row>
    <row r="3035" spans="2:6" s="6" customFormat="1" x14ac:dyDescent="0.3">
      <c r="B3035" s="29"/>
      <c r="C3035" s="29"/>
      <c r="D3035" s="30"/>
      <c r="E3035" s="33"/>
      <c r="F3035" s="89"/>
    </row>
    <row r="3036" spans="2:6" s="6" customFormat="1" x14ac:dyDescent="0.3">
      <c r="B3036" s="29"/>
      <c r="C3036" s="29"/>
      <c r="D3036" s="30"/>
      <c r="E3036" s="33"/>
      <c r="F3036" s="89"/>
    </row>
    <row r="3037" spans="2:6" s="6" customFormat="1" x14ac:dyDescent="0.3">
      <c r="B3037" s="29"/>
      <c r="C3037" s="29"/>
      <c r="D3037" s="30"/>
      <c r="E3037" s="33"/>
      <c r="F3037" s="89"/>
    </row>
    <row r="3038" spans="2:6" s="6" customFormat="1" x14ac:dyDescent="0.3">
      <c r="B3038" s="29"/>
      <c r="C3038" s="29"/>
      <c r="D3038" s="30"/>
      <c r="E3038" s="33"/>
      <c r="F3038" s="89"/>
    </row>
    <row r="3039" spans="2:6" s="6" customFormat="1" x14ac:dyDescent="0.3">
      <c r="B3039" s="29"/>
      <c r="C3039" s="29"/>
      <c r="D3039" s="30"/>
      <c r="E3039" s="33"/>
      <c r="F3039" s="89"/>
    </row>
    <row r="3040" spans="2:6" s="6" customFormat="1" x14ac:dyDescent="0.3">
      <c r="B3040" s="29"/>
      <c r="C3040" s="29"/>
      <c r="D3040" s="30"/>
      <c r="E3040" s="33"/>
      <c r="F3040" s="89"/>
    </row>
    <row r="3041" spans="2:6" s="6" customFormat="1" x14ac:dyDescent="0.3">
      <c r="B3041" s="29"/>
      <c r="C3041" s="29"/>
      <c r="D3041" s="30"/>
      <c r="E3041" s="33"/>
      <c r="F3041" s="89"/>
    </row>
    <row r="3042" spans="2:6" s="6" customFormat="1" x14ac:dyDescent="0.3">
      <c r="B3042" s="29"/>
      <c r="C3042" s="29"/>
      <c r="D3042" s="30"/>
      <c r="E3042" s="33"/>
      <c r="F3042" s="89"/>
    </row>
    <row r="3043" spans="2:6" s="6" customFormat="1" x14ac:dyDescent="0.3">
      <c r="B3043" s="29"/>
      <c r="C3043" s="29"/>
      <c r="D3043" s="30"/>
      <c r="E3043" s="33"/>
      <c r="F3043" s="89"/>
    </row>
    <row r="3044" spans="2:6" s="6" customFormat="1" x14ac:dyDescent="0.3">
      <c r="B3044" s="29"/>
      <c r="C3044" s="29"/>
      <c r="D3044" s="30"/>
      <c r="E3044" s="33"/>
      <c r="F3044" s="89"/>
    </row>
    <row r="3045" spans="2:6" s="6" customFormat="1" x14ac:dyDescent="0.3">
      <c r="B3045" s="29"/>
      <c r="C3045" s="29"/>
      <c r="D3045" s="30"/>
      <c r="E3045" s="33"/>
      <c r="F3045" s="89"/>
    </row>
    <row r="3046" spans="2:6" s="6" customFormat="1" x14ac:dyDescent="0.3">
      <c r="B3046" s="29"/>
      <c r="C3046" s="29"/>
      <c r="D3046" s="30"/>
      <c r="E3046" s="33"/>
      <c r="F3046" s="89"/>
    </row>
    <row r="3047" spans="2:6" s="6" customFormat="1" x14ac:dyDescent="0.3">
      <c r="B3047" s="29"/>
      <c r="C3047" s="29"/>
      <c r="D3047" s="30"/>
      <c r="E3047" s="33"/>
      <c r="F3047" s="89"/>
    </row>
    <row r="3048" spans="2:6" s="6" customFormat="1" x14ac:dyDescent="0.3">
      <c r="B3048" s="29"/>
      <c r="C3048" s="29"/>
      <c r="D3048" s="30"/>
      <c r="E3048" s="33"/>
      <c r="F3048" s="89"/>
    </row>
    <row r="3049" spans="2:6" s="6" customFormat="1" x14ac:dyDescent="0.3">
      <c r="B3049" s="29"/>
      <c r="C3049" s="29"/>
      <c r="D3049" s="30"/>
      <c r="E3049" s="33"/>
      <c r="F3049" s="89"/>
    </row>
    <row r="3050" spans="2:6" s="6" customFormat="1" x14ac:dyDescent="0.3">
      <c r="B3050" s="29"/>
      <c r="C3050" s="29"/>
      <c r="D3050" s="30"/>
      <c r="E3050" s="33"/>
      <c r="F3050" s="89"/>
    </row>
    <row r="3051" spans="2:6" s="6" customFormat="1" x14ac:dyDescent="0.3">
      <c r="B3051" s="29"/>
      <c r="C3051" s="29"/>
      <c r="D3051" s="30"/>
      <c r="E3051" s="33"/>
      <c r="F3051" s="89"/>
    </row>
    <row r="3052" spans="2:6" s="6" customFormat="1" x14ac:dyDescent="0.3">
      <c r="B3052" s="29"/>
      <c r="C3052" s="29"/>
      <c r="D3052" s="30"/>
      <c r="E3052" s="33"/>
      <c r="F3052" s="89"/>
    </row>
    <row r="3053" spans="2:6" s="6" customFormat="1" x14ac:dyDescent="0.3">
      <c r="B3053" s="29"/>
      <c r="C3053" s="29"/>
      <c r="D3053" s="30"/>
      <c r="E3053" s="33"/>
      <c r="F3053" s="89"/>
    </row>
    <row r="3054" spans="2:6" s="6" customFormat="1" x14ac:dyDescent="0.3">
      <c r="B3054" s="29"/>
      <c r="C3054" s="29"/>
      <c r="D3054" s="30"/>
      <c r="E3054" s="33"/>
      <c r="F3054" s="89"/>
    </row>
    <row r="3055" spans="2:6" s="6" customFormat="1" x14ac:dyDescent="0.3">
      <c r="B3055" s="29"/>
      <c r="C3055" s="29"/>
      <c r="D3055" s="30"/>
      <c r="E3055" s="33"/>
      <c r="F3055" s="89"/>
    </row>
    <row r="3056" spans="2:6" s="6" customFormat="1" x14ac:dyDescent="0.3">
      <c r="B3056" s="29"/>
      <c r="C3056" s="29"/>
      <c r="D3056" s="30"/>
      <c r="E3056" s="33"/>
      <c r="F3056" s="89"/>
    </row>
    <row r="3057" spans="2:6" s="6" customFormat="1" x14ac:dyDescent="0.3">
      <c r="B3057" s="29"/>
      <c r="C3057" s="29"/>
      <c r="D3057" s="30"/>
      <c r="E3057" s="33"/>
      <c r="F3057" s="89"/>
    </row>
    <row r="3058" spans="2:6" s="6" customFormat="1" x14ac:dyDescent="0.3">
      <c r="B3058" s="29"/>
      <c r="C3058" s="29"/>
      <c r="D3058" s="30"/>
      <c r="E3058" s="33"/>
      <c r="F3058" s="89"/>
    </row>
    <row r="3059" spans="2:6" s="6" customFormat="1" x14ac:dyDescent="0.3">
      <c r="B3059" s="29"/>
      <c r="C3059" s="29"/>
      <c r="D3059" s="30"/>
      <c r="E3059" s="33"/>
      <c r="F3059" s="89"/>
    </row>
    <row r="3060" spans="2:6" s="6" customFormat="1" x14ac:dyDescent="0.3">
      <c r="B3060" s="29"/>
      <c r="C3060" s="29"/>
      <c r="D3060" s="30"/>
      <c r="E3060" s="33"/>
      <c r="F3060" s="89"/>
    </row>
    <row r="3061" spans="2:6" s="6" customFormat="1" x14ac:dyDescent="0.3">
      <c r="B3061" s="29"/>
      <c r="C3061" s="29"/>
      <c r="D3061" s="30"/>
      <c r="E3061" s="33"/>
      <c r="F3061" s="89"/>
    </row>
    <row r="3062" spans="2:6" s="6" customFormat="1" x14ac:dyDescent="0.3">
      <c r="B3062" s="29"/>
      <c r="C3062" s="29"/>
      <c r="D3062" s="30"/>
      <c r="E3062" s="33"/>
      <c r="F3062" s="89"/>
    </row>
    <row r="3063" spans="2:6" s="6" customFormat="1" x14ac:dyDescent="0.3">
      <c r="B3063" s="29"/>
      <c r="C3063" s="29"/>
      <c r="D3063" s="30"/>
      <c r="E3063" s="33"/>
      <c r="F3063" s="89"/>
    </row>
    <row r="3064" spans="2:6" s="6" customFormat="1" x14ac:dyDescent="0.3">
      <c r="B3064" s="29"/>
      <c r="C3064" s="29"/>
      <c r="D3064" s="30"/>
      <c r="E3064" s="33"/>
      <c r="F3064" s="89"/>
    </row>
    <row r="3065" spans="2:6" s="6" customFormat="1" x14ac:dyDescent="0.3">
      <c r="B3065" s="29"/>
      <c r="C3065" s="29"/>
      <c r="D3065" s="30"/>
      <c r="E3065" s="33"/>
      <c r="F3065" s="89"/>
    </row>
    <row r="3066" spans="2:6" s="6" customFormat="1" x14ac:dyDescent="0.3">
      <c r="B3066" s="29"/>
      <c r="C3066" s="29"/>
      <c r="D3066" s="30"/>
      <c r="E3066" s="33"/>
      <c r="F3066" s="89"/>
    </row>
    <row r="3067" spans="2:6" s="6" customFormat="1" x14ac:dyDescent="0.3">
      <c r="B3067" s="29"/>
      <c r="C3067" s="29"/>
      <c r="D3067" s="30"/>
      <c r="E3067" s="33"/>
      <c r="F3067" s="89"/>
    </row>
    <row r="3068" spans="2:6" s="6" customFormat="1" x14ac:dyDescent="0.3">
      <c r="B3068" s="29"/>
      <c r="C3068" s="29"/>
      <c r="D3068" s="30"/>
      <c r="E3068" s="33"/>
      <c r="F3068" s="89"/>
    </row>
    <row r="3069" spans="2:6" s="6" customFormat="1" x14ac:dyDescent="0.3">
      <c r="B3069" s="29"/>
      <c r="C3069" s="29"/>
      <c r="D3069" s="30"/>
      <c r="E3069" s="33"/>
      <c r="F3069" s="89"/>
    </row>
    <row r="3070" spans="2:6" s="6" customFormat="1" x14ac:dyDescent="0.3">
      <c r="B3070" s="29"/>
      <c r="C3070" s="29"/>
      <c r="D3070" s="30"/>
      <c r="E3070" s="33"/>
      <c r="F3070" s="89"/>
    </row>
    <row r="3071" spans="2:6" s="6" customFormat="1" x14ac:dyDescent="0.3">
      <c r="B3071" s="29"/>
      <c r="C3071" s="29"/>
      <c r="D3071" s="30"/>
      <c r="E3071" s="33"/>
      <c r="F3071" s="89"/>
    </row>
    <row r="3072" spans="2:6" s="6" customFormat="1" x14ac:dyDescent="0.3">
      <c r="B3072" s="29"/>
      <c r="C3072" s="29"/>
      <c r="D3072" s="30"/>
      <c r="E3072" s="33"/>
      <c r="F3072" s="89"/>
    </row>
    <row r="3073" spans="2:6" s="6" customFormat="1" x14ac:dyDescent="0.3">
      <c r="B3073" s="29"/>
      <c r="C3073" s="29"/>
      <c r="D3073" s="30"/>
      <c r="E3073" s="33"/>
      <c r="F3073" s="89"/>
    </row>
    <row r="3074" spans="2:6" s="6" customFormat="1" x14ac:dyDescent="0.3">
      <c r="B3074" s="29"/>
      <c r="C3074" s="29"/>
      <c r="D3074" s="30"/>
      <c r="E3074" s="33"/>
      <c r="F3074" s="89"/>
    </row>
    <row r="3075" spans="2:6" s="6" customFormat="1" x14ac:dyDescent="0.3">
      <c r="B3075" s="29"/>
      <c r="C3075" s="29"/>
      <c r="D3075" s="30"/>
      <c r="E3075" s="33"/>
      <c r="F3075" s="89"/>
    </row>
    <row r="3076" spans="2:6" s="6" customFormat="1" x14ac:dyDescent="0.3">
      <c r="B3076" s="29"/>
      <c r="C3076" s="29"/>
      <c r="D3076" s="30"/>
      <c r="E3076" s="33"/>
      <c r="F3076" s="89"/>
    </row>
    <row r="3077" spans="2:6" s="6" customFormat="1" x14ac:dyDescent="0.3">
      <c r="B3077" s="29"/>
      <c r="C3077" s="29"/>
      <c r="D3077" s="30"/>
      <c r="E3077" s="33"/>
      <c r="F3077" s="89"/>
    </row>
    <row r="3078" spans="2:6" s="6" customFormat="1" x14ac:dyDescent="0.3">
      <c r="B3078" s="29"/>
      <c r="C3078" s="29"/>
      <c r="D3078" s="30"/>
      <c r="E3078" s="33"/>
      <c r="F3078" s="89"/>
    </row>
    <row r="3079" spans="2:6" s="6" customFormat="1" x14ac:dyDescent="0.3">
      <c r="B3079" s="29"/>
      <c r="C3079" s="29"/>
      <c r="D3079" s="30"/>
      <c r="E3079" s="33"/>
      <c r="F3079" s="89"/>
    </row>
    <row r="3080" spans="2:6" s="6" customFormat="1" x14ac:dyDescent="0.3">
      <c r="B3080" s="29"/>
      <c r="C3080" s="29"/>
      <c r="D3080" s="30"/>
      <c r="E3080" s="33"/>
      <c r="F3080" s="89"/>
    </row>
    <row r="3081" spans="2:6" s="6" customFormat="1" x14ac:dyDescent="0.3">
      <c r="B3081" s="29"/>
      <c r="C3081" s="29"/>
      <c r="D3081" s="30"/>
      <c r="E3081" s="33"/>
      <c r="F3081" s="89"/>
    </row>
    <row r="3082" spans="2:6" s="6" customFormat="1" x14ac:dyDescent="0.3">
      <c r="B3082" s="29"/>
      <c r="C3082" s="29"/>
      <c r="D3082" s="30"/>
      <c r="E3082" s="33"/>
      <c r="F3082" s="89"/>
    </row>
    <row r="3083" spans="2:6" s="6" customFormat="1" x14ac:dyDescent="0.3">
      <c r="B3083" s="29"/>
      <c r="C3083" s="29"/>
      <c r="D3083" s="30"/>
      <c r="E3083" s="33"/>
      <c r="F3083" s="89"/>
    </row>
    <row r="3084" spans="2:6" s="6" customFormat="1" x14ac:dyDescent="0.3">
      <c r="B3084" s="29"/>
      <c r="C3084" s="29"/>
      <c r="D3084" s="30"/>
      <c r="E3084" s="33"/>
      <c r="F3084" s="89"/>
    </row>
    <row r="3085" spans="2:6" s="6" customFormat="1" x14ac:dyDescent="0.3">
      <c r="B3085" s="29"/>
      <c r="C3085" s="29"/>
      <c r="D3085" s="30"/>
      <c r="E3085" s="33"/>
      <c r="F3085" s="89"/>
    </row>
    <row r="3086" spans="2:6" s="6" customFormat="1" x14ac:dyDescent="0.3">
      <c r="B3086" s="29"/>
      <c r="C3086" s="29"/>
      <c r="D3086" s="30"/>
      <c r="E3086" s="33"/>
      <c r="F3086" s="89"/>
    </row>
    <row r="3087" spans="2:6" s="6" customFormat="1" x14ac:dyDescent="0.3">
      <c r="B3087" s="29"/>
      <c r="C3087" s="29"/>
      <c r="D3087" s="30"/>
      <c r="E3087" s="33"/>
      <c r="F3087" s="89"/>
    </row>
    <row r="3088" spans="2:6" s="6" customFormat="1" x14ac:dyDescent="0.3">
      <c r="B3088" s="29"/>
      <c r="C3088" s="29"/>
      <c r="D3088" s="30"/>
      <c r="E3088" s="33"/>
      <c r="F3088" s="89"/>
    </row>
    <row r="3089" spans="2:6" s="6" customFormat="1" x14ac:dyDescent="0.3">
      <c r="B3089" s="29"/>
      <c r="C3089" s="29"/>
      <c r="D3089" s="30"/>
      <c r="E3089" s="33"/>
      <c r="F3089" s="89"/>
    </row>
    <row r="3090" spans="2:6" s="6" customFormat="1" x14ac:dyDescent="0.3">
      <c r="B3090" s="29"/>
      <c r="C3090" s="29"/>
      <c r="D3090" s="30"/>
      <c r="E3090" s="33"/>
      <c r="F3090" s="89"/>
    </row>
    <row r="3091" spans="2:6" s="6" customFormat="1" x14ac:dyDescent="0.3">
      <c r="B3091" s="29"/>
      <c r="C3091" s="29"/>
      <c r="D3091" s="30"/>
      <c r="E3091" s="33"/>
      <c r="F3091" s="89"/>
    </row>
    <row r="3092" spans="2:6" s="6" customFormat="1" x14ac:dyDescent="0.3">
      <c r="B3092" s="29"/>
      <c r="C3092" s="29"/>
      <c r="D3092" s="30"/>
      <c r="E3092" s="33"/>
      <c r="F3092" s="89"/>
    </row>
    <row r="3093" spans="2:6" s="6" customFormat="1" x14ac:dyDescent="0.3">
      <c r="B3093" s="29"/>
      <c r="C3093" s="29"/>
      <c r="D3093" s="30"/>
      <c r="E3093" s="33"/>
      <c r="F3093" s="89"/>
    </row>
    <row r="3094" spans="2:6" s="6" customFormat="1" x14ac:dyDescent="0.3">
      <c r="B3094" s="29"/>
      <c r="C3094" s="29"/>
      <c r="D3094" s="30"/>
      <c r="E3094" s="33"/>
      <c r="F3094" s="89"/>
    </row>
    <row r="3095" spans="2:6" s="6" customFormat="1" x14ac:dyDescent="0.3">
      <c r="B3095" s="29"/>
      <c r="C3095" s="29"/>
      <c r="D3095" s="30"/>
      <c r="E3095" s="33"/>
      <c r="F3095" s="89"/>
    </row>
    <row r="3096" spans="2:6" s="6" customFormat="1" x14ac:dyDescent="0.3">
      <c r="B3096" s="29"/>
      <c r="C3096" s="29"/>
      <c r="D3096" s="30"/>
      <c r="E3096" s="33"/>
      <c r="F3096" s="89"/>
    </row>
    <row r="3097" spans="2:6" s="6" customFormat="1" x14ac:dyDescent="0.3">
      <c r="B3097" s="29"/>
      <c r="C3097" s="29"/>
      <c r="D3097" s="30"/>
      <c r="E3097" s="33"/>
      <c r="F3097" s="89"/>
    </row>
    <row r="3098" spans="2:6" s="6" customFormat="1" x14ac:dyDescent="0.3">
      <c r="B3098" s="29"/>
      <c r="C3098" s="29"/>
      <c r="D3098" s="30"/>
      <c r="E3098" s="33"/>
      <c r="F3098" s="89"/>
    </row>
    <row r="3099" spans="2:6" s="6" customFormat="1" x14ac:dyDescent="0.3">
      <c r="B3099" s="29"/>
      <c r="C3099" s="29"/>
      <c r="D3099" s="30"/>
      <c r="E3099" s="33"/>
      <c r="F3099" s="89"/>
    </row>
    <row r="3100" spans="2:6" s="6" customFormat="1" x14ac:dyDescent="0.3">
      <c r="B3100" s="29"/>
      <c r="C3100" s="29"/>
      <c r="D3100" s="30"/>
      <c r="E3100" s="33"/>
      <c r="F3100" s="89"/>
    </row>
    <row r="3101" spans="2:6" s="6" customFormat="1" x14ac:dyDescent="0.3">
      <c r="B3101" s="29"/>
      <c r="C3101" s="29"/>
      <c r="D3101" s="30"/>
      <c r="E3101" s="33"/>
      <c r="F3101" s="89"/>
    </row>
    <row r="3102" spans="2:6" s="6" customFormat="1" x14ac:dyDescent="0.3">
      <c r="B3102" s="29"/>
      <c r="C3102" s="29"/>
      <c r="D3102" s="30"/>
      <c r="E3102" s="33"/>
      <c r="F3102" s="89"/>
    </row>
    <row r="3103" spans="2:6" s="6" customFormat="1" x14ac:dyDescent="0.3">
      <c r="B3103" s="29"/>
      <c r="C3103" s="29"/>
      <c r="D3103" s="30"/>
      <c r="E3103" s="33"/>
      <c r="F3103" s="89"/>
    </row>
    <row r="3104" spans="2:6" s="6" customFormat="1" x14ac:dyDescent="0.3">
      <c r="B3104" s="29"/>
      <c r="C3104" s="29"/>
      <c r="D3104" s="30"/>
      <c r="E3104" s="33"/>
      <c r="F3104" s="89"/>
    </row>
    <row r="3105" spans="2:6" s="6" customFormat="1" x14ac:dyDescent="0.3">
      <c r="B3105" s="29"/>
      <c r="C3105" s="29"/>
      <c r="D3105" s="30"/>
      <c r="E3105" s="33"/>
      <c r="F3105" s="89"/>
    </row>
    <row r="3106" spans="2:6" s="6" customFormat="1" x14ac:dyDescent="0.3">
      <c r="B3106" s="29"/>
      <c r="C3106" s="29"/>
      <c r="D3106" s="30"/>
      <c r="E3106" s="33"/>
      <c r="F3106" s="89"/>
    </row>
    <row r="3107" spans="2:6" s="6" customFormat="1" x14ac:dyDescent="0.3">
      <c r="B3107" s="29"/>
      <c r="C3107" s="29"/>
      <c r="D3107" s="30"/>
      <c r="E3107" s="33"/>
      <c r="F3107" s="89"/>
    </row>
    <row r="3108" spans="2:6" s="6" customFormat="1" x14ac:dyDescent="0.3">
      <c r="B3108" s="29"/>
      <c r="C3108" s="29"/>
      <c r="D3108" s="30"/>
      <c r="E3108" s="33"/>
      <c r="F3108" s="89"/>
    </row>
    <row r="3109" spans="2:6" s="6" customFormat="1" x14ac:dyDescent="0.3">
      <c r="B3109" s="29"/>
      <c r="C3109" s="29"/>
      <c r="D3109" s="30"/>
      <c r="E3109" s="33"/>
      <c r="F3109" s="89"/>
    </row>
    <row r="3110" spans="2:6" s="6" customFormat="1" x14ac:dyDescent="0.3">
      <c r="B3110" s="29"/>
      <c r="C3110" s="29"/>
      <c r="D3110" s="30"/>
      <c r="E3110" s="33"/>
      <c r="F3110" s="89"/>
    </row>
    <row r="3111" spans="2:6" s="6" customFormat="1" x14ac:dyDescent="0.3">
      <c r="B3111" s="29"/>
      <c r="C3111" s="29"/>
      <c r="D3111" s="30"/>
      <c r="E3111" s="33"/>
      <c r="F3111" s="89"/>
    </row>
    <row r="3112" spans="2:6" s="6" customFormat="1" x14ac:dyDescent="0.3">
      <c r="B3112" s="29"/>
      <c r="C3112" s="29"/>
      <c r="D3112" s="30"/>
      <c r="E3112" s="33"/>
      <c r="F3112" s="89"/>
    </row>
    <row r="3113" spans="2:6" s="6" customFormat="1" x14ac:dyDescent="0.3">
      <c r="B3113" s="29"/>
      <c r="C3113" s="29"/>
      <c r="D3113" s="30"/>
      <c r="E3113" s="33"/>
      <c r="F3113" s="89"/>
    </row>
    <row r="3114" spans="2:6" s="6" customFormat="1" x14ac:dyDescent="0.3">
      <c r="B3114" s="29"/>
      <c r="C3114" s="29"/>
      <c r="D3114" s="30"/>
      <c r="E3114" s="33"/>
      <c r="F3114" s="89"/>
    </row>
    <row r="3115" spans="2:6" s="6" customFormat="1" x14ac:dyDescent="0.3">
      <c r="B3115" s="29"/>
      <c r="C3115" s="29"/>
      <c r="D3115" s="30"/>
      <c r="E3115" s="33"/>
      <c r="F3115" s="89"/>
    </row>
    <row r="3116" spans="2:6" s="6" customFormat="1" x14ac:dyDescent="0.3">
      <c r="B3116" s="29"/>
      <c r="C3116" s="29"/>
      <c r="D3116" s="30"/>
      <c r="E3116" s="33"/>
      <c r="F3116" s="89"/>
    </row>
    <row r="3117" spans="2:6" s="6" customFormat="1" x14ac:dyDescent="0.3">
      <c r="B3117" s="29"/>
      <c r="C3117" s="29"/>
      <c r="D3117" s="30"/>
      <c r="E3117" s="33"/>
      <c r="F3117" s="89"/>
    </row>
    <row r="3118" spans="2:6" s="6" customFormat="1" x14ac:dyDescent="0.3">
      <c r="B3118" s="29"/>
      <c r="C3118" s="29"/>
      <c r="D3118" s="30"/>
      <c r="E3118" s="33"/>
      <c r="F3118" s="89"/>
    </row>
    <row r="3119" spans="2:6" s="6" customFormat="1" x14ac:dyDescent="0.3">
      <c r="B3119" s="29"/>
      <c r="C3119" s="29"/>
      <c r="D3119" s="30"/>
      <c r="E3119" s="33"/>
      <c r="F3119" s="89"/>
    </row>
    <row r="3120" spans="2:6" s="6" customFormat="1" x14ac:dyDescent="0.3">
      <c r="B3120" s="29"/>
      <c r="C3120" s="29"/>
      <c r="D3120" s="30"/>
      <c r="E3120" s="33"/>
      <c r="F3120" s="89"/>
    </row>
    <row r="3121" spans="2:6" s="6" customFormat="1" x14ac:dyDescent="0.3">
      <c r="B3121" s="29"/>
      <c r="C3121" s="29"/>
      <c r="D3121" s="30"/>
      <c r="E3121" s="33"/>
      <c r="F3121" s="89"/>
    </row>
    <row r="3122" spans="2:6" s="6" customFormat="1" x14ac:dyDescent="0.3">
      <c r="B3122" s="29"/>
      <c r="C3122" s="29"/>
      <c r="D3122" s="30"/>
      <c r="E3122" s="33"/>
      <c r="F3122" s="89"/>
    </row>
    <row r="3123" spans="2:6" s="6" customFormat="1" x14ac:dyDescent="0.3">
      <c r="B3123" s="29"/>
      <c r="C3123" s="29"/>
      <c r="D3123" s="30"/>
      <c r="E3123" s="33"/>
      <c r="F3123" s="89"/>
    </row>
    <row r="3124" spans="2:6" s="6" customFormat="1" x14ac:dyDescent="0.3">
      <c r="B3124" s="29"/>
      <c r="C3124" s="29"/>
      <c r="D3124" s="30"/>
      <c r="E3124" s="33"/>
      <c r="F3124" s="89"/>
    </row>
    <row r="3125" spans="2:6" s="6" customFormat="1" x14ac:dyDescent="0.3">
      <c r="B3125" s="29"/>
      <c r="C3125" s="29"/>
      <c r="D3125" s="30"/>
      <c r="E3125" s="33"/>
      <c r="F3125" s="89"/>
    </row>
    <row r="3126" spans="2:6" s="6" customFormat="1" x14ac:dyDescent="0.3">
      <c r="B3126" s="29"/>
      <c r="C3126" s="29"/>
      <c r="D3126" s="30"/>
      <c r="E3126" s="33"/>
      <c r="F3126" s="89"/>
    </row>
    <row r="3127" spans="2:6" s="6" customFormat="1" x14ac:dyDescent="0.3">
      <c r="B3127" s="29"/>
      <c r="C3127" s="29"/>
      <c r="D3127" s="30"/>
      <c r="E3127" s="33"/>
      <c r="F3127" s="89"/>
    </row>
    <row r="3128" spans="2:6" s="6" customFormat="1" x14ac:dyDescent="0.3">
      <c r="B3128" s="29"/>
      <c r="C3128" s="29"/>
      <c r="D3128" s="30"/>
      <c r="E3128" s="33"/>
      <c r="F3128" s="89"/>
    </row>
    <row r="3129" spans="2:6" s="6" customFormat="1" x14ac:dyDescent="0.3">
      <c r="B3129" s="29"/>
      <c r="C3129" s="29"/>
      <c r="D3129" s="30"/>
      <c r="E3129" s="33"/>
      <c r="F3129" s="89"/>
    </row>
    <row r="3130" spans="2:6" s="6" customFormat="1" x14ac:dyDescent="0.3">
      <c r="B3130" s="29"/>
      <c r="C3130" s="29"/>
      <c r="D3130" s="30"/>
      <c r="E3130" s="33"/>
      <c r="F3130" s="89"/>
    </row>
    <row r="3131" spans="2:6" s="6" customFormat="1" x14ac:dyDescent="0.3">
      <c r="B3131" s="29"/>
      <c r="C3131" s="29"/>
      <c r="D3131" s="30"/>
      <c r="E3131" s="33"/>
      <c r="F3131" s="89"/>
    </row>
    <row r="3132" spans="2:6" s="6" customFormat="1" x14ac:dyDescent="0.3">
      <c r="B3132" s="29"/>
      <c r="C3132" s="29"/>
      <c r="D3132" s="30"/>
      <c r="E3132" s="33"/>
      <c r="F3132" s="89"/>
    </row>
    <row r="3133" spans="2:6" s="6" customFormat="1" x14ac:dyDescent="0.3">
      <c r="B3133" s="29"/>
      <c r="C3133" s="29"/>
      <c r="D3133" s="30"/>
      <c r="E3133" s="33"/>
      <c r="F3133" s="89"/>
    </row>
    <row r="3134" spans="2:6" s="6" customFormat="1" x14ac:dyDescent="0.3">
      <c r="B3134" s="29"/>
      <c r="C3134" s="29"/>
      <c r="D3134" s="30"/>
      <c r="E3134" s="33"/>
      <c r="F3134" s="89"/>
    </row>
    <row r="3135" spans="2:6" s="6" customFormat="1" x14ac:dyDescent="0.3">
      <c r="B3135" s="29"/>
      <c r="C3135" s="29"/>
      <c r="D3135" s="30"/>
      <c r="E3135" s="33"/>
      <c r="F3135" s="89"/>
    </row>
    <row r="3136" spans="2:6" s="6" customFormat="1" x14ac:dyDescent="0.3">
      <c r="B3136" s="29"/>
      <c r="C3136" s="29"/>
      <c r="D3136" s="30"/>
      <c r="E3136" s="33"/>
      <c r="F3136" s="89"/>
    </row>
    <row r="3137" spans="2:6" s="6" customFormat="1" x14ac:dyDescent="0.3">
      <c r="B3137" s="29"/>
      <c r="C3137" s="29"/>
      <c r="D3137" s="30"/>
      <c r="E3137" s="33"/>
      <c r="F3137" s="89"/>
    </row>
    <row r="3138" spans="2:6" s="6" customFormat="1" x14ac:dyDescent="0.3">
      <c r="B3138" s="29"/>
      <c r="C3138" s="29"/>
      <c r="D3138" s="30"/>
      <c r="E3138" s="33"/>
      <c r="F3138" s="89"/>
    </row>
    <row r="3139" spans="2:6" s="6" customFormat="1" x14ac:dyDescent="0.3">
      <c r="B3139" s="29"/>
      <c r="C3139" s="29"/>
      <c r="D3139" s="30"/>
      <c r="E3139" s="33"/>
      <c r="F3139" s="89"/>
    </row>
    <row r="3140" spans="2:6" s="6" customFormat="1" x14ac:dyDescent="0.3">
      <c r="B3140" s="29"/>
      <c r="C3140" s="29"/>
      <c r="D3140" s="30"/>
      <c r="E3140" s="33"/>
      <c r="F3140" s="89"/>
    </row>
    <row r="3141" spans="2:6" s="6" customFormat="1" x14ac:dyDescent="0.3">
      <c r="B3141" s="29"/>
      <c r="C3141" s="29"/>
      <c r="D3141" s="30"/>
      <c r="E3141" s="33"/>
      <c r="F3141" s="89"/>
    </row>
    <row r="3142" spans="2:6" s="6" customFormat="1" x14ac:dyDescent="0.3">
      <c r="B3142" s="29"/>
      <c r="C3142" s="29"/>
      <c r="D3142" s="30"/>
      <c r="E3142" s="33"/>
      <c r="F3142" s="89"/>
    </row>
    <row r="3143" spans="2:6" s="6" customFormat="1" x14ac:dyDescent="0.3">
      <c r="B3143" s="29"/>
      <c r="C3143" s="29"/>
      <c r="D3143" s="30"/>
      <c r="E3143" s="33"/>
      <c r="F3143" s="89"/>
    </row>
    <row r="3144" spans="2:6" s="6" customFormat="1" x14ac:dyDescent="0.3">
      <c r="B3144" s="29"/>
      <c r="C3144" s="29"/>
      <c r="D3144" s="30"/>
      <c r="E3144" s="33"/>
      <c r="F3144" s="89"/>
    </row>
    <row r="3145" spans="2:6" s="6" customFormat="1" x14ac:dyDescent="0.3">
      <c r="B3145" s="29"/>
      <c r="C3145" s="29"/>
      <c r="D3145" s="30"/>
      <c r="E3145" s="33"/>
      <c r="F3145" s="89"/>
    </row>
    <row r="3146" spans="2:6" s="6" customFormat="1" x14ac:dyDescent="0.3">
      <c r="B3146" s="29"/>
      <c r="C3146" s="29"/>
      <c r="D3146" s="30"/>
      <c r="E3146" s="33"/>
      <c r="F3146" s="89"/>
    </row>
    <row r="3147" spans="2:6" s="6" customFormat="1" x14ac:dyDescent="0.3">
      <c r="B3147" s="29"/>
      <c r="C3147" s="29"/>
      <c r="D3147" s="30"/>
      <c r="E3147" s="33"/>
      <c r="F3147" s="89"/>
    </row>
    <row r="3148" spans="2:6" s="6" customFormat="1" x14ac:dyDescent="0.3">
      <c r="B3148" s="29"/>
      <c r="C3148" s="29"/>
      <c r="D3148" s="30"/>
      <c r="E3148" s="33"/>
      <c r="F3148" s="89"/>
    </row>
    <row r="3149" spans="2:6" s="6" customFormat="1" x14ac:dyDescent="0.3">
      <c r="B3149" s="29"/>
      <c r="C3149" s="29"/>
      <c r="D3149" s="30"/>
      <c r="E3149" s="33"/>
      <c r="F3149" s="89"/>
    </row>
    <row r="3150" spans="2:6" s="6" customFormat="1" x14ac:dyDescent="0.3">
      <c r="B3150" s="29"/>
      <c r="C3150" s="29"/>
      <c r="D3150" s="30"/>
      <c r="E3150" s="33"/>
      <c r="F3150" s="89"/>
    </row>
    <row r="3151" spans="2:6" s="6" customFormat="1" x14ac:dyDescent="0.3">
      <c r="B3151" s="29"/>
      <c r="C3151" s="29"/>
      <c r="D3151" s="30"/>
      <c r="E3151" s="33"/>
      <c r="F3151" s="89"/>
    </row>
    <row r="3152" spans="2:6" s="6" customFormat="1" x14ac:dyDescent="0.3">
      <c r="B3152" s="29"/>
      <c r="C3152" s="29"/>
      <c r="D3152" s="30"/>
      <c r="E3152" s="33"/>
      <c r="F3152" s="89"/>
    </row>
    <row r="3153" spans="2:6" s="6" customFormat="1" x14ac:dyDescent="0.3">
      <c r="B3153" s="29"/>
      <c r="C3153" s="29"/>
      <c r="D3153" s="30"/>
      <c r="E3153" s="33"/>
      <c r="F3153" s="89"/>
    </row>
    <row r="3154" spans="2:6" s="6" customFormat="1" x14ac:dyDescent="0.3">
      <c r="B3154" s="29"/>
      <c r="C3154" s="29"/>
      <c r="D3154" s="30"/>
      <c r="E3154" s="33"/>
      <c r="F3154" s="89"/>
    </row>
    <row r="3155" spans="2:6" s="6" customFormat="1" x14ac:dyDescent="0.3">
      <c r="B3155" s="29"/>
      <c r="C3155" s="29"/>
      <c r="D3155" s="30"/>
      <c r="E3155" s="33"/>
      <c r="F3155" s="89"/>
    </row>
    <row r="3156" spans="2:6" s="6" customFormat="1" x14ac:dyDescent="0.3">
      <c r="B3156" s="29"/>
      <c r="C3156" s="29"/>
      <c r="D3156" s="30"/>
      <c r="E3156" s="33"/>
      <c r="F3156" s="89"/>
    </row>
    <row r="3157" spans="2:6" s="6" customFormat="1" x14ac:dyDescent="0.3">
      <c r="B3157" s="29"/>
      <c r="C3157" s="29"/>
      <c r="D3157" s="30"/>
      <c r="E3157" s="33"/>
      <c r="F3157" s="89"/>
    </row>
    <row r="3158" spans="2:6" s="6" customFormat="1" x14ac:dyDescent="0.3">
      <c r="B3158" s="29"/>
      <c r="C3158" s="29"/>
      <c r="D3158" s="30"/>
      <c r="E3158" s="33"/>
      <c r="F3158" s="89"/>
    </row>
    <row r="3159" spans="2:6" s="6" customFormat="1" x14ac:dyDescent="0.3">
      <c r="B3159" s="29"/>
      <c r="C3159" s="29"/>
      <c r="D3159" s="30"/>
      <c r="E3159" s="33"/>
      <c r="F3159" s="89"/>
    </row>
    <row r="3160" spans="2:6" s="6" customFormat="1" x14ac:dyDescent="0.3">
      <c r="B3160" s="29"/>
      <c r="C3160" s="29"/>
      <c r="D3160" s="30"/>
      <c r="E3160" s="33"/>
      <c r="F3160" s="89"/>
    </row>
    <row r="3161" spans="2:6" s="6" customFormat="1" x14ac:dyDescent="0.3">
      <c r="B3161" s="29"/>
      <c r="C3161" s="29"/>
      <c r="D3161" s="30"/>
      <c r="E3161" s="33"/>
      <c r="F3161" s="89"/>
    </row>
    <row r="3162" spans="2:6" s="6" customFormat="1" x14ac:dyDescent="0.3">
      <c r="B3162" s="29"/>
      <c r="C3162" s="29"/>
      <c r="D3162" s="30"/>
      <c r="E3162" s="33"/>
      <c r="F3162" s="89"/>
    </row>
    <row r="3163" spans="2:6" s="6" customFormat="1" x14ac:dyDescent="0.3">
      <c r="B3163" s="29"/>
      <c r="C3163" s="29"/>
      <c r="D3163" s="30"/>
      <c r="E3163" s="33"/>
      <c r="F3163" s="89"/>
    </row>
    <row r="3164" spans="2:6" s="6" customFormat="1" x14ac:dyDescent="0.3">
      <c r="B3164" s="29"/>
      <c r="C3164" s="29"/>
      <c r="D3164" s="30"/>
      <c r="E3164" s="33"/>
      <c r="F3164" s="89"/>
    </row>
    <row r="3165" spans="2:6" s="6" customFormat="1" x14ac:dyDescent="0.3">
      <c r="B3165" s="29"/>
      <c r="C3165" s="29"/>
      <c r="D3165" s="30"/>
      <c r="E3165" s="33"/>
      <c r="F3165" s="89"/>
    </row>
    <row r="3166" spans="2:6" s="6" customFormat="1" x14ac:dyDescent="0.3">
      <c r="B3166" s="29"/>
      <c r="C3166" s="29"/>
      <c r="D3166" s="30"/>
      <c r="E3166" s="33"/>
      <c r="F3166" s="89"/>
    </row>
    <row r="3167" spans="2:6" s="6" customFormat="1" x14ac:dyDescent="0.3">
      <c r="B3167" s="29"/>
      <c r="C3167" s="29"/>
      <c r="D3167" s="30"/>
      <c r="E3167" s="33"/>
      <c r="F3167" s="89"/>
    </row>
    <row r="3168" spans="2:6" s="6" customFormat="1" x14ac:dyDescent="0.3">
      <c r="B3168" s="29"/>
      <c r="C3168" s="29"/>
      <c r="D3168" s="30"/>
      <c r="E3168" s="33"/>
      <c r="F3168" s="89"/>
    </row>
    <row r="3169" spans="2:6" s="6" customFormat="1" x14ac:dyDescent="0.3">
      <c r="B3169" s="29"/>
      <c r="C3169" s="29"/>
      <c r="D3169" s="30"/>
      <c r="E3169" s="33"/>
      <c r="F3169" s="89"/>
    </row>
    <row r="3170" spans="2:6" s="6" customFormat="1" x14ac:dyDescent="0.3">
      <c r="B3170" s="29"/>
      <c r="C3170" s="29"/>
      <c r="D3170" s="30"/>
      <c r="E3170" s="33"/>
      <c r="F3170" s="89"/>
    </row>
    <row r="3171" spans="2:6" s="6" customFormat="1" x14ac:dyDescent="0.3">
      <c r="B3171" s="29"/>
      <c r="C3171" s="29"/>
      <c r="D3171" s="30"/>
      <c r="E3171" s="33"/>
      <c r="F3171" s="89"/>
    </row>
    <row r="3172" spans="2:6" s="6" customFormat="1" x14ac:dyDescent="0.3">
      <c r="B3172" s="29"/>
      <c r="C3172" s="29"/>
      <c r="D3172" s="30"/>
      <c r="E3172" s="33"/>
      <c r="F3172" s="89"/>
    </row>
    <row r="3173" spans="2:6" s="6" customFormat="1" x14ac:dyDescent="0.3">
      <c r="B3173" s="29"/>
      <c r="C3173" s="29"/>
      <c r="D3173" s="30"/>
      <c r="E3173" s="33"/>
      <c r="F3173" s="89"/>
    </row>
    <row r="3174" spans="2:6" s="6" customFormat="1" x14ac:dyDescent="0.3">
      <c r="B3174" s="29"/>
      <c r="C3174" s="29"/>
      <c r="D3174" s="30"/>
      <c r="E3174" s="33"/>
      <c r="F3174" s="89"/>
    </row>
    <row r="3175" spans="2:6" s="6" customFormat="1" x14ac:dyDescent="0.3">
      <c r="B3175" s="29"/>
      <c r="C3175" s="29"/>
      <c r="D3175" s="30"/>
      <c r="E3175" s="33"/>
      <c r="F3175" s="89"/>
    </row>
    <row r="3176" spans="2:6" s="6" customFormat="1" x14ac:dyDescent="0.3">
      <c r="B3176" s="29"/>
      <c r="C3176" s="29"/>
      <c r="D3176" s="30"/>
      <c r="E3176" s="33"/>
      <c r="F3176" s="89"/>
    </row>
    <row r="3177" spans="2:6" s="6" customFormat="1" x14ac:dyDescent="0.3">
      <c r="B3177" s="29"/>
      <c r="C3177" s="29"/>
      <c r="D3177" s="30"/>
      <c r="E3177" s="33"/>
      <c r="F3177" s="89"/>
    </row>
    <row r="3178" spans="2:6" s="6" customFormat="1" x14ac:dyDescent="0.3">
      <c r="B3178" s="29"/>
      <c r="C3178" s="29"/>
      <c r="D3178" s="30"/>
      <c r="E3178" s="33"/>
      <c r="F3178" s="89"/>
    </row>
    <row r="3179" spans="2:6" s="6" customFormat="1" x14ac:dyDescent="0.3">
      <c r="B3179" s="29"/>
      <c r="C3179" s="29"/>
      <c r="D3179" s="30"/>
      <c r="E3179" s="33"/>
      <c r="F3179" s="89"/>
    </row>
    <row r="3180" spans="2:6" s="6" customFormat="1" x14ac:dyDescent="0.3">
      <c r="B3180" s="29"/>
      <c r="C3180" s="29"/>
      <c r="D3180" s="30"/>
      <c r="E3180" s="33"/>
      <c r="F3180" s="89"/>
    </row>
    <row r="3181" spans="2:6" s="6" customFormat="1" x14ac:dyDescent="0.3">
      <c r="B3181" s="29"/>
      <c r="C3181" s="29"/>
      <c r="D3181" s="30"/>
      <c r="E3181" s="33"/>
      <c r="F3181" s="89"/>
    </row>
    <row r="3182" spans="2:6" s="6" customFormat="1" x14ac:dyDescent="0.3">
      <c r="B3182" s="29"/>
      <c r="C3182" s="29"/>
      <c r="D3182" s="30"/>
      <c r="E3182" s="33"/>
      <c r="F3182" s="89"/>
    </row>
    <row r="3183" spans="2:6" s="6" customFormat="1" x14ac:dyDescent="0.3">
      <c r="B3183" s="29"/>
      <c r="C3183" s="29"/>
      <c r="D3183" s="30"/>
      <c r="E3183" s="33"/>
      <c r="F3183" s="89"/>
    </row>
    <row r="3184" spans="2:6" s="6" customFormat="1" x14ac:dyDescent="0.3">
      <c r="B3184" s="29"/>
      <c r="C3184" s="29"/>
      <c r="D3184" s="30"/>
      <c r="E3184" s="33"/>
      <c r="F3184" s="89"/>
    </row>
    <row r="3185" spans="2:6" s="6" customFormat="1" x14ac:dyDescent="0.3">
      <c r="B3185" s="29"/>
      <c r="C3185" s="29"/>
      <c r="D3185" s="30"/>
      <c r="E3185" s="33"/>
      <c r="F3185" s="89"/>
    </row>
    <row r="3186" spans="2:6" s="6" customFormat="1" x14ac:dyDescent="0.3">
      <c r="B3186" s="29"/>
      <c r="C3186" s="29"/>
      <c r="D3186" s="30"/>
      <c r="E3186" s="33"/>
      <c r="F3186" s="89"/>
    </row>
    <row r="3187" spans="2:6" s="6" customFormat="1" x14ac:dyDescent="0.3">
      <c r="B3187" s="29"/>
      <c r="C3187" s="29"/>
      <c r="D3187" s="30"/>
      <c r="E3187" s="33"/>
      <c r="F3187" s="89"/>
    </row>
    <row r="3188" spans="2:6" s="6" customFormat="1" x14ac:dyDescent="0.3">
      <c r="B3188" s="29"/>
      <c r="C3188" s="29"/>
      <c r="D3188" s="30"/>
      <c r="E3188" s="33"/>
      <c r="F3188" s="89"/>
    </row>
    <row r="3189" spans="2:6" s="6" customFormat="1" x14ac:dyDescent="0.3">
      <c r="B3189" s="29"/>
      <c r="C3189" s="29"/>
      <c r="D3189" s="30"/>
      <c r="E3189" s="33"/>
      <c r="F3189" s="89"/>
    </row>
    <row r="3190" spans="2:6" s="6" customFormat="1" x14ac:dyDescent="0.3">
      <c r="B3190" s="29"/>
      <c r="C3190" s="29"/>
      <c r="D3190" s="30"/>
      <c r="E3190" s="33"/>
      <c r="F3190" s="89"/>
    </row>
    <row r="3191" spans="2:6" s="6" customFormat="1" x14ac:dyDescent="0.3">
      <c r="B3191" s="29"/>
      <c r="C3191" s="29"/>
      <c r="D3191" s="30"/>
      <c r="E3191" s="33"/>
      <c r="F3191" s="89"/>
    </row>
    <row r="3192" spans="2:6" s="6" customFormat="1" x14ac:dyDescent="0.3">
      <c r="B3192" s="29"/>
      <c r="C3192" s="29"/>
      <c r="D3192" s="30"/>
      <c r="E3192" s="33"/>
      <c r="F3192" s="89"/>
    </row>
    <row r="3193" spans="2:6" s="6" customFormat="1" x14ac:dyDescent="0.3">
      <c r="B3193" s="29"/>
      <c r="C3193" s="29"/>
      <c r="D3193" s="30"/>
      <c r="E3193" s="33"/>
      <c r="F3193" s="89"/>
    </row>
    <row r="3194" spans="2:6" s="6" customFormat="1" x14ac:dyDescent="0.3">
      <c r="B3194" s="29"/>
      <c r="C3194" s="29"/>
      <c r="D3194" s="30"/>
      <c r="E3194" s="33"/>
      <c r="F3194" s="89"/>
    </row>
    <row r="3195" spans="2:6" s="6" customFormat="1" x14ac:dyDescent="0.3">
      <c r="B3195" s="29"/>
      <c r="C3195" s="29"/>
      <c r="D3195" s="30"/>
      <c r="E3195" s="33"/>
      <c r="F3195" s="89"/>
    </row>
    <row r="3196" spans="2:6" s="6" customFormat="1" x14ac:dyDescent="0.3">
      <c r="B3196" s="29"/>
      <c r="C3196" s="29"/>
      <c r="D3196" s="30"/>
      <c r="E3196" s="33"/>
      <c r="F3196" s="89"/>
    </row>
    <row r="3197" spans="2:6" s="6" customFormat="1" x14ac:dyDescent="0.3">
      <c r="B3197" s="29"/>
      <c r="C3197" s="29"/>
      <c r="D3197" s="30"/>
      <c r="E3197" s="33"/>
      <c r="F3197" s="89"/>
    </row>
    <row r="3198" spans="2:6" s="6" customFormat="1" x14ac:dyDescent="0.3">
      <c r="B3198" s="29"/>
      <c r="C3198" s="29"/>
      <c r="D3198" s="30"/>
      <c r="E3198" s="33"/>
      <c r="F3198" s="89"/>
    </row>
    <row r="3199" spans="2:6" s="6" customFormat="1" x14ac:dyDescent="0.3">
      <c r="B3199" s="29"/>
      <c r="C3199" s="29"/>
      <c r="D3199" s="30"/>
      <c r="E3199" s="33"/>
      <c r="F3199" s="89"/>
    </row>
    <row r="3200" spans="2:6" s="6" customFormat="1" x14ac:dyDescent="0.3">
      <c r="B3200" s="29"/>
      <c r="C3200" s="29"/>
      <c r="D3200" s="30"/>
      <c r="E3200" s="33"/>
      <c r="F3200" s="89"/>
    </row>
    <row r="3201" spans="2:6" s="6" customFormat="1" x14ac:dyDescent="0.3">
      <c r="B3201" s="29"/>
      <c r="C3201" s="29"/>
      <c r="D3201" s="30"/>
      <c r="E3201" s="33"/>
      <c r="F3201" s="89"/>
    </row>
    <row r="3202" spans="2:6" s="6" customFormat="1" x14ac:dyDescent="0.3">
      <c r="B3202" s="29"/>
      <c r="C3202" s="29"/>
      <c r="D3202" s="30"/>
      <c r="E3202" s="33"/>
      <c r="F3202" s="89"/>
    </row>
    <row r="3203" spans="2:6" s="6" customFormat="1" x14ac:dyDescent="0.3">
      <c r="B3203" s="29"/>
      <c r="C3203" s="29"/>
      <c r="D3203" s="30"/>
      <c r="E3203" s="33"/>
      <c r="F3203" s="89"/>
    </row>
    <row r="3204" spans="2:6" s="6" customFormat="1" x14ac:dyDescent="0.3">
      <c r="B3204" s="29"/>
      <c r="C3204" s="29"/>
      <c r="D3204" s="30"/>
      <c r="E3204" s="33"/>
      <c r="F3204" s="89"/>
    </row>
    <row r="3205" spans="2:6" s="6" customFormat="1" x14ac:dyDescent="0.3">
      <c r="B3205" s="29"/>
      <c r="C3205" s="29"/>
      <c r="D3205" s="30"/>
      <c r="E3205" s="33"/>
      <c r="F3205" s="89"/>
    </row>
    <row r="3206" spans="2:6" s="6" customFormat="1" x14ac:dyDescent="0.3">
      <c r="B3206" s="29"/>
      <c r="C3206" s="29"/>
      <c r="D3206" s="30"/>
      <c r="E3206" s="33"/>
      <c r="F3206" s="89"/>
    </row>
    <row r="3207" spans="2:6" s="6" customFormat="1" x14ac:dyDescent="0.3">
      <c r="B3207" s="29"/>
      <c r="C3207" s="29"/>
      <c r="D3207" s="30"/>
      <c r="E3207" s="33"/>
      <c r="F3207" s="89"/>
    </row>
    <row r="3208" spans="2:6" s="6" customFormat="1" x14ac:dyDescent="0.3">
      <c r="B3208" s="29"/>
      <c r="C3208" s="29"/>
      <c r="D3208" s="30"/>
      <c r="E3208" s="33"/>
      <c r="F3208" s="89"/>
    </row>
    <row r="3209" spans="2:6" s="6" customFormat="1" x14ac:dyDescent="0.3">
      <c r="B3209" s="29"/>
      <c r="C3209" s="29"/>
      <c r="D3209" s="30"/>
      <c r="E3209" s="33"/>
      <c r="F3209" s="89"/>
    </row>
    <row r="3210" spans="2:6" s="6" customFormat="1" x14ac:dyDescent="0.3">
      <c r="B3210" s="29"/>
      <c r="C3210" s="29"/>
      <c r="D3210" s="30"/>
      <c r="E3210" s="33"/>
      <c r="F3210" s="89"/>
    </row>
    <row r="3211" spans="2:6" s="6" customFormat="1" x14ac:dyDescent="0.3">
      <c r="B3211" s="29"/>
      <c r="C3211" s="29"/>
      <c r="D3211" s="30"/>
      <c r="E3211" s="33"/>
      <c r="F3211" s="89"/>
    </row>
    <row r="3212" spans="2:6" s="6" customFormat="1" x14ac:dyDescent="0.3">
      <c r="B3212" s="29"/>
      <c r="C3212" s="29"/>
      <c r="D3212" s="30"/>
      <c r="E3212" s="33"/>
      <c r="F3212" s="89"/>
    </row>
    <row r="3213" spans="2:6" s="6" customFormat="1" x14ac:dyDescent="0.3">
      <c r="B3213" s="29"/>
      <c r="C3213" s="29"/>
      <c r="D3213" s="30"/>
      <c r="E3213" s="33"/>
      <c r="F3213" s="89"/>
    </row>
    <row r="3214" spans="2:6" s="6" customFormat="1" x14ac:dyDescent="0.3">
      <c r="B3214" s="29"/>
      <c r="C3214" s="29"/>
      <c r="D3214" s="30"/>
      <c r="E3214" s="33"/>
      <c r="F3214" s="89"/>
    </row>
    <row r="3215" spans="2:6" s="6" customFormat="1" x14ac:dyDescent="0.3">
      <c r="B3215" s="29"/>
      <c r="C3215" s="29"/>
      <c r="D3215" s="30"/>
      <c r="E3215" s="33"/>
      <c r="F3215" s="89"/>
    </row>
    <row r="3216" spans="2:6" s="6" customFormat="1" x14ac:dyDescent="0.3">
      <c r="B3216" s="29"/>
      <c r="C3216" s="29"/>
      <c r="D3216" s="30"/>
      <c r="E3216" s="33"/>
      <c r="F3216" s="89"/>
    </row>
    <row r="3217" spans="2:6" s="6" customFormat="1" x14ac:dyDescent="0.3">
      <c r="B3217" s="29"/>
      <c r="C3217" s="29"/>
      <c r="D3217" s="30"/>
      <c r="E3217" s="33"/>
      <c r="F3217" s="89"/>
    </row>
    <row r="3218" spans="2:6" s="6" customFormat="1" x14ac:dyDescent="0.3">
      <c r="B3218" s="29"/>
      <c r="C3218" s="29"/>
      <c r="D3218" s="30"/>
      <c r="E3218" s="33"/>
      <c r="F3218" s="89"/>
    </row>
    <row r="3219" spans="2:6" s="6" customFormat="1" x14ac:dyDescent="0.3">
      <c r="B3219" s="29"/>
      <c r="C3219" s="29"/>
      <c r="D3219" s="30"/>
      <c r="E3219" s="33"/>
      <c r="F3219" s="89"/>
    </row>
    <row r="3220" spans="2:6" s="6" customFormat="1" x14ac:dyDescent="0.3">
      <c r="B3220" s="29"/>
      <c r="C3220" s="29"/>
      <c r="D3220" s="30"/>
      <c r="E3220" s="33"/>
      <c r="F3220" s="89"/>
    </row>
    <row r="3221" spans="2:6" s="6" customFormat="1" x14ac:dyDescent="0.3">
      <c r="B3221" s="29"/>
      <c r="C3221" s="29"/>
      <c r="D3221" s="30"/>
      <c r="E3221" s="33"/>
      <c r="F3221" s="89"/>
    </row>
    <row r="3222" spans="2:6" s="6" customFormat="1" x14ac:dyDescent="0.3">
      <c r="B3222" s="29"/>
      <c r="C3222" s="29"/>
      <c r="D3222" s="30"/>
      <c r="E3222" s="33"/>
      <c r="F3222" s="89"/>
    </row>
    <row r="3223" spans="2:6" s="6" customFormat="1" x14ac:dyDescent="0.3">
      <c r="B3223" s="29"/>
      <c r="C3223" s="29"/>
      <c r="D3223" s="30"/>
      <c r="E3223" s="33"/>
      <c r="F3223" s="89"/>
    </row>
    <row r="3224" spans="2:6" s="6" customFormat="1" x14ac:dyDescent="0.3">
      <c r="B3224" s="29"/>
      <c r="C3224" s="29"/>
      <c r="D3224" s="30"/>
      <c r="E3224" s="33"/>
      <c r="F3224" s="89"/>
    </row>
    <row r="3225" spans="2:6" s="6" customFormat="1" x14ac:dyDescent="0.3">
      <c r="B3225" s="29"/>
      <c r="C3225" s="29"/>
      <c r="D3225" s="30"/>
      <c r="E3225" s="33"/>
      <c r="F3225" s="89"/>
    </row>
    <row r="3226" spans="2:6" s="6" customFormat="1" x14ac:dyDescent="0.3">
      <c r="B3226" s="29"/>
      <c r="C3226" s="29"/>
      <c r="D3226" s="30"/>
      <c r="E3226" s="33"/>
      <c r="F3226" s="89"/>
    </row>
    <row r="3227" spans="2:6" s="6" customFormat="1" x14ac:dyDescent="0.3">
      <c r="B3227" s="29"/>
      <c r="C3227" s="29"/>
      <c r="D3227" s="30"/>
      <c r="E3227" s="33"/>
      <c r="F3227" s="89"/>
    </row>
    <row r="3228" spans="2:6" s="6" customFormat="1" x14ac:dyDescent="0.3">
      <c r="B3228" s="29"/>
      <c r="C3228" s="29"/>
      <c r="D3228" s="30"/>
      <c r="E3228" s="33"/>
      <c r="F3228" s="89"/>
    </row>
    <row r="3229" spans="2:6" s="6" customFormat="1" x14ac:dyDescent="0.3">
      <c r="B3229" s="29"/>
      <c r="C3229" s="29"/>
      <c r="D3229" s="30"/>
      <c r="E3229" s="33"/>
      <c r="F3229" s="89"/>
    </row>
    <row r="3230" spans="2:6" s="6" customFormat="1" x14ac:dyDescent="0.3">
      <c r="B3230" s="29"/>
      <c r="C3230" s="29"/>
      <c r="D3230" s="30"/>
      <c r="E3230" s="33"/>
      <c r="F3230" s="89"/>
    </row>
    <row r="3231" spans="2:6" s="6" customFormat="1" x14ac:dyDescent="0.3">
      <c r="B3231" s="29"/>
      <c r="C3231" s="29"/>
      <c r="D3231" s="30"/>
      <c r="E3231" s="33"/>
      <c r="F3231" s="89"/>
    </row>
    <row r="3232" spans="2:6" s="6" customFormat="1" x14ac:dyDescent="0.3">
      <c r="B3232" s="29"/>
      <c r="C3232" s="29"/>
      <c r="D3232" s="30"/>
      <c r="E3232" s="33"/>
      <c r="F3232" s="89"/>
    </row>
    <row r="3233" spans="2:6" s="6" customFormat="1" x14ac:dyDescent="0.3">
      <c r="B3233" s="29"/>
      <c r="C3233" s="29"/>
      <c r="D3233" s="30"/>
      <c r="E3233" s="33"/>
      <c r="F3233" s="89"/>
    </row>
    <row r="3234" spans="2:6" s="6" customFormat="1" x14ac:dyDescent="0.3">
      <c r="B3234" s="29"/>
      <c r="C3234" s="29"/>
      <c r="D3234" s="30"/>
      <c r="E3234" s="33"/>
      <c r="F3234" s="89"/>
    </row>
    <row r="3235" spans="2:6" s="6" customFormat="1" x14ac:dyDescent="0.3">
      <c r="B3235" s="29"/>
      <c r="C3235" s="29"/>
      <c r="D3235" s="30"/>
      <c r="E3235" s="33"/>
      <c r="F3235" s="89"/>
    </row>
    <row r="3236" spans="2:6" s="6" customFormat="1" x14ac:dyDescent="0.3">
      <c r="B3236" s="29"/>
      <c r="C3236" s="29"/>
      <c r="D3236" s="30"/>
      <c r="E3236" s="33"/>
      <c r="F3236" s="89"/>
    </row>
    <row r="3237" spans="2:6" s="6" customFormat="1" x14ac:dyDescent="0.3">
      <c r="B3237" s="29"/>
      <c r="C3237" s="29"/>
      <c r="D3237" s="30"/>
      <c r="E3237" s="33"/>
      <c r="F3237" s="89"/>
    </row>
    <row r="3238" spans="2:6" s="6" customFormat="1" x14ac:dyDescent="0.3">
      <c r="B3238" s="29"/>
      <c r="C3238" s="29"/>
      <c r="D3238" s="30"/>
      <c r="E3238" s="33"/>
      <c r="F3238" s="89"/>
    </row>
    <row r="3239" spans="2:6" s="6" customFormat="1" x14ac:dyDescent="0.3">
      <c r="B3239" s="29"/>
      <c r="C3239" s="29"/>
      <c r="D3239" s="30"/>
      <c r="E3239" s="33"/>
      <c r="F3239" s="89"/>
    </row>
    <row r="3240" spans="2:6" s="6" customFormat="1" x14ac:dyDescent="0.3">
      <c r="B3240" s="29"/>
      <c r="C3240" s="29"/>
      <c r="D3240" s="30"/>
      <c r="E3240" s="33"/>
      <c r="F3240" s="89"/>
    </row>
    <row r="3241" spans="2:6" s="6" customFormat="1" x14ac:dyDescent="0.3">
      <c r="B3241" s="29"/>
      <c r="C3241" s="29"/>
      <c r="D3241" s="30"/>
      <c r="E3241" s="33"/>
      <c r="F3241" s="89"/>
    </row>
    <row r="3242" spans="2:6" s="6" customFormat="1" x14ac:dyDescent="0.3">
      <c r="B3242" s="29"/>
      <c r="C3242" s="29"/>
      <c r="D3242" s="30"/>
      <c r="E3242" s="33"/>
      <c r="F3242" s="89"/>
    </row>
    <row r="3243" spans="2:6" s="6" customFormat="1" x14ac:dyDescent="0.3">
      <c r="B3243" s="29"/>
      <c r="C3243" s="29"/>
      <c r="D3243" s="30"/>
      <c r="E3243" s="33"/>
      <c r="F3243" s="89"/>
    </row>
    <row r="3244" spans="2:6" s="6" customFormat="1" x14ac:dyDescent="0.3">
      <c r="B3244" s="29"/>
      <c r="C3244" s="29"/>
      <c r="D3244" s="30"/>
      <c r="E3244" s="33"/>
      <c r="F3244" s="89"/>
    </row>
    <row r="3245" spans="2:6" s="6" customFormat="1" x14ac:dyDescent="0.3">
      <c r="B3245" s="29"/>
      <c r="C3245" s="29"/>
      <c r="D3245" s="30"/>
      <c r="E3245" s="33"/>
      <c r="F3245" s="89"/>
    </row>
    <row r="3246" spans="2:6" s="6" customFormat="1" x14ac:dyDescent="0.3">
      <c r="B3246" s="29"/>
      <c r="C3246" s="29"/>
      <c r="D3246" s="30"/>
      <c r="E3246" s="33"/>
      <c r="F3246" s="89"/>
    </row>
    <row r="3247" spans="2:6" s="6" customFormat="1" x14ac:dyDescent="0.3">
      <c r="B3247" s="29"/>
      <c r="C3247" s="29"/>
      <c r="D3247" s="30"/>
      <c r="E3247" s="33"/>
      <c r="F3247" s="89"/>
    </row>
    <row r="3248" spans="2:6" s="6" customFormat="1" x14ac:dyDescent="0.3">
      <c r="B3248" s="29"/>
      <c r="C3248" s="29"/>
      <c r="D3248" s="30"/>
      <c r="E3248" s="33"/>
      <c r="F3248" s="89"/>
    </row>
    <row r="3249" spans="2:6" s="6" customFormat="1" x14ac:dyDescent="0.3">
      <c r="B3249" s="29"/>
      <c r="C3249" s="29"/>
      <c r="D3249" s="30"/>
      <c r="E3249" s="33"/>
      <c r="F3249" s="89"/>
    </row>
    <row r="3250" spans="2:6" s="6" customFormat="1" x14ac:dyDescent="0.3">
      <c r="B3250" s="29"/>
      <c r="C3250" s="29"/>
      <c r="D3250" s="30"/>
      <c r="E3250" s="33"/>
      <c r="F3250" s="89"/>
    </row>
    <row r="3251" spans="2:6" s="6" customFormat="1" x14ac:dyDescent="0.3">
      <c r="B3251" s="29"/>
      <c r="C3251" s="29"/>
      <c r="D3251" s="30"/>
      <c r="E3251" s="33"/>
      <c r="F3251" s="89"/>
    </row>
    <row r="3252" spans="2:6" s="6" customFormat="1" x14ac:dyDescent="0.3">
      <c r="B3252" s="29"/>
      <c r="C3252" s="29"/>
      <c r="D3252" s="30"/>
      <c r="E3252" s="33"/>
      <c r="F3252" s="89"/>
    </row>
    <row r="3253" spans="2:6" s="6" customFormat="1" x14ac:dyDescent="0.3">
      <c r="B3253" s="29"/>
      <c r="C3253" s="29"/>
      <c r="D3253" s="30"/>
      <c r="E3253" s="33"/>
      <c r="F3253" s="89"/>
    </row>
    <row r="3254" spans="2:6" s="6" customFormat="1" x14ac:dyDescent="0.3">
      <c r="B3254" s="29"/>
      <c r="C3254" s="29"/>
      <c r="D3254" s="30"/>
      <c r="E3254" s="33"/>
      <c r="F3254" s="89"/>
    </row>
    <row r="3255" spans="2:6" s="6" customFormat="1" x14ac:dyDescent="0.3">
      <c r="B3255" s="29"/>
      <c r="C3255" s="29"/>
      <c r="D3255" s="30"/>
      <c r="E3255" s="33"/>
      <c r="F3255" s="89"/>
    </row>
    <row r="3256" spans="2:6" s="6" customFormat="1" x14ac:dyDescent="0.3">
      <c r="B3256" s="29"/>
      <c r="C3256" s="29"/>
      <c r="D3256" s="30"/>
      <c r="E3256" s="33"/>
      <c r="F3256" s="89"/>
    </row>
    <row r="3257" spans="2:6" s="6" customFormat="1" x14ac:dyDescent="0.3">
      <c r="B3257" s="29"/>
      <c r="C3257" s="29"/>
      <c r="D3257" s="30"/>
      <c r="E3257" s="33"/>
      <c r="F3257" s="89"/>
    </row>
    <row r="3258" spans="2:6" s="6" customFormat="1" x14ac:dyDescent="0.3">
      <c r="B3258" s="29"/>
      <c r="C3258" s="29"/>
      <c r="D3258" s="30"/>
      <c r="E3258" s="33"/>
      <c r="F3258" s="89"/>
    </row>
    <row r="3259" spans="2:6" s="6" customFormat="1" x14ac:dyDescent="0.3">
      <c r="B3259" s="29"/>
      <c r="C3259" s="29"/>
      <c r="D3259" s="30"/>
      <c r="E3259" s="33"/>
      <c r="F3259" s="89"/>
    </row>
    <row r="3260" spans="2:6" s="6" customFormat="1" x14ac:dyDescent="0.3">
      <c r="B3260" s="29"/>
      <c r="C3260" s="29"/>
      <c r="D3260" s="30"/>
      <c r="E3260" s="33"/>
      <c r="F3260" s="89"/>
    </row>
    <row r="3261" spans="2:6" s="6" customFormat="1" x14ac:dyDescent="0.3">
      <c r="B3261" s="29"/>
      <c r="C3261" s="29"/>
      <c r="D3261" s="30"/>
      <c r="E3261" s="33"/>
      <c r="F3261" s="89"/>
    </row>
    <row r="3262" spans="2:6" s="6" customFormat="1" x14ac:dyDescent="0.3">
      <c r="B3262" s="29"/>
      <c r="C3262" s="29"/>
      <c r="D3262" s="30"/>
      <c r="E3262" s="33"/>
      <c r="F3262" s="89"/>
    </row>
    <row r="3263" spans="2:6" s="6" customFormat="1" x14ac:dyDescent="0.3">
      <c r="B3263" s="29"/>
      <c r="C3263" s="29"/>
      <c r="D3263" s="30"/>
      <c r="E3263" s="33"/>
      <c r="F3263" s="89"/>
    </row>
    <row r="3264" spans="2:6" s="6" customFormat="1" x14ac:dyDescent="0.3">
      <c r="B3264" s="29"/>
      <c r="C3264" s="29"/>
      <c r="D3264" s="30"/>
      <c r="E3264" s="33"/>
      <c r="F3264" s="89"/>
    </row>
    <row r="3265" spans="2:6" s="6" customFormat="1" x14ac:dyDescent="0.3">
      <c r="B3265" s="29"/>
      <c r="C3265" s="29"/>
      <c r="D3265" s="30"/>
      <c r="E3265" s="33"/>
      <c r="F3265" s="89"/>
    </row>
    <row r="3266" spans="2:6" s="6" customFormat="1" x14ac:dyDescent="0.3">
      <c r="B3266" s="29"/>
      <c r="C3266" s="29"/>
      <c r="D3266" s="30"/>
      <c r="E3266" s="33"/>
      <c r="F3266" s="89"/>
    </row>
    <row r="3267" spans="2:6" s="6" customFormat="1" x14ac:dyDescent="0.3">
      <c r="B3267" s="29"/>
      <c r="C3267" s="29"/>
      <c r="D3267" s="30"/>
      <c r="E3267" s="33"/>
      <c r="F3267" s="89"/>
    </row>
    <row r="3268" spans="2:6" s="6" customFormat="1" x14ac:dyDescent="0.3">
      <c r="B3268" s="29"/>
      <c r="C3268" s="29"/>
      <c r="D3268" s="30"/>
      <c r="E3268" s="33"/>
      <c r="F3268" s="89"/>
    </row>
    <row r="3269" spans="2:6" s="6" customFormat="1" x14ac:dyDescent="0.3">
      <c r="B3269" s="29"/>
      <c r="C3269" s="29"/>
      <c r="D3269" s="30"/>
      <c r="E3269" s="33"/>
      <c r="F3269" s="89"/>
    </row>
    <row r="3270" spans="2:6" s="6" customFormat="1" x14ac:dyDescent="0.3">
      <c r="B3270" s="29"/>
      <c r="C3270" s="29"/>
      <c r="D3270" s="30"/>
      <c r="E3270" s="33"/>
      <c r="F3270" s="89"/>
    </row>
    <row r="3271" spans="2:6" s="6" customFormat="1" x14ac:dyDescent="0.3">
      <c r="B3271" s="29"/>
      <c r="C3271" s="29"/>
      <c r="D3271" s="30"/>
      <c r="E3271" s="33"/>
      <c r="F3271" s="89"/>
    </row>
    <row r="3272" spans="2:6" s="6" customFormat="1" x14ac:dyDescent="0.3">
      <c r="B3272" s="29"/>
      <c r="C3272" s="29"/>
      <c r="D3272" s="30"/>
      <c r="E3272" s="33"/>
      <c r="F3272" s="89"/>
    </row>
    <row r="3273" spans="2:6" s="6" customFormat="1" x14ac:dyDescent="0.3">
      <c r="B3273" s="29"/>
      <c r="C3273" s="29"/>
      <c r="D3273" s="30"/>
      <c r="E3273" s="33"/>
      <c r="F3273" s="89"/>
    </row>
    <row r="3274" spans="2:6" s="6" customFormat="1" x14ac:dyDescent="0.3">
      <c r="B3274" s="29"/>
      <c r="C3274" s="29"/>
      <c r="D3274" s="30"/>
      <c r="E3274" s="33"/>
      <c r="F3274" s="89"/>
    </row>
    <row r="3275" spans="2:6" s="6" customFormat="1" x14ac:dyDescent="0.3">
      <c r="B3275" s="29"/>
      <c r="C3275" s="29"/>
      <c r="D3275" s="30"/>
      <c r="E3275" s="33"/>
      <c r="F3275" s="89"/>
    </row>
    <row r="3276" spans="2:6" s="6" customFormat="1" x14ac:dyDescent="0.3">
      <c r="B3276" s="29"/>
      <c r="C3276" s="29"/>
      <c r="D3276" s="30"/>
      <c r="E3276" s="33"/>
      <c r="F3276" s="89"/>
    </row>
    <row r="3277" spans="2:6" s="6" customFormat="1" x14ac:dyDescent="0.3">
      <c r="B3277" s="29"/>
      <c r="C3277" s="29"/>
      <c r="D3277" s="30"/>
      <c r="E3277" s="33"/>
      <c r="F3277" s="89"/>
    </row>
    <row r="3278" spans="2:6" s="6" customFormat="1" x14ac:dyDescent="0.3">
      <c r="B3278" s="29"/>
      <c r="C3278" s="29"/>
      <c r="D3278" s="30"/>
      <c r="E3278" s="33"/>
      <c r="F3278" s="89"/>
    </row>
    <row r="3279" spans="2:6" s="6" customFormat="1" x14ac:dyDescent="0.3">
      <c r="B3279" s="29"/>
      <c r="C3279" s="29"/>
      <c r="D3279" s="30"/>
      <c r="E3279" s="33"/>
      <c r="F3279" s="89"/>
    </row>
    <row r="3280" spans="2:6" s="6" customFormat="1" x14ac:dyDescent="0.3">
      <c r="B3280" s="29"/>
      <c r="C3280" s="29"/>
      <c r="D3280" s="30"/>
      <c r="E3280" s="33"/>
      <c r="F3280" s="89"/>
    </row>
    <row r="3281" spans="2:6" s="6" customFormat="1" x14ac:dyDescent="0.3">
      <c r="B3281" s="29"/>
      <c r="C3281" s="29"/>
      <c r="D3281" s="30"/>
      <c r="E3281" s="33"/>
      <c r="F3281" s="89"/>
    </row>
    <row r="3282" spans="2:6" s="6" customFormat="1" x14ac:dyDescent="0.3">
      <c r="B3282" s="29"/>
      <c r="C3282" s="29"/>
      <c r="D3282" s="30"/>
      <c r="E3282" s="33"/>
      <c r="F3282" s="89"/>
    </row>
    <row r="3283" spans="2:6" s="6" customFormat="1" x14ac:dyDescent="0.3">
      <c r="B3283" s="29"/>
      <c r="C3283" s="29"/>
      <c r="D3283" s="30"/>
      <c r="E3283" s="33"/>
      <c r="F3283" s="89"/>
    </row>
    <row r="3284" spans="2:6" s="6" customFormat="1" x14ac:dyDescent="0.3">
      <c r="B3284" s="29"/>
      <c r="C3284" s="29"/>
      <c r="D3284" s="30"/>
      <c r="E3284" s="33"/>
      <c r="F3284" s="89"/>
    </row>
    <row r="3285" spans="2:6" s="6" customFormat="1" x14ac:dyDescent="0.3">
      <c r="B3285" s="29"/>
      <c r="C3285" s="29"/>
      <c r="D3285" s="30"/>
      <c r="E3285" s="33"/>
      <c r="F3285" s="89"/>
    </row>
    <row r="3286" spans="2:6" s="6" customFormat="1" x14ac:dyDescent="0.3">
      <c r="B3286" s="29"/>
      <c r="C3286" s="29"/>
      <c r="D3286" s="30"/>
      <c r="E3286" s="33"/>
      <c r="F3286" s="89"/>
    </row>
    <row r="3287" spans="2:6" s="6" customFormat="1" x14ac:dyDescent="0.3">
      <c r="B3287" s="29"/>
      <c r="C3287" s="29"/>
      <c r="D3287" s="30"/>
      <c r="E3287" s="33"/>
      <c r="F3287" s="89"/>
    </row>
    <row r="3288" spans="2:6" s="6" customFormat="1" x14ac:dyDescent="0.3">
      <c r="B3288" s="29"/>
      <c r="C3288" s="29"/>
      <c r="D3288" s="30"/>
      <c r="E3288" s="33"/>
      <c r="F3288" s="89"/>
    </row>
    <row r="3289" spans="2:6" s="6" customFormat="1" x14ac:dyDescent="0.3">
      <c r="B3289" s="29"/>
      <c r="C3289" s="29"/>
      <c r="D3289" s="30"/>
      <c r="E3289" s="33"/>
      <c r="F3289" s="89"/>
    </row>
    <row r="3290" spans="2:6" s="6" customFormat="1" x14ac:dyDescent="0.3">
      <c r="B3290" s="29"/>
      <c r="C3290" s="29"/>
      <c r="D3290" s="30"/>
      <c r="E3290" s="33"/>
      <c r="F3290" s="89"/>
    </row>
    <row r="3291" spans="2:6" s="6" customFormat="1" x14ac:dyDescent="0.3">
      <c r="B3291" s="29"/>
      <c r="C3291" s="29"/>
      <c r="D3291" s="30"/>
      <c r="E3291" s="33"/>
      <c r="F3291" s="89"/>
    </row>
    <row r="3292" spans="2:6" s="6" customFormat="1" x14ac:dyDescent="0.3">
      <c r="B3292" s="29"/>
      <c r="C3292" s="29"/>
      <c r="D3292" s="30"/>
      <c r="E3292" s="33"/>
      <c r="F3292" s="89"/>
    </row>
    <row r="3293" spans="2:6" s="6" customFormat="1" x14ac:dyDescent="0.3">
      <c r="B3293" s="29"/>
      <c r="C3293" s="29"/>
      <c r="D3293" s="30"/>
      <c r="E3293" s="33"/>
      <c r="F3293" s="89"/>
    </row>
    <row r="3294" spans="2:6" s="6" customFormat="1" x14ac:dyDescent="0.3">
      <c r="B3294" s="29"/>
      <c r="C3294" s="29"/>
      <c r="D3294" s="30"/>
      <c r="E3294" s="33"/>
      <c r="F3294" s="89"/>
    </row>
    <row r="3295" spans="2:6" s="6" customFormat="1" x14ac:dyDescent="0.3">
      <c r="B3295" s="29"/>
      <c r="C3295" s="29"/>
      <c r="D3295" s="30"/>
      <c r="E3295" s="33"/>
      <c r="F3295" s="89"/>
    </row>
    <row r="3296" spans="2:6" s="6" customFormat="1" x14ac:dyDescent="0.3">
      <c r="B3296" s="29"/>
      <c r="C3296" s="29"/>
      <c r="D3296" s="30"/>
      <c r="E3296" s="33"/>
      <c r="F3296" s="89"/>
    </row>
    <row r="3297" spans="2:6" s="6" customFormat="1" x14ac:dyDescent="0.3">
      <c r="B3297" s="29"/>
      <c r="C3297" s="29"/>
      <c r="D3297" s="30"/>
      <c r="E3297" s="33"/>
      <c r="F3297" s="89"/>
    </row>
    <row r="3298" spans="2:6" s="6" customFormat="1" x14ac:dyDescent="0.3">
      <c r="B3298" s="29"/>
      <c r="C3298" s="29"/>
      <c r="D3298" s="30"/>
      <c r="E3298" s="33"/>
      <c r="F3298" s="89"/>
    </row>
    <row r="3299" spans="2:6" s="6" customFormat="1" x14ac:dyDescent="0.3">
      <c r="B3299" s="29"/>
      <c r="C3299" s="29"/>
      <c r="D3299" s="30"/>
      <c r="E3299" s="33"/>
      <c r="F3299" s="89"/>
    </row>
    <row r="3300" spans="2:6" s="6" customFormat="1" x14ac:dyDescent="0.3">
      <c r="B3300" s="29"/>
      <c r="C3300" s="29"/>
      <c r="D3300" s="30"/>
      <c r="E3300" s="33"/>
      <c r="F3300" s="89"/>
    </row>
    <row r="3301" spans="2:6" s="6" customFormat="1" x14ac:dyDescent="0.3">
      <c r="B3301" s="29"/>
      <c r="C3301" s="29"/>
      <c r="D3301" s="30"/>
      <c r="E3301" s="33"/>
      <c r="F3301" s="89"/>
    </row>
    <row r="3302" spans="2:6" s="6" customFormat="1" x14ac:dyDescent="0.3">
      <c r="B3302" s="29"/>
      <c r="C3302" s="29"/>
      <c r="D3302" s="30"/>
      <c r="E3302" s="33"/>
      <c r="F3302" s="89"/>
    </row>
    <row r="3303" spans="2:6" s="6" customFormat="1" x14ac:dyDescent="0.3">
      <c r="B3303" s="29"/>
      <c r="C3303" s="29"/>
      <c r="D3303" s="30"/>
      <c r="E3303" s="33"/>
      <c r="F3303" s="89"/>
    </row>
    <row r="3304" spans="2:6" s="6" customFormat="1" x14ac:dyDescent="0.3">
      <c r="B3304" s="29"/>
      <c r="C3304" s="29"/>
      <c r="D3304" s="30"/>
      <c r="E3304" s="33"/>
      <c r="F3304" s="89"/>
    </row>
    <row r="3305" spans="2:6" s="6" customFormat="1" x14ac:dyDescent="0.3">
      <c r="B3305" s="29"/>
      <c r="C3305" s="29"/>
      <c r="D3305" s="30"/>
      <c r="E3305" s="33"/>
      <c r="F3305" s="89"/>
    </row>
    <row r="3306" spans="2:6" s="6" customFormat="1" x14ac:dyDescent="0.3">
      <c r="B3306" s="29"/>
      <c r="C3306" s="29"/>
      <c r="D3306" s="30"/>
      <c r="E3306" s="33"/>
      <c r="F3306" s="89"/>
    </row>
    <row r="3307" spans="2:6" s="6" customFormat="1" x14ac:dyDescent="0.3">
      <c r="B3307" s="29"/>
      <c r="C3307" s="29"/>
      <c r="D3307" s="30"/>
      <c r="E3307" s="33"/>
      <c r="F3307" s="89"/>
    </row>
    <row r="3308" spans="2:6" s="6" customFormat="1" x14ac:dyDescent="0.3">
      <c r="B3308" s="29"/>
      <c r="C3308" s="29"/>
      <c r="D3308" s="30"/>
      <c r="E3308" s="33"/>
      <c r="F3308" s="89"/>
    </row>
    <row r="3309" spans="2:6" s="6" customFormat="1" x14ac:dyDescent="0.3">
      <c r="B3309" s="29"/>
      <c r="C3309" s="29"/>
      <c r="D3309" s="30"/>
      <c r="E3309" s="33"/>
      <c r="F3309" s="89"/>
    </row>
    <row r="3310" spans="2:6" s="6" customFormat="1" x14ac:dyDescent="0.3">
      <c r="B3310" s="29"/>
      <c r="C3310" s="29"/>
      <c r="D3310" s="30"/>
      <c r="E3310" s="33"/>
      <c r="F3310" s="89"/>
    </row>
    <row r="3311" spans="2:6" s="6" customFormat="1" x14ac:dyDescent="0.3">
      <c r="B3311" s="29"/>
      <c r="C3311" s="29"/>
      <c r="D3311" s="30"/>
      <c r="E3311" s="33"/>
      <c r="F3311" s="89"/>
    </row>
    <row r="3312" spans="2:6" s="6" customFormat="1" x14ac:dyDescent="0.3">
      <c r="B3312" s="29"/>
      <c r="C3312" s="29"/>
      <c r="D3312" s="30"/>
      <c r="E3312" s="33"/>
      <c r="F3312" s="89"/>
    </row>
    <row r="3313" spans="1:6" s="6" customFormat="1" x14ac:dyDescent="0.3">
      <c r="B3313" s="29"/>
      <c r="C3313" s="29"/>
      <c r="D3313" s="30"/>
      <c r="E3313" s="33"/>
      <c r="F3313" s="89"/>
    </row>
    <row r="3314" spans="1:6" s="6" customFormat="1" x14ac:dyDescent="0.3">
      <c r="B3314" s="29"/>
      <c r="C3314" s="29"/>
      <c r="D3314" s="30"/>
      <c r="E3314" s="33"/>
      <c r="F3314" s="89"/>
    </row>
    <row r="3315" spans="1:6" s="6" customFormat="1" x14ac:dyDescent="0.3">
      <c r="B3315" s="29"/>
      <c r="C3315" s="29"/>
      <c r="D3315" s="30"/>
      <c r="E3315" s="33"/>
      <c r="F3315" s="89"/>
    </row>
    <row r="3316" spans="1:6" s="6" customFormat="1" x14ac:dyDescent="0.3">
      <c r="B3316" s="29"/>
      <c r="C3316" s="29"/>
      <c r="D3316" s="30"/>
      <c r="E3316" s="33"/>
      <c r="F3316" s="89"/>
    </row>
    <row r="3317" spans="1:6" s="6" customFormat="1" x14ac:dyDescent="0.3">
      <c r="B3317" s="29"/>
      <c r="C3317" s="29"/>
      <c r="D3317" s="30"/>
      <c r="E3317" s="33"/>
      <c r="F3317" s="89"/>
    </row>
    <row r="3318" spans="1:6" s="6" customFormat="1" x14ac:dyDescent="0.3">
      <c r="B3318" s="29"/>
      <c r="C3318" s="29"/>
      <c r="D3318" s="30"/>
      <c r="E3318" s="33"/>
      <c r="F3318" s="89"/>
    </row>
    <row r="3319" spans="1:6" s="6" customFormat="1" x14ac:dyDescent="0.3">
      <c r="B3319" s="29"/>
      <c r="C3319" s="29"/>
      <c r="D3319" s="30"/>
      <c r="E3319" s="33"/>
      <c r="F3319" s="89"/>
    </row>
    <row r="3320" spans="1:6" s="6" customFormat="1" x14ac:dyDescent="0.3">
      <c r="B3320" s="29"/>
      <c r="C3320" s="29"/>
      <c r="D3320" s="30"/>
      <c r="E3320" s="33"/>
      <c r="F3320" s="89"/>
    </row>
    <row r="3321" spans="1:6" s="6" customFormat="1" x14ac:dyDescent="0.3">
      <c r="B3321" s="29"/>
      <c r="C3321" s="29"/>
      <c r="D3321" s="30"/>
      <c r="E3321" s="33"/>
      <c r="F3321" s="89"/>
    </row>
    <row r="3322" spans="1:6" s="6" customFormat="1" x14ac:dyDescent="0.3">
      <c r="B3322" s="29"/>
      <c r="C3322" s="29"/>
      <c r="D3322" s="30"/>
      <c r="E3322" s="33"/>
      <c r="F3322" s="89"/>
    </row>
    <row r="3323" spans="1:6" s="6" customFormat="1" x14ac:dyDescent="0.3">
      <c r="B3323" s="29"/>
      <c r="C3323" s="29"/>
      <c r="D3323" s="30"/>
      <c r="E3323" s="33"/>
      <c r="F3323" s="89"/>
    </row>
    <row r="3324" spans="1:6" s="6" customFormat="1" x14ac:dyDescent="0.3">
      <c r="B3324" s="29"/>
      <c r="C3324" s="29"/>
      <c r="D3324" s="30"/>
      <c r="E3324" s="33"/>
      <c r="F3324" s="89"/>
    </row>
    <row r="3325" spans="1:6" s="6" customFormat="1" x14ac:dyDescent="0.3">
      <c r="B3325" s="29"/>
      <c r="C3325" s="29"/>
      <c r="D3325" s="30"/>
      <c r="E3325" s="33"/>
      <c r="F3325" s="89"/>
    </row>
    <row r="3326" spans="1:6" x14ac:dyDescent="0.3">
      <c r="A3326" s="6"/>
      <c r="B3326" s="29"/>
      <c r="C3326" s="29"/>
      <c r="D3326" s="30"/>
      <c r="E3326" s="33"/>
    </row>
    <row r="3327" spans="1:6" x14ac:dyDescent="0.3">
      <c r="A3327" s="6"/>
      <c r="B3327" s="29"/>
      <c r="C3327" s="29"/>
      <c r="D3327" s="30"/>
      <c r="E3327" s="33"/>
    </row>
    <row r="3328" spans="1:6" x14ac:dyDescent="0.3">
      <c r="A3328" s="6"/>
      <c r="B3328" s="29"/>
      <c r="C3328" s="29"/>
      <c r="D3328" s="30"/>
      <c r="E3328" s="33"/>
    </row>
    <row r="3329" spans="1:5" x14ac:dyDescent="0.3">
      <c r="A3329" s="6"/>
      <c r="B3329" s="29"/>
      <c r="C3329" s="29"/>
      <c r="D3329" s="30"/>
      <c r="E3329" s="33"/>
    </row>
    <row r="3330" spans="1:5" x14ac:dyDescent="0.3">
      <c r="A3330" s="6"/>
      <c r="B3330" s="29"/>
      <c r="C3330" s="29"/>
      <c r="D3330" s="30"/>
      <c r="E3330" s="33"/>
    </row>
    <row r="3331" spans="1:5" x14ac:dyDescent="0.3">
      <c r="A3331" s="6"/>
      <c r="B3331" s="29"/>
      <c r="C3331" s="29"/>
      <c r="D3331" s="30"/>
      <c r="E3331" s="33"/>
    </row>
    <row r="3332" spans="1:5" x14ac:dyDescent="0.3">
      <c r="A3332" s="6"/>
      <c r="B3332" s="29"/>
      <c r="C3332" s="29"/>
      <c r="D3332" s="30"/>
      <c r="E3332" s="33"/>
    </row>
    <row r="3333" spans="1:5" x14ac:dyDescent="0.3">
      <c r="A3333" s="6"/>
      <c r="B3333" s="29"/>
      <c r="C3333" s="29"/>
      <c r="D3333" s="30"/>
      <c r="E3333" s="33"/>
    </row>
    <row r="3334" spans="1:5" x14ac:dyDescent="0.3">
      <c r="A3334" s="6"/>
      <c r="B3334" s="29"/>
      <c r="C3334" s="29"/>
      <c r="D3334" s="30"/>
      <c r="E3334" s="33"/>
    </row>
    <row r="3335" spans="1:5" x14ac:dyDescent="0.3">
      <c r="A3335" s="6"/>
      <c r="B3335" s="29"/>
      <c r="C3335" s="29"/>
      <c r="D3335" s="30"/>
      <c r="E3335" s="33"/>
    </row>
    <row r="3336" spans="1:5" x14ac:dyDescent="0.3">
      <c r="A3336" s="6"/>
      <c r="B3336" s="29"/>
      <c r="C3336" s="29"/>
      <c r="D3336" s="30"/>
      <c r="E3336" s="33"/>
    </row>
    <row r="3337" spans="1:5" x14ac:dyDescent="0.3">
      <c r="A3337" s="6"/>
      <c r="B3337" s="29"/>
      <c r="C3337" s="29"/>
      <c r="D3337" s="30"/>
      <c r="E3337" s="33"/>
    </row>
    <row r="3338" spans="1:5" x14ac:dyDescent="0.3">
      <c r="A3338" s="6"/>
      <c r="B3338" s="29"/>
      <c r="C3338" s="29"/>
      <c r="D3338" s="30"/>
      <c r="E3338" s="33"/>
    </row>
    <row r="3339" spans="1:5" x14ac:dyDescent="0.3">
      <c r="A3339" s="6"/>
      <c r="B3339" s="29"/>
      <c r="C3339" s="29"/>
      <c r="D3339" s="30"/>
      <c r="E3339" s="33"/>
    </row>
    <row r="3340" spans="1:5" x14ac:dyDescent="0.3">
      <c r="A3340" s="6"/>
      <c r="B3340" s="29"/>
      <c r="C3340" s="29"/>
      <c r="D3340" s="30"/>
      <c r="E3340" s="33"/>
    </row>
    <row r="3341" spans="1:5" x14ac:dyDescent="0.3">
      <c r="A3341" s="6"/>
      <c r="B3341" s="29"/>
      <c r="C3341" s="29"/>
      <c r="D3341" s="30"/>
      <c r="E3341" s="33"/>
    </row>
    <row r="3342" spans="1:5" x14ac:dyDescent="0.3">
      <c r="A3342" s="6"/>
      <c r="B3342" s="29"/>
      <c r="C3342" s="29"/>
      <c r="D3342" s="30"/>
      <c r="E3342" s="33"/>
    </row>
    <row r="3343" spans="1:5" x14ac:dyDescent="0.3">
      <c r="A3343" s="6"/>
      <c r="B3343" s="29"/>
      <c r="C3343" s="29"/>
      <c r="D3343" s="30"/>
      <c r="E3343" s="33"/>
    </row>
    <row r="3344" spans="1:5" x14ac:dyDescent="0.3">
      <c r="A3344" s="6"/>
      <c r="B3344" s="29"/>
      <c r="C3344" s="29"/>
      <c r="D3344" s="30"/>
      <c r="E3344" s="33"/>
    </row>
    <row r="3345" spans="1:5" x14ac:dyDescent="0.3">
      <c r="A3345" s="6"/>
      <c r="B3345" s="29"/>
      <c r="C3345" s="29"/>
      <c r="D3345" s="30"/>
      <c r="E3345" s="33"/>
    </row>
    <row r="3346" spans="1:5" x14ac:dyDescent="0.3">
      <c r="A3346" s="6"/>
      <c r="B3346" s="29"/>
      <c r="C3346" s="29"/>
      <c r="D3346" s="30"/>
      <c r="E3346" s="33"/>
    </row>
    <row r="3347" spans="1:5" x14ac:dyDescent="0.3">
      <c r="A3347" s="6"/>
      <c r="B3347" s="29"/>
      <c r="C3347" s="29"/>
      <c r="D3347" s="30"/>
      <c r="E3347" s="33"/>
    </row>
    <row r="3348" spans="1:5" x14ac:dyDescent="0.3">
      <c r="A3348" s="6"/>
      <c r="B3348" s="29"/>
      <c r="C3348" s="29"/>
      <c r="D3348" s="30"/>
      <c r="E3348" s="33"/>
    </row>
    <row r="3349" spans="1:5" x14ac:dyDescent="0.3">
      <c r="A3349" s="6"/>
      <c r="B3349" s="29"/>
      <c r="C3349" s="29"/>
      <c r="D3349" s="30"/>
      <c r="E3349" s="33"/>
    </row>
    <row r="3350" spans="1:5" x14ac:dyDescent="0.3">
      <c r="A3350" s="6"/>
      <c r="B3350" s="29"/>
      <c r="C3350" s="29"/>
      <c r="D3350" s="30"/>
      <c r="E3350" s="33"/>
    </row>
    <row r="3351" spans="1:5" x14ac:dyDescent="0.3">
      <c r="A3351" s="6"/>
      <c r="B3351" s="29"/>
      <c r="C3351" s="29"/>
      <c r="D3351" s="30"/>
      <c r="E3351" s="33"/>
    </row>
    <row r="3352" spans="1:5" x14ac:dyDescent="0.3">
      <c r="A3352" s="6"/>
      <c r="B3352" s="29"/>
      <c r="C3352" s="29"/>
      <c r="D3352" s="30"/>
      <c r="E3352" s="33"/>
    </row>
    <row r="3353" spans="1:5" x14ac:dyDescent="0.3">
      <c r="A3353" s="6"/>
      <c r="B3353" s="29"/>
      <c r="C3353" s="29"/>
      <c r="D3353" s="30"/>
      <c r="E3353" s="33"/>
    </row>
    <row r="3354" spans="1:5" x14ac:dyDescent="0.3">
      <c r="A3354" s="6"/>
      <c r="B3354" s="29"/>
      <c r="C3354" s="29"/>
      <c r="D3354" s="30"/>
      <c r="E3354" s="33"/>
    </row>
    <row r="3355" spans="1:5" x14ac:dyDescent="0.3">
      <c r="A3355" s="6"/>
      <c r="B3355" s="29"/>
      <c r="C3355" s="29"/>
      <c r="D3355" s="30"/>
      <c r="E3355" s="33"/>
    </row>
    <row r="3356" spans="1:5" x14ac:dyDescent="0.3">
      <c r="A3356" s="6"/>
      <c r="B3356" s="29"/>
      <c r="C3356" s="29"/>
      <c r="D3356" s="30"/>
      <c r="E3356" s="33"/>
    </row>
    <row r="3357" spans="1:5" x14ac:dyDescent="0.3">
      <c r="A3357" s="6"/>
      <c r="B3357" s="29"/>
      <c r="C3357" s="29"/>
      <c r="D3357" s="30"/>
      <c r="E3357" s="33"/>
    </row>
    <row r="3358" spans="1:5" x14ac:dyDescent="0.3">
      <c r="A3358" s="6"/>
      <c r="B3358" s="29"/>
      <c r="C3358" s="29"/>
      <c r="D3358" s="30"/>
      <c r="E3358" s="33"/>
    </row>
    <row r="3359" spans="1:5" x14ac:dyDescent="0.3">
      <c r="A3359" s="6"/>
      <c r="B3359" s="29"/>
      <c r="C3359" s="29"/>
      <c r="D3359" s="30"/>
      <c r="E3359" s="33"/>
    </row>
    <row r="3360" spans="1:5" x14ac:dyDescent="0.3">
      <c r="A3360" s="6"/>
      <c r="B3360" s="29"/>
      <c r="C3360" s="29"/>
      <c r="D3360" s="30"/>
      <c r="E3360" s="33"/>
    </row>
  </sheetData>
  <mergeCells count="64">
    <mergeCell ref="A746:E748"/>
    <mergeCell ref="A756:B756"/>
    <mergeCell ref="A774:B774"/>
    <mergeCell ref="A789:B789"/>
    <mergeCell ref="A241:E247"/>
    <mergeCell ref="A239:C240"/>
    <mergeCell ref="A323:B324"/>
    <mergeCell ref="A325:D330"/>
    <mergeCell ref="A453:B453"/>
    <mergeCell ref="A305:B305"/>
    <mergeCell ref="A623:E627"/>
    <mergeCell ref="A685:E687"/>
    <mergeCell ref="A683:C684"/>
    <mergeCell ref="A744:C745"/>
    <mergeCell ref="A634:B634"/>
    <mergeCell ref="A655:B655"/>
    <mergeCell ref="A671:B671"/>
    <mergeCell ref="A735:B735"/>
    <mergeCell ref="A730:B730"/>
    <mergeCell ref="A715:B715"/>
    <mergeCell ref="A695:B695"/>
    <mergeCell ref="A254:B254"/>
    <mergeCell ref="A285:B285"/>
    <mergeCell ref="A364:B364"/>
    <mergeCell ref="A379:B379"/>
    <mergeCell ref="A384:B384"/>
    <mergeCell ref="A429:B429"/>
    <mergeCell ref="A612:B612"/>
    <mergeCell ref="A598:B598"/>
    <mergeCell ref="A584:B584"/>
    <mergeCell ref="A6:E12"/>
    <mergeCell ref="A142:B142"/>
    <mergeCell ref="A161:B161"/>
    <mergeCell ref="A184:B184"/>
    <mergeCell ref="A517:B517"/>
    <mergeCell ref="A337:B337"/>
    <mergeCell ref="A203:B203"/>
    <mergeCell ref="A218:B218"/>
    <mergeCell ref="A232:B232"/>
    <mergeCell ref="A411:B411"/>
    <mergeCell ref="A19:B19"/>
    <mergeCell ref="A86:B86"/>
    <mergeCell ref="A42:B42"/>
    <mergeCell ref="A66:B66"/>
    <mergeCell ref="A93:B93"/>
    <mergeCell ref="A119:B119"/>
    <mergeCell ref="A104:E112"/>
    <mergeCell ref="A448:B448"/>
    <mergeCell ref="A480:B480"/>
    <mergeCell ref="A494:B494"/>
    <mergeCell ref="A513:B513"/>
    <mergeCell ref="A536:B536"/>
    <mergeCell ref="A525:C526"/>
    <mergeCell ref="A527:E529"/>
    <mergeCell ref="A574:E577"/>
    <mergeCell ref="A191:C192"/>
    <mergeCell ref="A193:E196"/>
    <mergeCell ref="A395:C396"/>
    <mergeCell ref="A397:E404"/>
    <mergeCell ref="A462:C463"/>
    <mergeCell ref="A464:E473"/>
    <mergeCell ref="A313:B313"/>
    <mergeCell ref="A563:B563"/>
    <mergeCell ref="A548:B548"/>
  </mergeCells>
  <pageMargins left="0.78740157480314965" right="0.19685039370078741" top="0.78740157480314965" bottom="0.78740157480314965" header="0.39370078740157483" footer="0.19685039370078741"/>
  <pageSetup paperSize="9" scale="90" orientation="portrait" r:id="rId1"/>
  <headerFooter scaleWithDoc="0">
    <oddHeader>&amp;L&amp;"Arial Narrow,Normal"&amp;8Presupuesto Municipal 2020
&amp;R&amp;"Arial Narrow,Normal"&amp;8MUNICIPALIDAD DE VILLA MARÍA
Secretaría de Economía y Finanzas</oddHeader>
  </headerFooter>
  <rowBreaks count="9" manualBreakCount="9">
    <brk id="57" max="4" man="1"/>
    <brk id="172" max="4" man="1"/>
    <brk id="229" max="4" man="1"/>
    <brk id="282" max="4" man="1"/>
    <brk id="336" max="4" man="1"/>
    <brk id="394" max="4" man="1"/>
    <brk id="451" max="4" man="1"/>
    <brk id="493" max="4" man="1"/>
    <brk id="547" max="4" man="1"/>
  </rowBreaks>
  <colBreaks count="1" manualBreakCount="1">
    <brk id="6" max="35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930"/>
  <sheetViews>
    <sheetView view="pageLayout" zoomScale="96" zoomScaleNormal="100" zoomScalePageLayoutView="96" workbookViewId="0">
      <selection activeCell="C356" sqref="C356"/>
    </sheetView>
  </sheetViews>
  <sheetFormatPr baseColWidth="10" defaultRowHeight="12.5" x14ac:dyDescent="0.25"/>
  <cols>
    <col min="1" max="1" width="9.7265625" style="254" customWidth="1"/>
    <col min="2" max="2" width="46.7265625" style="254" customWidth="1"/>
    <col min="3" max="3" width="14.54296875" style="255" customWidth="1"/>
    <col min="4" max="4" width="12.1796875" style="254" bestFit="1" customWidth="1"/>
    <col min="5" max="5" width="13.54296875" style="256" customWidth="1"/>
    <col min="6" max="6" width="15.54296875" style="157" customWidth="1"/>
    <col min="7" max="7" width="12.7265625" style="156" customWidth="1"/>
    <col min="8" max="8" width="24" style="156" customWidth="1"/>
    <col min="9" max="11" width="12.7265625" style="156" customWidth="1"/>
  </cols>
  <sheetData>
    <row r="1" spans="1:11" s="195" customFormat="1" ht="12.75" customHeight="1" x14ac:dyDescent="0.3">
      <c r="A1" s="582" t="s">
        <v>627</v>
      </c>
      <c r="B1" s="582"/>
      <c r="C1" s="189"/>
      <c r="D1" s="190"/>
      <c r="E1" s="191"/>
      <c r="F1" s="192"/>
      <c r="G1" s="193"/>
      <c r="H1" s="194"/>
      <c r="I1" s="194"/>
      <c r="J1" s="194"/>
      <c r="K1" s="194"/>
    </row>
    <row r="2" spans="1:11" s="195" customFormat="1" ht="12.75" customHeight="1" x14ac:dyDescent="0.3">
      <c r="A2" s="191"/>
      <c r="B2" s="191"/>
      <c r="C2" s="189"/>
      <c r="D2" s="190"/>
      <c r="E2" s="191"/>
      <c r="F2" s="192"/>
      <c r="G2" s="193"/>
      <c r="H2" s="194"/>
      <c r="I2" s="194"/>
      <c r="J2" s="194"/>
      <c r="K2" s="194"/>
    </row>
    <row r="3" spans="1:11" s="183" customFormat="1" ht="12.75" customHeight="1" thickBot="1" x14ac:dyDescent="0.3">
      <c r="A3" s="12"/>
      <c r="B3" s="12"/>
      <c r="C3" s="143"/>
      <c r="D3" s="71"/>
      <c r="E3" s="196"/>
      <c r="F3" s="197"/>
      <c r="G3" s="184"/>
      <c r="H3" s="184"/>
      <c r="I3" s="184"/>
      <c r="J3" s="184"/>
      <c r="K3" s="184"/>
    </row>
    <row r="4" spans="1:11" s="200" customFormat="1" ht="13.5" customHeight="1" x14ac:dyDescent="0.25">
      <c r="A4" s="1117" t="s">
        <v>940</v>
      </c>
      <c r="B4" s="1118"/>
      <c r="C4" s="1119"/>
      <c r="D4" s="731" t="s">
        <v>6</v>
      </c>
      <c r="E4" s="927">
        <v>1201</v>
      </c>
      <c r="F4" s="198"/>
      <c r="G4" s="199"/>
      <c r="H4" s="199"/>
      <c r="I4" s="199"/>
      <c r="J4" s="199"/>
      <c r="K4" s="199"/>
    </row>
    <row r="5" spans="1:11" s="200" customFormat="1" ht="13.5" customHeight="1" thickBot="1" x14ac:dyDescent="0.3">
      <c r="A5" s="1120"/>
      <c r="B5" s="1121"/>
      <c r="C5" s="1122"/>
      <c r="D5" s="732"/>
      <c r="E5" s="721"/>
      <c r="F5" s="198"/>
      <c r="G5" s="199"/>
      <c r="H5" s="199"/>
      <c r="I5" s="199"/>
      <c r="J5" s="199"/>
      <c r="K5" s="199"/>
    </row>
    <row r="6" spans="1:11" s="200" customFormat="1" ht="13.5" customHeight="1" x14ac:dyDescent="0.25">
      <c r="A6" s="1123" t="s">
        <v>939</v>
      </c>
      <c r="B6" s="1124"/>
      <c r="C6" s="1124"/>
      <c r="D6" s="1124"/>
      <c r="E6" s="1125"/>
      <c r="F6" s="9"/>
      <c r="G6" s="152"/>
      <c r="H6" s="152"/>
      <c r="I6" s="152"/>
      <c r="J6" s="152"/>
      <c r="K6" s="152"/>
    </row>
    <row r="7" spans="1:11" s="200" customFormat="1" ht="13.5" customHeight="1" x14ac:dyDescent="0.25">
      <c r="A7" s="1126"/>
      <c r="B7" s="1127"/>
      <c r="C7" s="1127"/>
      <c r="D7" s="1127"/>
      <c r="E7" s="1128"/>
      <c r="F7" s="9"/>
      <c r="G7" s="152"/>
      <c r="H7" s="152"/>
      <c r="I7" s="152"/>
      <c r="J7" s="152"/>
      <c r="K7" s="152"/>
    </row>
    <row r="8" spans="1:11" s="200" customFormat="1" ht="13.5" customHeight="1" x14ac:dyDescent="0.25">
      <c r="A8" s="1126"/>
      <c r="B8" s="1127"/>
      <c r="C8" s="1127"/>
      <c r="D8" s="1127"/>
      <c r="E8" s="1128"/>
      <c r="F8" s="9"/>
      <c r="G8" s="152"/>
      <c r="H8" s="152"/>
      <c r="I8" s="152"/>
      <c r="J8" s="152"/>
      <c r="K8" s="152"/>
    </row>
    <row r="9" spans="1:11" s="200" customFormat="1" ht="13.5" customHeight="1" x14ac:dyDescent="0.25">
      <c r="A9" s="1126"/>
      <c r="B9" s="1127"/>
      <c r="C9" s="1127"/>
      <c r="D9" s="1127"/>
      <c r="E9" s="1128"/>
      <c r="F9" s="9"/>
      <c r="G9" s="152"/>
      <c r="H9" s="152"/>
      <c r="I9" s="152"/>
      <c r="J9" s="152"/>
      <c r="K9" s="152"/>
    </row>
    <row r="10" spans="1:11" s="200" customFormat="1" ht="13.5" customHeight="1" thickBot="1" x14ac:dyDescent="0.3">
      <c r="A10" s="1129"/>
      <c r="B10" s="1130"/>
      <c r="C10" s="1130"/>
      <c r="D10" s="1130"/>
      <c r="E10" s="1131"/>
      <c r="F10" s="9"/>
      <c r="G10" s="152"/>
      <c r="H10" s="152"/>
      <c r="I10" s="152"/>
      <c r="J10" s="152"/>
      <c r="K10" s="152"/>
    </row>
    <row r="11" spans="1:11" s="200" customFormat="1" ht="13.5" customHeight="1" x14ac:dyDescent="0.25">
      <c r="A11" s="119" t="s">
        <v>1029</v>
      </c>
      <c r="B11" s="174"/>
      <c r="C11" s="173"/>
      <c r="D11" s="924"/>
      <c r="E11" s="171"/>
      <c r="F11" s="9"/>
      <c r="G11" s="152"/>
      <c r="H11" s="152"/>
      <c r="I11" s="152"/>
      <c r="J11" s="152"/>
      <c r="K11" s="152"/>
    </row>
    <row r="12" spans="1:11" s="200" customFormat="1" ht="13.5" customHeight="1" x14ac:dyDescent="0.25">
      <c r="A12" s="41" t="s">
        <v>628</v>
      </c>
      <c r="B12" s="12"/>
      <c r="C12" s="143"/>
      <c r="D12" s="71"/>
      <c r="E12" s="141"/>
      <c r="F12" s="9"/>
      <c r="G12" s="152"/>
      <c r="H12" s="152"/>
      <c r="I12" s="152"/>
      <c r="J12" s="152"/>
      <c r="K12" s="152"/>
    </row>
    <row r="13" spans="1:11" s="200" customFormat="1" ht="13.5" customHeight="1" x14ac:dyDescent="0.25">
      <c r="A13" s="41" t="s">
        <v>1040</v>
      </c>
      <c r="B13" s="12"/>
      <c r="C13" s="143"/>
      <c r="D13" s="71"/>
      <c r="E13" s="141"/>
      <c r="F13" s="9"/>
      <c r="G13" s="152"/>
      <c r="H13" s="152"/>
      <c r="I13" s="152"/>
      <c r="J13" s="152"/>
      <c r="K13" s="152"/>
    </row>
    <row r="14" spans="1:11" s="200" customFormat="1" ht="13.5" customHeight="1" thickBot="1" x14ac:dyDescent="0.3">
      <c r="A14" s="76" t="s">
        <v>11</v>
      </c>
      <c r="B14" s="140"/>
      <c r="C14" s="139"/>
      <c r="D14" s="447"/>
      <c r="E14" s="137"/>
      <c r="F14" s="9"/>
      <c r="G14" s="152"/>
      <c r="H14" s="152"/>
      <c r="I14" s="152"/>
      <c r="J14" s="152"/>
      <c r="K14" s="152"/>
    </row>
    <row r="15" spans="1:11" s="200" customFormat="1" ht="13.5" customHeight="1" thickBot="1" x14ac:dyDescent="0.3">
      <c r="A15" s="762" t="s">
        <v>220</v>
      </c>
      <c r="B15" s="763"/>
      <c r="C15" s="784"/>
      <c r="D15" s="785"/>
      <c r="E15" s="786">
        <f>C17+C40+C62+C82+C91</f>
        <v>230399074</v>
      </c>
      <c r="F15" s="9"/>
      <c r="G15" s="152"/>
      <c r="H15" s="219"/>
      <c r="I15" s="152"/>
      <c r="J15" s="152"/>
      <c r="K15" s="152"/>
    </row>
    <row r="16" spans="1:11" s="151" customFormat="1" ht="13.5" customHeight="1" thickBot="1" x14ac:dyDescent="0.3">
      <c r="A16" s="11"/>
      <c r="B16" s="11"/>
      <c r="C16" s="143"/>
      <c r="D16" s="71"/>
      <c r="E16" s="71"/>
      <c r="F16" s="9"/>
      <c r="G16" s="152"/>
      <c r="H16" s="152"/>
      <c r="I16" s="152"/>
      <c r="J16" s="152"/>
      <c r="K16" s="152"/>
    </row>
    <row r="17" spans="1:11" s="203" customFormat="1" ht="13.5" customHeight="1" thickBot="1" x14ac:dyDescent="0.3">
      <c r="A17" s="1132" t="s">
        <v>1</v>
      </c>
      <c r="B17" s="1133"/>
      <c r="C17" s="666">
        <f>C18+C25+C32</f>
        <v>227768884</v>
      </c>
      <c r="D17" s="614"/>
      <c r="E17" s="610"/>
      <c r="F17" s="615"/>
      <c r="G17" s="202"/>
      <c r="H17" s="152"/>
      <c r="I17" s="152"/>
      <c r="J17" s="152"/>
      <c r="K17" s="152"/>
    </row>
    <row r="18" spans="1:11" s="8" customFormat="1" ht="12.75" customHeight="1" x14ac:dyDescent="0.25">
      <c r="A18" s="11" t="s">
        <v>97</v>
      </c>
      <c r="B18" s="211" t="s">
        <v>98</v>
      </c>
      <c r="C18" s="64">
        <f>SUM(C19:C24)</f>
        <v>87414650</v>
      </c>
      <c r="D18" s="22"/>
      <c r="E18" s="31"/>
      <c r="F18" s="99"/>
    </row>
    <row r="19" spans="1:11" s="8" customFormat="1" ht="12.75" customHeight="1" x14ac:dyDescent="0.25">
      <c r="A19" s="12" t="s">
        <v>23</v>
      </c>
      <c r="B19" s="24" t="s">
        <v>20</v>
      </c>
      <c r="C19" s="24">
        <f>71434426+4671613+12905071-20000000</f>
        <v>69011110</v>
      </c>
      <c r="D19" s="22"/>
      <c r="E19" s="31"/>
      <c r="F19" s="99"/>
    </row>
    <row r="20" spans="1:11" s="8" customFormat="1" ht="12.75" customHeight="1" x14ac:dyDescent="0.25">
      <c r="A20" s="12" t="s">
        <v>24</v>
      </c>
      <c r="B20" s="24" t="s">
        <v>22</v>
      </c>
      <c r="C20" s="24">
        <f>3359+3226268+11471173-4000000</f>
        <v>10700800</v>
      </c>
      <c r="D20" s="22"/>
      <c r="E20" s="25"/>
      <c r="F20" s="204"/>
    </row>
    <row r="21" spans="1:11" s="8" customFormat="1" ht="12.75" customHeight="1" x14ac:dyDescent="0.25">
      <c r="A21" s="12" t="s">
        <v>25</v>
      </c>
      <c r="B21" s="24" t="s">
        <v>76</v>
      </c>
      <c r="C21" s="24">
        <f>75000+2343289</f>
        <v>2418289</v>
      </c>
      <c r="D21" s="22"/>
      <c r="E21" s="25"/>
      <c r="F21" s="204"/>
    </row>
    <row r="22" spans="1:11" s="8" customFormat="1" ht="12.75" customHeight="1" x14ac:dyDescent="0.25">
      <c r="A22" s="12" t="s">
        <v>26</v>
      </c>
      <c r="B22" s="24" t="s">
        <v>77</v>
      </c>
      <c r="C22" s="24">
        <v>1</v>
      </c>
      <c r="D22" s="22"/>
      <c r="E22" s="25"/>
      <c r="F22" s="204"/>
    </row>
    <row r="23" spans="1:11" s="8" customFormat="1" ht="12.75" customHeight="1" x14ac:dyDescent="0.25">
      <c r="A23" s="12" t="s">
        <v>27</v>
      </c>
      <c r="B23" s="24" t="s">
        <v>21</v>
      </c>
      <c r="C23" s="24">
        <f>95256+2350296</f>
        <v>2445552</v>
      </c>
      <c r="D23" s="22"/>
      <c r="E23" s="25"/>
      <c r="F23" s="204"/>
    </row>
    <row r="24" spans="1:11" s="8" customFormat="1" ht="12.75" customHeight="1" x14ac:dyDescent="0.25">
      <c r="A24" s="12" t="s">
        <v>28</v>
      </c>
      <c r="B24" s="24" t="s">
        <v>19</v>
      </c>
      <c r="C24" s="24">
        <f>439293+298744+119954+734479+80220+343985+474604+50407+148357+65976+82879</f>
        <v>2838898</v>
      </c>
      <c r="D24" s="22"/>
      <c r="E24" s="25"/>
      <c r="F24" s="204"/>
    </row>
    <row r="25" spans="1:11" s="8" customFormat="1" ht="12.75" customHeight="1" x14ac:dyDescent="0.25">
      <c r="A25" s="11" t="s">
        <v>99</v>
      </c>
      <c r="B25" s="31" t="s">
        <v>100</v>
      </c>
      <c r="C25" s="31">
        <f>SUM(C26:C31)</f>
        <v>40472512</v>
      </c>
      <c r="D25" s="22"/>
      <c r="E25" s="25"/>
      <c r="F25" s="204"/>
    </row>
    <row r="26" spans="1:11" s="9" customFormat="1" ht="12.75" customHeight="1" x14ac:dyDescent="0.25">
      <c r="A26" s="12" t="s">
        <v>30</v>
      </c>
      <c r="B26" s="24" t="s">
        <v>78</v>
      </c>
      <c r="C26" s="24">
        <f>5161784+1493121+31490180+559731+157424-6000000</f>
        <v>32862240</v>
      </c>
      <c r="D26" s="22"/>
      <c r="E26" s="25"/>
      <c r="F26" s="205"/>
    </row>
    <row r="27" spans="1:11" s="9" customFormat="1" ht="12.75" customHeight="1" x14ac:dyDescent="0.25">
      <c r="A27" s="12" t="s">
        <v>31</v>
      </c>
      <c r="B27" s="24" t="s">
        <v>79</v>
      </c>
      <c r="C27" s="24">
        <f>4595219+1290446+159236+629697+5038</f>
        <v>6679636</v>
      </c>
      <c r="D27" s="22"/>
      <c r="E27" s="25"/>
      <c r="F27" s="205"/>
    </row>
    <row r="28" spans="1:11" s="9" customFormat="1" ht="12.75" customHeight="1" x14ac:dyDescent="0.25">
      <c r="A28" s="12" t="s">
        <v>32</v>
      </c>
      <c r="B28" s="24" t="s">
        <v>80</v>
      </c>
      <c r="C28" s="24">
        <v>777958</v>
      </c>
      <c r="D28" s="22"/>
      <c r="E28" s="25"/>
      <c r="F28" s="205"/>
    </row>
    <row r="29" spans="1:11" s="9" customFormat="1" ht="12.75" customHeight="1" x14ac:dyDescent="0.25">
      <c r="A29" s="12" t="s">
        <v>33</v>
      </c>
      <c r="B29" s="24" t="s">
        <v>81</v>
      </c>
      <c r="C29" s="24">
        <v>1</v>
      </c>
      <c r="D29" s="22"/>
      <c r="E29" s="25"/>
      <c r="F29" s="205"/>
    </row>
    <row r="30" spans="1:11" s="9" customFormat="1" ht="12.75" customHeight="1" x14ac:dyDescent="0.25">
      <c r="A30" s="12" t="s">
        <v>34</v>
      </c>
      <c r="B30" s="24" t="s">
        <v>29</v>
      </c>
      <c r="C30" s="24">
        <f>145872+6804</f>
        <v>152676</v>
      </c>
      <c r="D30" s="22"/>
      <c r="E30" s="25"/>
    </row>
    <row r="31" spans="1:11" s="8" customFormat="1" ht="12.75" customHeight="1" x14ac:dyDescent="0.25">
      <c r="A31" s="12" t="s">
        <v>83</v>
      </c>
      <c r="B31" s="24" t="s">
        <v>82</v>
      </c>
      <c r="C31" s="24">
        <v>1</v>
      </c>
      <c r="D31" s="22"/>
      <c r="E31" s="25"/>
      <c r="F31" s="43"/>
      <c r="G31" s="43"/>
      <c r="H31" s="43"/>
    </row>
    <row r="32" spans="1:11" s="8" customFormat="1" ht="12.75" customHeight="1" x14ac:dyDescent="0.25">
      <c r="A32" s="11" t="s">
        <v>101</v>
      </c>
      <c r="B32" s="31" t="s">
        <v>102</v>
      </c>
      <c r="C32" s="31">
        <f>SUM(C33:C38)</f>
        <v>99881722</v>
      </c>
      <c r="D32" s="22"/>
      <c r="E32" s="25"/>
      <c r="F32" s="204"/>
    </row>
    <row r="33" spans="1:11" s="9" customFormat="1" ht="12.75" customHeight="1" x14ac:dyDescent="0.25">
      <c r="A33" s="12" t="s">
        <v>39</v>
      </c>
      <c r="B33" s="24" t="s">
        <v>35</v>
      </c>
      <c r="C33" s="24">
        <f>16326742+4634725+95926980+814807+229165-35000000</f>
        <v>82932419</v>
      </c>
      <c r="D33" s="22"/>
      <c r="E33" s="25"/>
      <c r="F33" s="205"/>
    </row>
    <row r="34" spans="1:11" s="9" customFormat="1" ht="12.75" customHeight="1" x14ac:dyDescent="0.25">
      <c r="A34" s="12" t="s">
        <v>40</v>
      </c>
      <c r="B34" s="24" t="s">
        <v>37</v>
      </c>
      <c r="C34" s="24">
        <f>181424+46563+4271067+15247892-8000000</f>
        <v>11746946</v>
      </c>
      <c r="D34" s="22"/>
      <c r="E34" s="25"/>
      <c r="F34" s="205"/>
    </row>
    <row r="35" spans="1:11" s="9" customFormat="1" ht="12.75" customHeight="1" x14ac:dyDescent="0.25">
      <c r="A35" s="12" t="s">
        <v>41</v>
      </c>
      <c r="B35" s="24" t="s">
        <v>84</v>
      </c>
      <c r="C35" s="24">
        <v>2440450</v>
      </c>
      <c r="D35" s="22"/>
      <c r="E35" s="25"/>
    </row>
    <row r="36" spans="1:11" s="8" customFormat="1" ht="12.75" customHeight="1" x14ac:dyDescent="0.25">
      <c r="A36" s="12" t="s">
        <v>42</v>
      </c>
      <c r="B36" s="24" t="s">
        <v>85</v>
      </c>
      <c r="C36" s="24">
        <v>1</v>
      </c>
      <c r="D36" s="22"/>
      <c r="E36" s="25"/>
      <c r="F36" s="204"/>
    </row>
    <row r="37" spans="1:11" s="8" customFormat="1" ht="12.75" customHeight="1" x14ac:dyDescent="0.25">
      <c r="A37" s="12" t="s">
        <v>43</v>
      </c>
      <c r="B37" s="24" t="s">
        <v>36</v>
      </c>
      <c r="C37" s="24">
        <f>2753400+8505</f>
        <v>2761905</v>
      </c>
      <c r="D37" s="22"/>
      <c r="E37" s="25"/>
      <c r="F37" s="204"/>
    </row>
    <row r="38" spans="1:11" s="9" customFormat="1" ht="12.75" customHeight="1" x14ac:dyDescent="0.25">
      <c r="A38" s="12" t="s">
        <v>44</v>
      </c>
      <c r="B38" s="24" t="s">
        <v>38</v>
      </c>
      <c r="C38" s="24">
        <v>1</v>
      </c>
      <c r="D38" s="22"/>
      <c r="E38" s="25"/>
      <c r="F38" s="205"/>
    </row>
    <row r="39" spans="1:11" s="203" customFormat="1" ht="13.5" customHeight="1" thickBot="1" x14ac:dyDescent="0.3">
      <c r="A39" s="12"/>
      <c r="B39" s="12"/>
      <c r="C39" s="24"/>
      <c r="D39" s="24"/>
      <c r="E39" s="71"/>
      <c r="F39" s="9"/>
      <c r="G39" s="152"/>
      <c r="H39" s="152"/>
      <c r="I39" s="152"/>
      <c r="J39" s="152"/>
      <c r="K39" s="152"/>
    </row>
    <row r="40" spans="1:11" s="203" customFormat="1" ht="13.5" customHeight="1" thickBot="1" x14ac:dyDescent="0.3">
      <c r="A40" s="1104" t="s">
        <v>2</v>
      </c>
      <c r="B40" s="1105"/>
      <c r="C40" s="667">
        <f>+C41+C43+C45+C47+C53+C56</f>
        <v>632170</v>
      </c>
      <c r="D40" s="206"/>
      <c r="E40" s="72"/>
      <c r="F40" s="9"/>
      <c r="G40" s="152"/>
      <c r="H40" s="207"/>
      <c r="I40" s="152"/>
      <c r="J40" s="152"/>
      <c r="K40" s="152"/>
    </row>
    <row r="41" spans="1:11" s="210" customFormat="1" ht="13.5" customHeight="1" x14ac:dyDescent="0.25">
      <c r="A41" s="11" t="s">
        <v>103</v>
      </c>
      <c r="B41" s="298" t="s">
        <v>104</v>
      </c>
      <c r="C41" s="32">
        <f>SUM(C42)</f>
        <v>130100</v>
      </c>
      <c r="D41" s="208"/>
      <c r="E41" s="101"/>
      <c r="F41" s="155"/>
      <c r="G41" s="154"/>
      <c r="H41" s="209"/>
      <c r="I41" s="154"/>
      <c r="J41" s="154"/>
      <c r="K41" s="154"/>
    </row>
    <row r="42" spans="1:11" s="43" customFormat="1" ht="13.5" customHeight="1" x14ac:dyDescent="0.25">
      <c r="A42" s="12" t="s">
        <v>46</v>
      </c>
      <c r="B42" s="8" t="s">
        <v>45</v>
      </c>
      <c r="C42" s="24">
        <v>130100</v>
      </c>
      <c r="D42" s="22"/>
      <c r="E42" s="31"/>
      <c r="G42" s="55"/>
    </row>
    <row r="43" spans="1:11" s="43" customFormat="1" ht="13.5" customHeight="1" x14ac:dyDescent="0.25">
      <c r="A43" s="11" t="s">
        <v>105</v>
      </c>
      <c r="B43" s="556" t="s">
        <v>106</v>
      </c>
      <c r="C43" s="31">
        <f>SUM(C44:C44)</f>
        <v>24000</v>
      </c>
      <c r="D43" s="22"/>
      <c r="E43" s="31"/>
      <c r="G43" s="55"/>
    </row>
    <row r="44" spans="1:11" s="43" customFormat="1" ht="13.5" customHeight="1" x14ac:dyDescent="0.25">
      <c r="A44" s="12" t="s">
        <v>86</v>
      </c>
      <c r="B44" s="8" t="s">
        <v>66</v>
      </c>
      <c r="C44" s="24">
        <v>24000</v>
      </c>
      <c r="D44" s="22"/>
      <c r="E44" s="31"/>
      <c r="G44" s="55"/>
    </row>
    <row r="45" spans="1:11" s="43" customFormat="1" ht="13.5" customHeight="1" x14ac:dyDescent="0.25">
      <c r="A45" s="11" t="s">
        <v>107</v>
      </c>
      <c r="B45" s="556" t="s">
        <v>108</v>
      </c>
      <c r="C45" s="31">
        <f>SUM(C46)</f>
        <v>134760</v>
      </c>
      <c r="D45" s="22"/>
      <c r="E45" s="31"/>
      <c r="G45" s="55"/>
    </row>
    <row r="46" spans="1:11" s="8" customFormat="1" ht="13.5" customHeight="1" x14ac:dyDescent="0.25">
      <c r="A46" s="12" t="s">
        <v>47</v>
      </c>
      <c r="B46" s="23" t="s">
        <v>48</v>
      </c>
      <c r="C46" s="24">
        <v>134760</v>
      </c>
      <c r="D46" s="78"/>
      <c r="E46" s="25"/>
      <c r="F46" s="99"/>
      <c r="G46" s="55"/>
      <c r="H46" s="43"/>
    </row>
    <row r="47" spans="1:11" s="72" customFormat="1" ht="13.5" customHeight="1" x14ac:dyDescent="0.25">
      <c r="A47" s="265" t="s">
        <v>119</v>
      </c>
      <c r="B47" s="25" t="s">
        <v>109</v>
      </c>
      <c r="C47" s="31">
        <f>SUM(C48:C52)</f>
        <v>117640</v>
      </c>
      <c r="D47" s="78"/>
      <c r="E47" s="25"/>
      <c r="F47" s="101"/>
      <c r="G47" s="96"/>
      <c r="H47" s="12"/>
    </row>
    <row r="48" spans="1:11" s="72" customFormat="1" ht="13.5" customHeight="1" x14ac:dyDescent="0.25">
      <c r="A48" s="72" t="s">
        <v>150</v>
      </c>
      <c r="B48" s="23" t="s">
        <v>340</v>
      </c>
      <c r="C48" s="24">
        <v>10200</v>
      </c>
      <c r="D48" s="21"/>
      <c r="E48" s="21"/>
      <c r="F48" s="5"/>
      <c r="G48" s="350"/>
      <c r="H48" s="122"/>
    </row>
    <row r="49" spans="1:11" s="72" customFormat="1" ht="13.5" customHeight="1" x14ac:dyDescent="0.25">
      <c r="A49" s="72" t="s">
        <v>697</v>
      </c>
      <c r="B49" s="43" t="s">
        <v>696</v>
      </c>
      <c r="C49" s="24">
        <v>11440</v>
      </c>
      <c r="D49" s="21"/>
      <c r="E49" s="21"/>
      <c r="F49" s="5"/>
      <c r="G49" s="350"/>
      <c r="H49" s="122"/>
    </row>
    <row r="50" spans="1:11" s="66" customFormat="1" ht="13" x14ac:dyDescent="0.3">
      <c r="A50" s="72" t="s">
        <v>816</v>
      </c>
      <c r="B50" s="24" t="s">
        <v>810</v>
      </c>
      <c r="C50" s="24">
        <v>23000</v>
      </c>
      <c r="D50" s="78"/>
      <c r="E50" s="25"/>
    </row>
    <row r="51" spans="1:11" s="66" customFormat="1" ht="13" x14ac:dyDescent="0.3">
      <c r="A51" s="72" t="s">
        <v>820</v>
      </c>
      <c r="B51" s="24" t="s">
        <v>821</v>
      </c>
      <c r="C51" s="24">
        <v>55000</v>
      </c>
      <c r="D51" s="78"/>
      <c r="E51" s="25"/>
    </row>
    <row r="52" spans="1:11" s="66" customFormat="1" ht="13" x14ac:dyDescent="0.3">
      <c r="A52" s="72" t="s">
        <v>811</v>
      </c>
      <c r="B52" s="24" t="s">
        <v>812</v>
      </c>
      <c r="C52" s="24">
        <v>18000</v>
      </c>
      <c r="D52" s="78"/>
      <c r="E52" s="25"/>
    </row>
    <row r="53" spans="1:11" s="72" customFormat="1" ht="13.5" customHeight="1" x14ac:dyDescent="0.25">
      <c r="A53" s="265" t="s">
        <v>124</v>
      </c>
      <c r="B53" s="25" t="s">
        <v>123</v>
      </c>
      <c r="C53" s="31">
        <f>SUM(C54:C55)</f>
        <v>56310</v>
      </c>
      <c r="D53" s="21"/>
      <c r="E53" s="21"/>
      <c r="F53" s="5"/>
      <c r="G53" s="350"/>
      <c r="H53" s="122"/>
    </row>
    <row r="54" spans="1:11" s="66" customFormat="1" ht="13" x14ac:dyDescent="0.3">
      <c r="A54" s="12" t="s">
        <v>230</v>
      </c>
      <c r="B54" s="43" t="s">
        <v>229</v>
      </c>
      <c r="C54" s="24">
        <v>34000</v>
      </c>
      <c r="D54" s="57"/>
      <c r="E54" s="57"/>
    </row>
    <row r="55" spans="1:11" s="72" customFormat="1" ht="13.5" customHeight="1" x14ac:dyDescent="0.25">
      <c r="A55" s="72" t="s">
        <v>93</v>
      </c>
      <c r="B55" s="23" t="s">
        <v>72</v>
      </c>
      <c r="C55" s="24">
        <v>22310</v>
      </c>
      <c r="D55" s="21"/>
      <c r="E55" s="21"/>
      <c r="F55" s="5"/>
      <c r="G55" s="350"/>
      <c r="H55" s="122"/>
    </row>
    <row r="56" spans="1:11" s="66" customFormat="1" ht="13" x14ac:dyDescent="0.3">
      <c r="A56" s="265" t="s">
        <v>151</v>
      </c>
      <c r="B56" s="25" t="s">
        <v>133</v>
      </c>
      <c r="C56" s="64">
        <f>SUM(C57:C60)</f>
        <v>169360</v>
      </c>
      <c r="D56" s="68"/>
      <c r="E56" s="68"/>
      <c r="F56" s="70"/>
    </row>
    <row r="57" spans="1:11" s="8" customFormat="1" ht="13.5" customHeight="1" x14ac:dyDescent="0.25">
      <c r="A57" s="72" t="s">
        <v>152</v>
      </c>
      <c r="B57" s="23" t="s">
        <v>65</v>
      </c>
      <c r="C57" s="24">
        <v>12540</v>
      </c>
      <c r="D57" s="78"/>
      <c r="E57" s="25"/>
      <c r="F57" s="99"/>
      <c r="G57" s="55"/>
      <c r="H57" s="43"/>
    </row>
    <row r="58" spans="1:11" s="8" customFormat="1" ht="13.5" customHeight="1" x14ac:dyDescent="0.25">
      <c r="A58" s="72" t="s">
        <v>153</v>
      </c>
      <c r="B58" s="23" t="s">
        <v>70</v>
      </c>
      <c r="C58" s="24">
        <v>36360</v>
      </c>
      <c r="D58" s="78"/>
      <c r="E58" s="25"/>
      <c r="F58" s="99"/>
      <c r="G58" s="55"/>
      <c r="H58" s="43"/>
    </row>
    <row r="59" spans="1:11" s="8" customFormat="1" ht="13.5" customHeight="1" x14ac:dyDescent="0.25">
      <c r="A59" s="72" t="s">
        <v>155</v>
      </c>
      <c r="B59" s="23" t="s">
        <v>133</v>
      </c>
      <c r="C59" s="24">
        <v>40460</v>
      </c>
      <c r="D59" s="78"/>
      <c r="E59" s="25"/>
      <c r="F59" s="211"/>
      <c r="G59" s="55"/>
      <c r="H59" s="74"/>
    </row>
    <row r="60" spans="1:11" s="66" customFormat="1" ht="13" x14ac:dyDescent="0.3">
      <c r="A60" s="72" t="s">
        <v>699</v>
      </c>
      <c r="B60" s="43" t="s">
        <v>698</v>
      </c>
      <c r="C60" s="60">
        <v>80000</v>
      </c>
      <c r="D60" s="68"/>
      <c r="E60" s="68"/>
      <c r="F60" s="68"/>
    </row>
    <row r="61" spans="1:11" s="203" customFormat="1" ht="13.5" customHeight="1" thickBot="1" x14ac:dyDescent="0.35">
      <c r="A61" s="72"/>
      <c r="B61" s="212"/>
      <c r="C61" s="23"/>
      <c r="D61" s="130"/>
      <c r="E61" s="72"/>
      <c r="F61" s="9"/>
      <c r="G61" s="152"/>
      <c r="H61" s="152"/>
      <c r="I61" s="152"/>
      <c r="J61" s="152"/>
      <c r="K61" s="152"/>
    </row>
    <row r="62" spans="1:11" s="203" customFormat="1" ht="13.5" customHeight="1" thickBot="1" x14ac:dyDescent="0.3">
      <c r="A62" s="1096" t="s">
        <v>3</v>
      </c>
      <c r="B62" s="1097"/>
      <c r="C62" s="668">
        <f>C63+C65+C68+C71+C73+C75</f>
        <v>1317940</v>
      </c>
      <c r="D62" s="72"/>
      <c r="E62" s="72"/>
      <c r="F62" s="9"/>
      <c r="G62" s="152"/>
      <c r="H62" s="152"/>
      <c r="I62" s="207"/>
      <c r="J62" s="152"/>
      <c r="K62" s="152"/>
    </row>
    <row r="63" spans="1:11" s="210" customFormat="1" ht="13.5" customHeight="1" x14ac:dyDescent="0.25">
      <c r="A63" s="63" t="s">
        <v>110</v>
      </c>
      <c r="B63" s="298" t="s">
        <v>111</v>
      </c>
      <c r="C63" s="32">
        <f>SUM(C64:C64)</f>
        <v>102500</v>
      </c>
      <c r="D63" s="101"/>
      <c r="E63" s="101"/>
      <c r="F63" s="155"/>
      <c r="G63" s="154"/>
      <c r="H63" s="154"/>
      <c r="I63" s="209"/>
      <c r="J63" s="154"/>
      <c r="K63" s="154"/>
    </row>
    <row r="64" spans="1:11" s="8" customFormat="1" ht="13.5" customHeight="1" x14ac:dyDescent="0.25">
      <c r="A64" s="59" t="s">
        <v>52</v>
      </c>
      <c r="B64" s="59" t="s">
        <v>15</v>
      </c>
      <c r="C64" s="24">
        <v>102500</v>
      </c>
      <c r="F64" s="84"/>
      <c r="G64" s="25"/>
      <c r="H64" s="43"/>
    </row>
    <row r="65" spans="1:255" s="8" customFormat="1" ht="13.5" customHeight="1" x14ac:dyDescent="0.25">
      <c r="A65" s="63" t="s">
        <v>120</v>
      </c>
      <c r="B65" s="63" t="s">
        <v>121</v>
      </c>
      <c r="C65" s="31">
        <f>SUM(C66:C67)</f>
        <v>35310</v>
      </c>
      <c r="F65" s="84"/>
      <c r="G65" s="25"/>
      <c r="H65" s="43"/>
    </row>
    <row r="66" spans="1:255" s="8" customFormat="1" ht="13.5" customHeight="1" x14ac:dyDescent="0.25">
      <c r="A66" s="59" t="s">
        <v>236</v>
      </c>
      <c r="B66" s="43" t="s">
        <v>237</v>
      </c>
      <c r="C66" s="24">
        <v>10200</v>
      </c>
      <c r="F66" s="84"/>
      <c r="G66" s="25"/>
      <c r="H66" s="43"/>
    </row>
    <row r="67" spans="1:255" s="8" customFormat="1" ht="13.5" customHeight="1" x14ac:dyDescent="0.25">
      <c r="A67" s="59" t="s">
        <v>136</v>
      </c>
      <c r="B67" s="59" t="s">
        <v>71</v>
      </c>
      <c r="C67" s="24">
        <v>25110</v>
      </c>
      <c r="F67" s="78"/>
      <c r="G67" s="25"/>
      <c r="H67" s="55"/>
    </row>
    <row r="68" spans="1:255" s="8" customFormat="1" ht="13.5" customHeight="1" x14ac:dyDescent="0.25">
      <c r="A68" s="11" t="s">
        <v>112</v>
      </c>
      <c r="B68" s="63" t="s">
        <v>157</v>
      </c>
      <c r="C68" s="31">
        <f>SUM(C69:C70)</f>
        <v>408300</v>
      </c>
      <c r="F68" s="84"/>
      <c r="G68" s="25"/>
      <c r="H68" s="43"/>
    </row>
    <row r="69" spans="1:255" s="56" customFormat="1" ht="13" x14ac:dyDescent="0.3">
      <c r="A69" s="12" t="s">
        <v>138</v>
      </c>
      <c r="B69" s="59" t="s">
        <v>878</v>
      </c>
      <c r="C69" s="60">
        <v>9000</v>
      </c>
      <c r="F69" s="64"/>
      <c r="G69" s="57"/>
    </row>
    <row r="70" spans="1:255" s="56" customFormat="1" ht="13" x14ac:dyDescent="0.3">
      <c r="A70" s="12" t="s">
        <v>49</v>
      </c>
      <c r="B70" s="24" t="s">
        <v>87</v>
      </c>
      <c r="C70" s="60">
        <v>399300</v>
      </c>
      <c r="F70" s="60"/>
      <c r="G70" s="57"/>
    </row>
    <row r="71" spans="1:255" s="56" customFormat="1" ht="13" x14ac:dyDescent="0.3">
      <c r="A71" s="11" t="s">
        <v>113</v>
      </c>
      <c r="B71" s="31" t="s">
        <v>114</v>
      </c>
      <c r="C71" s="64">
        <f>SUM(C72:C72)</f>
        <v>10540</v>
      </c>
      <c r="F71" s="60"/>
      <c r="G71" s="57"/>
    </row>
    <row r="72" spans="1:255" s="56" customFormat="1" ht="13" x14ac:dyDescent="0.3">
      <c r="A72" s="12" t="s">
        <v>88</v>
      </c>
      <c r="B72" s="24" t="s">
        <v>64</v>
      </c>
      <c r="C72" s="60">
        <v>10540</v>
      </c>
      <c r="F72" s="60"/>
      <c r="G72" s="57"/>
    </row>
    <row r="73" spans="1:255" s="56" customFormat="1" ht="13" x14ac:dyDescent="0.3">
      <c r="A73" s="11" t="s">
        <v>132</v>
      </c>
      <c r="B73" s="31" t="s">
        <v>56</v>
      </c>
      <c r="C73" s="64">
        <f>SUM(C74)</f>
        <v>36000</v>
      </c>
      <c r="F73" s="60"/>
      <c r="G73" s="57"/>
    </row>
    <row r="74" spans="1:255" s="56" customFormat="1" ht="13" x14ac:dyDescent="0.3">
      <c r="A74" s="12" t="s">
        <v>55</v>
      </c>
      <c r="B74" s="59" t="s">
        <v>56</v>
      </c>
      <c r="C74" s="60">
        <v>36000</v>
      </c>
      <c r="F74" s="60"/>
      <c r="G74" s="57"/>
    </row>
    <row r="75" spans="1:255" s="56" customFormat="1" ht="13" x14ac:dyDescent="0.3">
      <c r="A75" s="11" t="s">
        <v>115</v>
      </c>
      <c r="B75" s="31" t="s">
        <v>8</v>
      </c>
      <c r="C75" s="64">
        <f>SUM(C76:C80)</f>
        <v>725290</v>
      </c>
      <c r="F75" s="60"/>
      <c r="G75" s="57"/>
    </row>
    <row r="76" spans="1:255" s="56" customFormat="1" ht="13" x14ac:dyDescent="0.3">
      <c r="A76" s="12" t="s">
        <v>92</v>
      </c>
      <c r="B76" s="24" t="s">
        <v>8</v>
      </c>
      <c r="C76" s="60">
        <v>271560</v>
      </c>
      <c r="F76" s="57"/>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c r="EO76" s="66"/>
      <c r="EP76" s="66"/>
      <c r="EQ76" s="66"/>
      <c r="ER76" s="66"/>
      <c r="ES76" s="66"/>
      <c r="ET76" s="66"/>
      <c r="EU76" s="66"/>
      <c r="EV76" s="66"/>
      <c r="EW76" s="66"/>
      <c r="EX76" s="66"/>
      <c r="EY76" s="66"/>
      <c r="EZ76" s="66"/>
      <c r="FA76" s="66"/>
      <c r="FB76" s="66"/>
      <c r="FC76" s="66"/>
      <c r="FD76" s="66"/>
      <c r="FE76" s="66"/>
      <c r="FF76" s="66"/>
      <c r="FG76" s="66"/>
      <c r="FH76" s="66"/>
      <c r="FI76" s="66"/>
      <c r="FJ76" s="66"/>
      <c r="FK76" s="66"/>
      <c r="FL76" s="66"/>
      <c r="FM76" s="66"/>
      <c r="FN76" s="66"/>
      <c r="FO76" s="66"/>
      <c r="FP76" s="66"/>
      <c r="FQ76" s="66"/>
      <c r="FR76" s="66"/>
      <c r="FS76" s="66"/>
      <c r="FT76" s="66"/>
      <c r="FU76" s="66"/>
      <c r="FV76" s="66"/>
      <c r="FW76" s="66"/>
      <c r="FX76" s="66"/>
      <c r="FY76" s="66"/>
      <c r="FZ76" s="66"/>
      <c r="GA76" s="66"/>
      <c r="GB76" s="66"/>
      <c r="GC76" s="66"/>
      <c r="GD76" s="66"/>
      <c r="GE76" s="66"/>
      <c r="GF76" s="66"/>
      <c r="GG76" s="66"/>
      <c r="GH76" s="66"/>
      <c r="GI76" s="66"/>
      <c r="GJ76" s="66"/>
      <c r="GK76" s="66"/>
      <c r="GL76" s="66"/>
      <c r="GM76" s="66"/>
      <c r="GN76" s="66"/>
      <c r="GO76" s="66"/>
      <c r="GP76" s="66"/>
      <c r="GQ76" s="66"/>
      <c r="GR76" s="66"/>
      <c r="GS76" s="66"/>
      <c r="GT76" s="66"/>
      <c r="GU76" s="66"/>
      <c r="GV76" s="66"/>
      <c r="GW76" s="66"/>
      <c r="GX76" s="66"/>
      <c r="GY76" s="66"/>
      <c r="GZ76" s="66"/>
      <c r="HA76" s="66"/>
      <c r="HB76" s="66"/>
      <c r="HC76" s="66"/>
      <c r="HD76" s="66"/>
      <c r="HE76" s="66"/>
      <c r="HF76" s="66"/>
      <c r="HG76" s="66"/>
      <c r="HH76" s="66"/>
      <c r="HI76" s="66"/>
      <c r="HJ76" s="66"/>
      <c r="HK76" s="66"/>
      <c r="HL76" s="66"/>
      <c r="HM76" s="66"/>
      <c r="HN76" s="66"/>
      <c r="HO76" s="66"/>
      <c r="HP76" s="66"/>
      <c r="HQ76" s="66"/>
      <c r="HR76" s="66"/>
      <c r="HS76" s="66"/>
      <c r="HT76" s="66"/>
      <c r="HU76" s="66"/>
      <c r="HV76" s="66"/>
      <c r="HW76" s="66"/>
      <c r="HX76" s="66"/>
      <c r="HY76" s="66"/>
      <c r="HZ76" s="66"/>
      <c r="IA76" s="66"/>
      <c r="IB76" s="66"/>
      <c r="IC76" s="66"/>
      <c r="ID76" s="66"/>
      <c r="IE76" s="66"/>
      <c r="IF76" s="66"/>
      <c r="IG76" s="66"/>
      <c r="IH76" s="66"/>
      <c r="II76" s="66"/>
      <c r="IJ76" s="66"/>
      <c r="IK76" s="66"/>
      <c r="IL76" s="66"/>
      <c r="IM76" s="66"/>
      <c r="IN76" s="66"/>
      <c r="IO76" s="66"/>
      <c r="IP76" s="66"/>
      <c r="IQ76" s="66"/>
      <c r="IR76" s="66"/>
      <c r="IS76" s="66"/>
      <c r="IT76" s="66"/>
      <c r="IU76" s="66"/>
    </row>
    <row r="77" spans="1:255" s="56" customFormat="1" ht="13" x14ac:dyDescent="0.3">
      <c r="A77" s="12" t="s">
        <v>181</v>
      </c>
      <c r="B77" s="24" t="s">
        <v>50</v>
      </c>
      <c r="C77" s="60">
        <v>113440</v>
      </c>
      <c r="D77" s="64"/>
      <c r="E77" s="57"/>
      <c r="F77" s="60"/>
    </row>
    <row r="78" spans="1:255" s="56" customFormat="1" ht="13" x14ac:dyDescent="0.3">
      <c r="A78" s="72" t="s">
        <v>224</v>
      </c>
      <c r="B78" s="24" t="s">
        <v>223</v>
      </c>
      <c r="C78" s="24">
        <v>30000</v>
      </c>
      <c r="D78" s="60"/>
      <c r="E78" s="57"/>
      <c r="F78" s="60"/>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c r="EO78" s="66"/>
      <c r="EP78" s="66"/>
      <c r="EQ78" s="66"/>
      <c r="ER78" s="66"/>
      <c r="ES78" s="66"/>
      <c r="ET78" s="66"/>
      <c r="EU78" s="66"/>
      <c r="EV78" s="66"/>
      <c r="EW78" s="66"/>
      <c r="EX78" s="66"/>
      <c r="EY78" s="66"/>
      <c r="EZ78" s="66"/>
      <c r="FA78" s="66"/>
      <c r="FB78" s="66"/>
      <c r="FC78" s="66"/>
      <c r="FD78" s="66"/>
      <c r="FE78" s="66"/>
      <c r="FF78" s="66"/>
      <c r="FG78" s="66"/>
      <c r="FH78" s="66"/>
      <c r="FI78" s="66"/>
      <c r="FJ78" s="66"/>
      <c r="FK78" s="66"/>
      <c r="FL78" s="66"/>
      <c r="FM78" s="66"/>
      <c r="FN78" s="66"/>
      <c r="FO78" s="66"/>
      <c r="FP78" s="66"/>
      <c r="FQ78" s="66"/>
      <c r="FR78" s="66"/>
      <c r="FS78" s="66"/>
      <c r="FT78" s="66"/>
      <c r="FU78" s="66"/>
      <c r="FV78" s="66"/>
      <c r="FW78" s="66"/>
      <c r="FX78" s="66"/>
      <c r="FY78" s="66"/>
      <c r="FZ78" s="66"/>
      <c r="GA78" s="66"/>
      <c r="GB78" s="66"/>
      <c r="GC78" s="66"/>
      <c r="GD78" s="66"/>
      <c r="GE78" s="66"/>
      <c r="GF78" s="66"/>
      <c r="GG78" s="66"/>
      <c r="GH78" s="66"/>
      <c r="GI78" s="66"/>
      <c r="GJ78" s="66"/>
      <c r="GK78" s="66"/>
      <c r="GL78" s="66"/>
      <c r="GM78" s="66"/>
      <c r="GN78" s="66"/>
      <c r="GO78" s="66"/>
      <c r="GP78" s="66"/>
      <c r="GQ78" s="66"/>
      <c r="GR78" s="66"/>
      <c r="GS78" s="66"/>
      <c r="GT78" s="66"/>
      <c r="GU78" s="66"/>
      <c r="GV78" s="66"/>
      <c r="GW78" s="66"/>
      <c r="GX78" s="66"/>
      <c r="GY78" s="66"/>
      <c r="GZ78" s="66"/>
      <c r="HA78" s="66"/>
      <c r="HB78" s="66"/>
      <c r="HC78" s="66"/>
      <c r="HD78" s="66"/>
      <c r="HE78" s="66"/>
      <c r="HF78" s="66"/>
      <c r="HG78" s="66"/>
      <c r="HH78" s="66"/>
      <c r="HI78" s="66"/>
      <c r="HJ78" s="66"/>
      <c r="HK78" s="66"/>
      <c r="HL78" s="66"/>
      <c r="HM78" s="66"/>
      <c r="HN78" s="66"/>
      <c r="HO78" s="66"/>
      <c r="HP78" s="66"/>
      <c r="HQ78" s="66"/>
      <c r="HR78" s="66"/>
      <c r="HS78" s="66"/>
      <c r="HT78" s="66"/>
      <c r="HU78" s="66"/>
      <c r="HV78" s="66"/>
      <c r="HW78" s="66"/>
      <c r="HX78" s="66"/>
      <c r="HY78" s="66"/>
      <c r="HZ78" s="66"/>
      <c r="IA78" s="66"/>
      <c r="IB78" s="66"/>
      <c r="IC78" s="66"/>
      <c r="ID78" s="66"/>
      <c r="IE78" s="66"/>
      <c r="IF78" s="66"/>
      <c r="IG78" s="66"/>
      <c r="IH78" s="66"/>
      <c r="II78" s="66"/>
      <c r="IJ78" s="66"/>
      <c r="IK78" s="66"/>
      <c r="IL78" s="66"/>
      <c r="IM78" s="66"/>
      <c r="IN78" s="66"/>
      <c r="IO78" s="66"/>
      <c r="IP78" s="66"/>
      <c r="IQ78" s="66"/>
      <c r="IR78" s="66"/>
      <c r="IS78" s="66"/>
      <c r="IT78" s="66"/>
      <c r="IU78" s="66"/>
    </row>
    <row r="79" spans="1:255" s="56" customFormat="1" ht="13" x14ac:dyDescent="0.3">
      <c r="A79" s="12" t="s">
        <v>222</v>
      </c>
      <c r="B79" s="43" t="s">
        <v>221</v>
      </c>
      <c r="C79" s="60">
        <v>122700</v>
      </c>
      <c r="D79" s="60"/>
      <c r="E79" s="57"/>
      <c r="F79" s="60"/>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c r="EO79" s="66"/>
      <c r="EP79" s="66"/>
      <c r="EQ79" s="66"/>
      <c r="ER79" s="66"/>
      <c r="ES79" s="66"/>
      <c r="ET79" s="66"/>
      <c r="EU79" s="66"/>
      <c r="EV79" s="66"/>
      <c r="EW79" s="66"/>
      <c r="EX79" s="66"/>
      <c r="EY79" s="66"/>
      <c r="EZ79" s="66"/>
      <c r="FA79" s="66"/>
      <c r="FB79" s="66"/>
      <c r="FC79" s="66"/>
      <c r="FD79" s="66"/>
      <c r="FE79" s="66"/>
      <c r="FF79" s="66"/>
      <c r="FG79" s="66"/>
      <c r="FH79" s="66"/>
      <c r="FI79" s="66"/>
      <c r="FJ79" s="66"/>
      <c r="FK79" s="66"/>
      <c r="FL79" s="66"/>
      <c r="FM79" s="66"/>
      <c r="FN79" s="66"/>
      <c r="FO79" s="66"/>
      <c r="FP79" s="66"/>
      <c r="FQ79" s="66"/>
      <c r="FR79" s="66"/>
      <c r="FS79" s="66"/>
      <c r="FT79" s="66"/>
      <c r="FU79" s="66"/>
      <c r="FV79" s="66"/>
      <c r="FW79" s="66"/>
      <c r="FX79" s="66"/>
      <c r="FY79" s="66"/>
      <c r="FZ79" s="66"/>
      <c r="GA79" s="66"/>
      <c r="GB79" s="66"/>
      <c r="GC79" s="66"/>
      <c r="GD79" s="66"/>
      <c r="GE79" s="66"/>
      <c r="GF79" s="66"/>
      <c r="GG79" s="66"/>
      <c r="GH79" s="66"/>
      <c r="GI79" s="66"/>
      <c r="GJ79" s="66"/>
      <c r="GK79" s="66"/>
      <c r="GL79" s="66"/>
      <c r="GM79" s="66"/>
      <c r="GN79" s="66"/>
      <c r="GO79" s="66"/>
      <c r="GP79" s="66"/>
      <c r="GQ79" s="66"/>
      <c r="GR79" s="66"/>
      <c r="GS79" s="66"/>
      <c r="GT79" s="66"/>
      <c r="GU79" s="66"/>
      <c r="GV79" s="66"/>
      <c r="GW79" s="66"/>
      <c r="GX79" s="66"/>
      <c r="GY79" s="66"/>
      <c r="GZ79" s="66"/>
      <c r="HA79" s="66"/>
      <c r="HB79" s="66"/>
      <c r="HC79" s="66"/>
      <c r="HD79" s="66"/>
      <c r="HE79" s="66"/>
      <c r="HF79" s="66"/>
      <c r="HG79" s="66"/>
      <c r="HH79" s="66"/>
      <c r="HI79" s="66"/>
      <c r="HJ79" s="66"/>
      <c r="HK79" s="66"/>
      <c r="HL79" s="66"/>
      <c r="HM79" s="66"/>
      <c r="HN79" s="66"/>
      <c r="HO79" s="66"/>
      <c r="HP79" s="66"/>
      <c r="HQ79" s="66"/>
      <c r="HR79" s="66"/>
      <c r="HS79" s="66"/>
      <c r="HT79" s="66"/>
      <c r="HU79" s="66"/>
      <c r="HV79" s="66"/>
      <c r="HW79" s="66"/>
      <c r="HX79" s="66"/>
      <c r="HY79" s="66"/>
      <c r="HZ79" s="66"/>
      <c r="IA79" s="66"/>
      <c r="IB79" s="66"/>
      <c r="IC79" s="66"/>
      <c r="ID79" s="66"/>
      <c r="IE79" s="66"/>
      <c r="IF79" s="66"/>
      <c r="IG79" s="66"/>
      <c r="IH79" s="66"/>
      <c r="II79" s="66"/>
      <c r="IJ79" s="66"/>
      <c r="IK79" s="66"/>
      <c r="IL79" s="66"/>
      <c r="IM79" s="66"/>
      <c r="IN79" s="66"/>
      <c r="IO79" s="66"/>
      <c r="IP79" s="66"/>
      <c r="IQ79" s="66"/>
      <c r="IR79" s="66"/>
      <c r="IS79" s="66"/>
      <c r="IT79" s="66"/>
      <c r="IU79" s="66"/>
    </row>
    <row r="80" spans="1:255" s="66" customFormat="1" ht="13" x14ac:dyDescent="0.3">
      <c r="A80" s="12" t="s">
        <v>90</v>
      </c>
      <c r="B80" s="24" t="s">
        <v>7</v>
      </c>
      <c r="C80" s="60">
        <v>187590</v>
      </c>
      <c r="D80" s="25"/>
      <c r="E80" s="213"/>
      <c r="F80" s="60"/>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56"/>
      <c r="FE80" s="56"/>
      <c r="FF80" s="56"/>
      <c r="FG80" s="56"/>
      <c r="FH80" s="56"/>
      <c r="FI80" s="56"/>
      <c r="FJ80" s="56"/>
      <c r="FK80" s="56"/>
      <c r="FL80" s="56"/>
      <c r="FM80" s="56"/>
      <c r="FN80" s="56"/>
      <c r="FO80" s="56"/>
      <c r="FP80" s="56"/>
      <c r="FQ80" s="56"/>
      <c r="FR80" s="56"/>
      <c r="FS80" s="56"/>
      <c r="FT80" s="56"/>
      <c r="FU80" s="56"/>
      <c r="FV80" s="56"/>
      <c r="FW80" s="56"/>
      <c r="FX80" s="56"/>
      <c r="FY80" s="56"/>
      <c r="FZ80" s="56"/>
      <c r="GA80" s="56"/>
      <c r="GB80" s="56"/>
      <c r="GC80" s="56"/>
      <c r="GD80" s="56"/>
      <c r="GE80" s="56"/>
      <c r="GF80" s="56"/>
      <c r="GG80" s="56"/>
      <c r="GH80" s="56"/>
      <c r="GI80" s="56"/>
      <c r="GJ80" s="56"/>
      <c r="GK80" s="56"/>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c r="IN80" s="56"/>
      <c r="IO80" s="56"/>
      <c r="IP80" s="56"/>
      <c r="IQ80" s="56"/>
      <c r="IR80" s="56"/>
      <c r="IS80" s="56"/>
      <c r="IT80" s="56"/>
      <c r="IU80" s="56"/>
    </row>
    <row r="81" spans="1:255" s="203" customFormat="1" ht="13.5" customHeight="1" thickBot="1" x14ac:dyDescent="0.3">
      <c r="A81" s="72"/>
      <c r="B81" s="72"/>
      <c r="C81" s="23"/>
      <c r="D81" s="11"/>
      <c r="E81" s="24"/>
      <c r="F81" s="73"/>
      <c r="G81" s="152"/>
      <c r="H81" s="152"/>
      <c r="I81" s="152"/>
      <c r="J81" s="152"/>
      <c r="K81" s="152"/>
    </row>
    <row r="82" spans="1:255" s="203" customFormat="1" ht="13.5" customHeight="1" thickBot="1" x14ac:dyDescent="0.3">
      <c r="A82" s="1115" t="s">
        <v>5</v>
      </c>
      <c r="B82" s="1116"/>
      <c r="C82" s="669">
        <f>C83+C86</f>
        <v>601600</v>
      </c>
      <c r="D82" s="12"/>
      <c r="E82" s="12"/>
      <c r="F82" s="73"/>
      <c r="G82" s="152"/>
      <c r="H82" s="152"/>
      <c r="I82" s="152"/>
      <c r="J82" s="207"/>
      <c r="K82" s="152"/>
    </row>
    <row r="83" spans="1:255" s="210" customFormat="1" ht="13.5" customHeight="1" x14ac:dyDescent="0.2">
      <c r="A83" s="265" t="s">
        <v>126</v>
      </c>
      <c r="B83" s="298" t="s">
        <v>127</v>
      </c>
      <c r="C83" s="32">
        <f>SUM(C84:C85)</f>
        <v>130200</v>
      </c>
      <c r="D83" s="101"/>
      <c r="E83" s="101"/>
      <c r="F83" s="96"/>
      <c r="G83" s="154"/>
      <c r="H83" s="154"/>
      <c r="I83" s="154"/>
      <c r="J83" s="209"/>
      <c r="K83" s="154"/>
    </row>
    <row r="84" spans="1:255" s="43" customFormat="1" ht="11.5" x14ac:dyDescent="0.25">
      <c r="A84" s="72" t="s">
        <v>63</v>
      </c>
      <c r="B84" s="24" t="s">
        <v>62</v>
      </c>
      <c r="C84" s="24">
        <v>60000</v>
      </c>
      <c r="E84" s="85"/>
      <c r="F84" s="96"/>
      <c r="G84" s="55"/>
    </row>
    <row r="85" spans="1:255" s="43" customFormat="1" ht="11.5" x14ac:dyDescent="0.25">
      <c r="A85" s="72" t="s">
        <v>593</v>
      </c>
      <c r="B85" s="23" t="s">
        <v>597</v>
      </c>
      <c r="C85" s="24">
        <v>70200</v>
      </c>
      <c r="E85" s="85"/>
      <c r="F85" s="79"/>
      <c r="G85" s="55"/>
    </row>
    <row r="86" spans="1:255" s="8" customFormat="1" ht="11.5" x14ac:dyDescent="0.25">
      <c r="A86" s="265" t="s">
        <v>128</v>
      </c>
      <c r="B86" s="265" t="s">
        <v>129</v>
      </c>
      <c r="C86" s="31">
        <f>SUM(C87:C89)</f>
        <v>471400</v>
      </c>
      <c r="E86" s="86"/>
      <c r="F86" s="180"/>
      <c r="G86" s="55"/>
      <c r="H86" s="43"/>
    </row>
    <row r="87" spans="1:255" s="8" customFormat="1" ht="11.5" x14ac:dyDescent="0.25">
      <c r="A87" s="72" t="s">
        <v>238</v>
      </c>
      <c r="B87" s="23" t="s">
        <v>239</v>
      </c>
      <c r="C87" s="24">
        <v>24000</v>
      </c>
      <c r="D87" s="96"/>
      <c r="E87" s="85"/>
      <c r="F87" s="180"/>
      <c r="G87" s="55"/>
      <c r="H87" s="43"/>
    </row>
    <row r="88" spans="1:255" s="8" customFormat="1" ht="11.5" x14ac:dyDescent="0.25">
      <c r="A88" s="72" t="s">
        <v>240</v>
      </c>
      <c r="B88" s="23" t="s">
        <v>241</v>
      </c>
      <c r="C88" s="24">
        <f>55000-10000</f>
        <v>45000</v>
      </c>
      <c r="D88" s="96"/>
      <c r="E88" s="85"/>
      <c r="F88" s="180"/>
      <c r="G88" s="55"/>
      <c r="H88" s="43"/>
    </row>
    <row r="89" spans="1:255" s="8" customFormat="1" ht="11.5" x14ac:dyDescent="0.25">
      <c r="A89" s="72" t="s">
        <v>144</v>
      </c>
      <c r="B89" s="24" t="s">
        <v>12</v>
      </c>
      <c r="C89" s="24">
        <v>402400</v>
      </c>
      <c r="D89" s="22"/>
      <c r="E89" s="550"/>
      <c r="F89" s="84"/>
    </row>
    <row r="90" spans="1:255" s="214" customFormat="1" ht="13.5" customHeight="1" thickBot="1" x14ac:dyDescent="0.3">
      <c r="A90" s="12"/>
      <c r="B90" s="59"/>
      <c r="C90" s="60"/>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59"/>
      <c r="EQ90" s="59"/>
      <c r="ER90" s="59"/>
      <c r="ES90" s="59"/>
      <c r="ET90" s="59"/>
      <c r="EU90" s="59"/>
      <c r="EV90" s="59"/>
      <c r="EW90" s="59"/>
      <c r="EX90" s="59"/>
      <c r="EY90" s="59"/>
      <c r="EZ90" s="59"/>
      <c r="FA90" s="59"/>
      <c r="FB90" s="59"/>
      <c r="FC90" s="59"/>
      <c r="FD90" s="59"/>
      <c r="FE90" s="59"/>
      <c r="FF90" s="59"/>
      <c r="FG90" s="59"/>
      <c r="FH90" s="59"/>
      <c r="FI90" s="59"/>
      <c r="FJ90" s="59"/>
      <c r="FK90" s="59"/>
      <c r="FL90" s="59"/>
      <c r="FM90" s="59"/>
      <c r="FN90" s="59"/>
      <c r="FO90" s="59"/>
      <c r="FP90" s="59"/>
      <c r="FQ90" s="59"/>
      <c r="FR90" s="59"/>
      <c r="FS90" s="59"/>
      <c r="FT90" s="59"/>
      <c r="FU90" s="59"/>
      <c r="FV90" s="59"/>
      <c r="FW90" s="59"/>
      <c r="FX90" s="59"/>
      <c r="FY90" s="59"/>
      <c r="FZ90" s="59"/>
      <c r="GA90" s="59"/>
      <c r="GB90" s="59"/>
      <c r="GC90" s="59"/>
      <c r="GD90" s="59"/>
      <c r="GE90" s="59"/>
      <c r="GF90" s="59"/>
      <c r="GG90" s="59"/>
      <c r="GH90" s="59"/>
      <c r="GI90" s="59"/>
      <c r="GJ90" s="59"/>
      <c r="GK90" s="59"/>
      <c r="GL90" s="59"/>
      <c r="GM90" s="59"/>
      <c r="GN90" s="59"/>
      <c r="GO90" s="59"/>
      <c r="GP90" s="59"/>
      <c r="GQ90" s="59"/>
      <c r="GR90" s="59"/>
      <c r="GS90" s="59"/>
      <c r="GT90" s="59"/>
      <c r="GU90" s="59"/>
      <c r="GV90" s="59"/>
      <c r="GW90" s="59"/>
      <c r="GX90" s="59"/>
      <c r="GY90" s="59"/>
      <c r="GZ90" s="59"/>
      <c r="HA90" s="59"/>
      <c r="HB90" s="59"/>
      <c r="HC90" s="59"/>
      <c r="HD90" s="59"/>
      <c r="HE90" s="59"/>
      <c r="HF90" s="59"/>
      <c r="HG90" s="59"/>
      <c r="HH90" s="59"/>
      <c r="HI90" s="59"/>
      <c r="HJ90" s="59"/>
      <c r="HK90" s="59"/>
      <c r="HL90" s="59"/>
      <c r="HM90" s="59"/>
      <c r="HN90" s="59"/>
      <c r="HO90" s="59"/>
      <c r="HP90" s="59"/>
      <c r="HQ90" s="59"/>
      <c r="HR90" s="59"/>
      <c r="HS90" s="59"/>
      <c r="HT90" s="59"/>
      <c r="HU90" s="59"/>
      <c r="HV90" s="59"/>
      <c r="HW90" s="59"/>
      <c r="HX90" s="59"/>
      <c r="HY90" s="59"/>
      <c r="HZ90" s="59"/>
      <c r="IA90" s="59"/>
      <c r="IB90" s="59"/>
      <c r="IC90" s="59"/>
      <c r="ID90" s="59"/>
      <c r="IE90" s="59"/>
      <c r="IF90" s="59"/>
      <c r="IG90" s="59"/>
      <c r="IH90" s="59"/>
      <c r="II90" s="59"/>
      <c r="IJ90" s="59"/>
      <c r="IK90" s="59"/>
      <c r="IL90" s="59"/>
      <c r="IM90" s="59"/>
      <c r="IN90" s="59"/>
      <c r="IO90" s="59"/>
      <c r="IP90" s="59"/>
      <c r="IQ90" s="59"/>
      <c r="IR90" s="59"/>
      <c r="IS90" s="59"/>
      <c r="IT90" s="59"/>
      <c r="IU90" s="59"/>
    </row>
    <row r="91" spans="1:255" s="203" customFormat="1" ht="13.5" customHeight="1" thickBot="1" x14ac:dyDescent="0.3">
      <c r="A91" s="1100" t="s">
        <v>4</v>
      </c>
      <c r="B91" s="1101"/>
      <c r="C91" s="670">
        <f>C92+C96</f>
        <v>78480</v>
      </c>
      <c r="D91" s="24"/>
      <c r="E91" s="215"/>
      <c r="F91" s="9"/>
      <c r="G91" s="152"/>
      <c r="H91" s="152"/>
      <c r="I91" s="152"/>
      <c r="J91" s="152"/>
      <c r="K91" s="152"/>
    </row>
    <row r="92" spans="1:255" s="210" customFormat="1" ht="13.5" customHeight="1" x14ac:dyDescent="0.25">
      <c r="A92" s="265" t="s">
        <v>116</v>
      </c>
      <c r="B92" s="298" t="s">
        <v>117</v>
      </c>
      <c r="C92" s="32">
        <f>SUM(C93:C95)</f>
        <v>73680</v>
      </c>
      <c r="D92" s="96"/>
      <c r="E92" s="216"/>
      <c r="F92" s="155"/>
      <c r="G92" s="154"/>
      <c r="H92" s="154"/>
      <c r="I92" s="154"/>
      <c r="J92" s="154"/>
      <c r="K92" s="154"/>
    </row>
    <row r="93" spans="1:255" s="8" customFormat="1" ht="13.5" customHeight="1" x14ac:dyDescent="0.25">
      <c r="A93" s="72" t="s">
        <v>91</v>
      </c>
      <c r="B93" s="23" t="s">
        <v>9</v>
      </c>
      <c r="C93" s="24">
        <v>28680</v>
      </c>
      <c r="D93" s="78"/>
      <c r="E93" s="25"/>
      <c r="F93" s="180"/>
      <c r="G93" s="55"/>
      <c r="H93" s="43"/>
    </row>
    <row r="94" spans="1:255" s="8" customFormat="1" ht="13.5" customHeight="1" x14ac:dyDescent="0.25">
      <c r="A94" s="72" t="s">
        <v>57</v>
      </c>
      <c r="B94" s="43" t="s">
        <v>58</v>
      </c>
      <c r="C94" s="24">
        <v>15000</v>
      </c>
      <c r="D94" s="78"/>
      <c r="E94" s="25"/>
      <c r="F94" s="180"/>
      <c r="G94" s="55"/>
      <c r="H94" s="43"/>
    </row>
    <row r="95" spans="1:255" s="8" customFormat="1" ht="13.5" customHeight="1" x14ac:dyDescent="0.25">
      <c r="A95" s="72" t="s">
        <v>814</v>
      </c>
      <c r="B95" s="23" t="s">
        <v>815</v>
      </c>
      <c r="C95" s="24">
        <v>30000</v>
      </c>
      <c r="D95" s="78"/>
      <c r="E95" s="25"/>
      <c r="F95" s="99"/>
      <c r="G95" s="55"/>
      <c r="H95" s="43"/>
    </row>
    <row r="96" spans="1:255" s="8" customFormat="1" ht="13.5" customHeight="1" x14ac:dyDescent="0.25">
      <c r="A96" s="265" t="s">
        <v>166</v>
      </c>
      <c r="B96" s="25" t="s">
        <v>135</v>
      </c>
      <c r="C96" s="31">
        <f>SUM(C97)</f>
        <v>4800</v>
      </c>
      <c r="D96" s="78"/>
      <c r="E96" s="25"/>
      <c r="F96" s="180"/>
      <c r="G96" s="55"/>
      <c r="H96" s="43"/>
    </row>
    <row r="97" spans="1:11" s="8" customFormat="1" ht="13.5" customHeight="1" x14ac:dyDescent="0.25">
      <c r="A97" s="72" t="s">
        <v>167</v>
      </c>
      <c r="B97" s="23" t="s">
        <v>51</v>
      </c>
      <c r="C97" s="24">
        <v>4800</v>
      </c>
      <c r="D97" s="78"/>
      <c r="E97" s="25"/>
      <c r="F97" s="180"/>
      <c r="G97" s="55"/>
      <c r="H97" s="43"/>
    </row>
    <row r="98" spans="1:11" s="203" customFormat="1" ht="13.5" customHeight="1" x14ac:dyDescent="0.25">
      <c r="A98" s="72"/>
      <c r="B98" s="72"/>
      <c r="C98" s="23"/>
      <c r="D98" s="72"/>
      <c r="E98" s="72"/>
      <c r="F98" s="9"/>
      <c r="G98" s="152"/>
      <c r="H98" s="152"/>
      <c r="I98" s="152"/>
      <c r="J98" s="152"/>
      <c r="K98" s="152"/>
    </row>
    <row r="99" spans="1:11" ht="13" thickBot="1" x14ac:dyDescent="0.3">
      <c r="A99" s="72"/>
      <c r="B99" s="72"/>
      <c r="C99" s="24"/>
      <c r="D99" s="24"/>
      <c r="E99" s="450"/>
      <c r="F99"/>
      <c r="G99"/>
      <c r="H99"/>
      <c r="I99"/>
      <c r="J99"/>
      <c r="K99"/>
    </row>
    <row r="100" spans="1:11" s="183" customFormat="1" ht="13" x14ac:dyDescent="0.25">
      <c r="A100" s="1117" t="s">
        <v>941</v>
      </c>
      <c r="B100" s="1118"/>
      <c r="C100" s="1119"/>
      <c r="D100" s="719" t="s">
        <v>6</v>
      </c>
      <c r="E100" s="927">
        <v>1202</v>
      </c>
    </row>
    <row r="101" spans="1:11" ht="13.5" thickBot="1" x14ac:dyDescent="0.3">
      <c r="A101" s="1120"/>
      <c r="B101" s="1121"/>
      <c r="C101" s="1122"/>
      <c r="D101" s="720"/>
      <c r="E101" s="721"/>
      <c r="F101"/>
      <c r="G101"/>
      <c r="H101"/>
      <c r="I101"/>
      <c r="J101"/>
      <c r="K101"/>
    </row>
    <row r="102" spans="1:11" x14ac:dyDescent="0.25">
      <c r="A102" s="1123" t="s">
        <v>942</v>
      </c>
      <c r="B102" s="1124"/>
      <c r="C102" s="1124"/>
      <c r="D102" s="1124"/>
      <c r="E102" s="1125"/>
      <c r="F102"/>
      <c r="G102"/>
      <c r="H102"/>
      <c r="I102"/>
      <c r="J102"/>
      <c r="K102"/>
    </row>
    <row r="103" spans="1:11" x14ac:dyDescent="0.25">
      <c r="A103" s="1126"/>
      <c r="B103" s="1127"/>
      <c r="C103" s="1127"/>
      <c r="D103" s="1127"/>
      <c r="E103" s="1128"/>
      <c r="F103"/>
      <c r="G103"/>
      <c r="H103"/>
      <c r="I103"/>
      <c r="J103"/>
      <c r="K103"/>
    </row>
    <row r="104" spans="1:11" x14ac:dyDescent="0.25">
      <c r="A104" s="1126"/>
      <c r="B104" s="1127"/>
      <c r="C104" s="1127"/>
      <c r="D104" s="1127"/>
      <c r="E104" s="1128"/>
      <c r="F104"/>
      <c r="G104"/>
      <c r="H104"/>
      <c r="I104"/>
      <c r="J104"/>
      <c r="K104"/>
    </row>
    <row r="105" spans="1:11" x14ac:dyDescent="0.25">
      <c r="A105" s="1126"/>
      <c r="B105" s="1127"/>
      <c r="C105" s="1127"/>
      <c r="D105" s="1127"/>
      <c r="E105" s="1128"/>
      <c r="F105"/>
      <c r="G105"/>
      <c r="H105"/>
      <c r="I105"/>
      <c r="J105"/>
      <c r="K105"/>
    </row>
    <row r="106" spans="1:11" s="151" customFormat="1" x14ac:dyDescent="0.25">
      <c r="A106" s="1126"/>
      <c r="B106" s="1127"/>
      <c r="C106" s="1127"/>
      <c r="D106" s="1127"/>
      <c r="E106" s="1128"/>
    </row>
    <row r="107" spans="1:11" s="151" customFormat="1" x14ac:dyDescent="0.25">
      <c r="A107" s="1126"/>
      <c r="B107" s="1127"/>
      <c r="C107" s="1127"/>
      <c r="D107" s="1127"/>
      <c r="E107" s="1128"/>
    </row>
    <row r="108" spans="1:11" s="151" customFormat="1" x14ac:dyDescent="0.25">
      <c r="A108" s="1126"/>
      <c r="B108" s="1127"/>
      <c r="C108" s="1127"/>
      <c r="D108" s="1127"/>
      <c r="E108" s="1128"/>
    </row>
    <row r="109" spans="1:11" s="151" customFormat="1" x14ac:dyDescent="0.25">
      <c r="A109" s="1126"/>
      <c r="B109" s="1127"/>
      <c r="C109" s="1127"/>
      <c r="D109" s="1127"/>
      <c r="E109" s="1128"/>
    </row>
    <row r="110" spans="1:11" s="151" customFormat="1" x14ac:dyDescent="0.25">
      <c r="A110" s="1126"/>
      <c r="B110" s="1127"/>
      <c r="C110" s="1127"/>
      <c r="D110" s="1127"/>
      <c r="E110" s="1128"/>
    </row>
    <row r="111" spans="1:11" s="151" customFormat="1" ht="19.5" customHeight="1" thickBot="1" x14ac:dyDescent="0.3">
      <c r="A111" s="1126"/>
      <c r="B111" s="1127"/>
      <c r="C111" s="1127"/>
      <c r="D111" s="1127"/>
      <c r="E111" s="1128"/>
    </row>
    <row r="112" spans="1:11" s="200" customFormat="1" ht="13.5" customHeight="1" x14ac:dyDescent="0.25">
      <c r="A112" s="119" t="s">
        <v>1029</v>
      </c>
      <c r="B112" s="174"/>
      <c r="C112" s="173"/>
      <c r="D112" s="924"/>
      <c r="E112" s="171"/>
      <c r="F112" s="9"/>
      <c r="G112" s="152"/>
      <c r="H112" s="152"/>
      <c r="I112" s="152"/>
      <c r="J112" s="152"/>
      <c r="K112" s="152"/>
    </row>
    <row r="113" spans="1:11" x14ac:dyDescent="0.25">
      <c r="A113" s="41" t="s">
        <v>471</v>
      </c>
      <c r="B113" s="12"/>
      <c r="C113" s="143"/>
      <c r="D113" s="71"/>
      <c r="E113" s="141"/>
      <c r="F113"/>
      <c r="G113"/>
      <c r="H113"/>
      <c r="I113"/>
      <c r="J113"/>
      <c r="K113"/>
    </row>
    <row r="114" spans="1:11" x14ac:dyDescent="0.25">
      <c r="A114" s="41" t="s">
        <v>1040</v>
      </c>
      <c r="B114" s="12"/>
      <c r="C114" s="143"/>
      <c r="D114" s="71"/>
      <c r="E114" s="141"/>
      <c r="F114"/>
      <c r="G114"/>
      <c r="H114"/>
      <c r="I114"/>
      <c r="J114"/>
      <c r="K114"/>
    </row>
    <row r="115" spans="1:11" ht="13" thickBot="1" x14ac:dyDescent="0.3">
      <c r="A115" s="76" t="s">
        <v>11</v>
      </c>
      <c r="B115" s="140"/>
      <c r="C115" s="139"/>
      <c r="D115" s="447"/>
      <c r="E115" s="137"/>
      <c r="F115"/>
      <c r="G115"/>
      <c r="H115"/>
      <c r="I115"/>
      <c r="J115"/>
      <c r="K115"/>
    </row>
    <row r="116" spans="1:11" ht="13" thickBot="1" x14ac:dyDescent="0.3">
      <c r="A116" s="762" t="s">
        <v>0</v>
      </c>
      <c r="B116" s="763"/>
      <c r="C116" s="764"/>
      <c r="D116" s="766"/>
      <c r="E116" s="772">
        <f>+C118+C148+C161</f>
        <v>2298480</v>
      </c>
      <c r="F116" s="448"/>
      <c r="G116"/>
      <c r="H116" s="448"/>
      <c r="I116"/>
      <c r="J116"/>
      <c r="K116"/>
    </row>
    <row r="117" spans="1:11" ht="13" thickBot="1" x14ac:dyDescent="0.3">
      <c r="A117" s="12"/>
      <c r="B117" s="12"/>
      <c r="C117" s="24"/>
      <c r="D117" s="24"/>
      <c r="E117" s="24"/>
      <c r="F117"/>
      <c r="G117"/>
      <c r="H117"/>
      <c r="I117"/>
      <c r="J117"/>
      <c r="K117"/>
    </row>
    <row r="118" spans="1:11" ht="13" thickBot="1" x14ac:dyDescent="0.3">
      <c r="A118" s="1104" t="s">
        <v>2</v>
      </c>
      <c r="B118" s="1105"/>
      <c r="C118" s="667">
        <f>+C121+C123+C125+C127+C135+C140+C143+C131+C119</f>
        <v>1103940</v>
      </c>
      <c r="D118" s="23"/>
      <c r="E118" s="108"/>
      <c r="F118"/>
      <c r="G118"/>
      <c r="H118"/>
      <c r="I118"/>
      <c r="J118"/>
      <c r="K118"/>
    </row>
    <row r="119" spans="1:11" s="210" customFormat="1" ht="13.5" customHeight="1" x14ac:dyDescent="0.25">
      <c r="A119" s="11" t="s">
        <v>103</v>
      </c>
      <c r="B119" s="298" t="s">
        <v>104</v>
      </c>
      <c r="C119" s="32">
        <f>SUM(C120)</f>
        <v>92780</v>
      </c>
      <c r="D119" s="208"/>
      <c r="E119" s="101"/>
      <c r="F119" s="155"/>
      <c r="G119" s="154"/>
      <c r="H119" s="209"/>
      <c r="I119" s="154"/>
      <c r="J119" s="154"/>
      <c r="K119" s="154"/>
    </row>
    <row r="120" spans="1:11" s="43" customFormat="1" ht="13.5" customHeight="1" x14ac:dyDescent="0.25">
      <c r="A120" s="12" t="s">
        <v>46</v>
      </c>
      <c r="B120" s="8" t="s">
        <v>45</v>
      </c>
      <c r="C120" s="24">
        <v>92780</v>
      </c>
      <c r="D120" s="22"/>
      <c r="E120" s="31"/>
      <c r="G120" s="55"/>
    </row>
    <row r="121" spans="1:11" x14ac:dyDescent="0.25">
      <c r="A121" s="11" t="s">
        <v>199</v>
      </c>
      <c r="B121" s="265" t="s">
        <v>219</v>
      </c>
      <c r="C121" s="25">
        <f>SUM(C122:C122)</f>
        <v>15410</v>
      </c>
      <c r="D121" s="23"/>
      <c r="E121" s="23"/>
      <c r="F121"/>
      <c r="G121"/>
      <c r="H121"/>
      <c r="I121"/>
      <c r="J121"/>
      <c r="K121"/>
    </row>
    <row r="122" spans="1:11" x14ac:dyDescent="0.25">
      <c r="A122" s="12" t="s">
        <v>218</v>
      </c>
      <c r="B122" s="12" t="s">
        <v>217</v>
      </c>
      <c r="C122" s="24">
        <v>15410</v>
      </c>
      <c r="D122" s="78"/>
      <c r="E122" s="25"/>
      <c r="F122"/>
      <c r="G122"/>
      <c r="H122"/>
      <c r="I122"/>
      <c r="J122"/>
      <c r="K122"/>
    </row>
    <row r="123" spans="1:11" x14ac:dyDescent="0.25">
      <c r="A123" s="11" t="s">
        <v>105</v>
      </c>
      <c r="B123" s="265" t="s">
        <v>106</v>
      </c>
      <c r="C123" s="32">
        <f>SUM(C124)</f>
        <v>61200</v>
      </c>
      <c r="D123" s="96"/>
      <c r="E123" s="131"/>
      <c r="F123"/>
      <c r="G123"/>
      <c r="H123"/>
      <c r="I123"/>
      <c r="J123"/>
      <c r="K123"/>
    </row>
    <row r="124" spans="1:11" x14ac:dyDescent="0.25">
      <c r="A124" s="12" t="s">
        <v>86</v>
      </c>
      <c r="B124" s="12" t="s">
        <v>66</v>
      </c>
      <c r="C124" s="24">
        <v>61200</v>
      </c>
      <c r="D124" s="23"/>
      <c r="E124" s="23"/>
      <c r="F124"/>
      <c r="G124"/>
      <c r="H124"/>
      <c r="I124"/>
      <c r="J124"/>
      <c r="K124"/>
    </row>
    <row r="125" spans="1:11" x14ac:dyDescent="0.25">
      <c r="A125" s="11" t="s">
        <v>107</v>
      </c>
      <c r="B125" s="265" t="s">
        <v>108</v>
      </c>
      <c r="C125" s="32">
        <f>SUM(C126)</f>
        <v>97150</v>
      </c>
      <c r="D125" s="96"/>
      <c r="E125" s="131"/>
      <c r="F125"/>
      <c r="G125"/>
      <c r="H125"/>
      <c r="I125"/>
      <c r="J125"/>
      <c r="K125"/>
    </row>
    <row r="126" spans="1:11" x14ac:dyDescent="0.25">
      <c r="A126" s="12" t="s">
        <v>47</v>
      </c>
      <c r="B126" s="23" t="s">
        <v>48</v>
      </c>
      <c r="C126" s="24">
        <v>97150</v>
      </c>
      <c r="D126" s="23"/>
      <c r="E126" s="23"/>
      <c r="F126"/>
      <c r="G126"/>
      <c r="H126"/>
      <c r="I126"/>
      <c r="J126"/>
      <c r="K126"/>
    </row>
    <row r="127" spans="1:11" x14ac:dyDescent="0.25">
      <c r="A127" s="11" t="s">
        <v>195</v>
      </c>
      <c r="B127" s="25" t="s">
        <v>194</v>
      </c>
      <c r="C127" s="31">
        <f>SUM(C128:C130)</f>
        <v>188960</v>
      </c>
      <c r="D127" s="23"/>
      <c r="E127" s="23"/>
      <c r="F127"/>
      <c r="G127"/>
      <c r="H127"/>
      <c r="I127"/>
      <c r="J127"/>
      <c r="K127"/>
    </row>
    <row r="128" spans="1:11" x14ac:dyDescent="0.25">
      <c r="A128" s="12" t="s">
        <v>193</v>
      </c>
      <c r="B128" s="72" t="s">
        <v>215</v>
      </c>
      <c r="C128" s="24">
        <v>65660</v>
      </c>
      <c r="D128" s="23"/>
      <c r="E128" s="24"/>
      <c r="F128" s="183"/>
      <c r="G128"/>
      <c r="H128"/>
      <c r="I128"/>
      <c r="J128"/>
      <c r="K128"/>
    </row>
    <row r="129" spans="1:11" x14ac:dyDescent="0.25">
      <c r="A129" s="12" t="s">
        <v>261</v>
      </c>
      <c r="B129" s="43" t="s">
        <v>701</v>
      </c>
      <c r="C129" s="24">
        <v>101400</v>
      </c>
      <c r="D129" s="23"/>
      <c r="E129" s="12"/>
      <c r="F129" s="183"/>
      <c r="G129"/>
      <c r="H129"/>
      <c r="I129"/>
      <c r="J129"/>
      <c r="K129"/>
    </row>
    <row r="130" spans="1:11" x14ac:dyDescent="0.25">
      <c r="A130" s="12" t="s">
        <v>295</v>
      </c>
      <c r="B130" s="12" t="s">
        <v>472</v>
      </c>
      <c r="C130" s="24">
        <v>21900</v>
      </c>
      <c r="D130" s="23"/>
      <c r="E130" s="12"/>
      <c r="F130" s="183"/>
      <c r="G130"/>
      <c r="H130"/>
      <c r="I130"/>
      <c r="J130"/>
      <c r="K130"/>
    </row>
    <row r="131" spans="1:11" x14ac:dyDescent="0.25">
      <c r="A131" s="11" t="s">
        <v>473</v>
      </c>
      <c r="B131" s="11" t="s">
        <v>474</v>
      </c>
      <c r="C131" s="31">
        <f>SUM(C132:C134)</f>
        <v>244500</v>
      </c>
      <c r="D131" s="72"/>
      <c r="E131" s="12"/>
      <c r="F131" s="183"/>
      <c r="G131"/>
      <c r="H131"/>
      <c r="I131"/>
      <c r="J131"/>
      <c r="K131"/>
    </row>
    <row r="132" spans="1:11" x14ac:dyDescent="0.25">
      <c r="A132" s="12" t="s">
        <v>475</v>
      </c>
      <c r="B132" s="12" t="s">
        <v>476</v>
      </c>
      <c r="C132" s="24">
        <v>94400</v>
      </c>
      <c r="D132" s="72"/>
      <c r="E132" s="12"/>
      <c r="F132" s="183"/>
      <c r="G132"/>
      <c r="H132"/>
      <c r="I132"/>
      <c r="J132"/>
      <c r="K132"/>
    </row>
    <row r="133" spans="1:11" x14ac:dyDescent="0.25">
      <c r="A133" s="12" t="s">
        <v>477</v>
      </c>
      <c r="B133" s="12" t="s">
        <v>478</v>
      </c>
      <c r="C133" s="24">
        <v>28600</v>
      </c>
      <c r="D133" s="72"/>
      <c r="E133" s="12"/>
      <c r="F133" s="183"/>
      <c r="G133"/>
      <c r="H133"/>
      <c r="I133"/>
      <c r="J133"/>
      <c r="K133"/>
    </row>
    <row r="134" spans="1:11" x14ac:dyDescent="0.25">
      <c r="A134" s="12" t="s">
        <v>479</v>
      </c>
      <c r="B134" s="12" t="s">
        <v>480</v>
      </c>
      <c r="C134" s="24">
        <v>121500</v>
      </c>
      <c r="D134" s="23"/>
      <c r="E134" s="23"/>
      <c r="F134"/>
      <c r="G134"/>
      <c r="H134"/>
      <c r="I134"/>
      <c r="J134"/>
      <c r="K134"/>
    </row>
    <row r="135" spans="1:11" x14ac:dyDescent="0.25">
      <c r="A135" s="265" t="s">
        <v>119</v>
      </c>
      <c r="B135" s="25" t="s">
        <v>109</v>
      </c>
      <c r="C135" s="31">
        <f>SUM(C136:C139)</f>
        <v>50040</v>
      </c>
      <c r="D135" s="23"/>
      <c r="E135" s="24"/>
      <c r="F135" s="183"/>
      <c r="G135"/>
      <c r="H135"/>
      <c r="I135"/>
      <c r="J135"/>
      <c r="K135"/>
    </row>
    <row r="136" spans="1:11" x14ac:dyDescent="0.25">
      <c r="A136" s="72" t="s">
        <v>150</v>
      </c>
      <c r="B136" s="43" t="s">
        <v>695</v>
      </c>
      <c r="C136" s="24">
        <v>10440</v>
      </c>
      <c r="D136" s="72"/>
      <c r="E136" s="12"/>
      <c r="F136" s="183"/>
      <c r="G136"/>
      <c r="H136"/>
      <c r="I136"/>
      <c r="J136"/>
      <c r="K136"/>
    </row>
    <row r="137" spans="1:11" x14ac:dyDescent="0.25">
      <c r="A137" s="72" t="s">
        <v>481</v>
      </c>
      <c r="B137" s="12" t="s">
        <v>482</v>
      </c>
      <c r="C137" s="24">
        <v>19900</v>
      </c>
      <c r="D137" s="72"/>
      <c r="E137" s="12"/>
      <c r="F137" s="183"/>
      <c r="G137"/>
      <c r="H137"/>
      <c r="I137"/>
      <c r="J137"/>
      <c r="K137"/>
    </row>
    <row r="138" spans="1:11" x14ac:dyDescent="0.25">
      <c r="A138" s="72" t="s">
        <v>188</v>
      </c>
      <c r="B138" s="23" t="s">
        <v>187</v>
      </c>
      <c r="C138" s="24">
        <v>11900</v>
      </c>
      <c r="D138" s="23"/>
      <c r="E138" s="24"/>
      <c r="F138" s="183"/>
      <c r="G138"/>
      <c r="H138"/>
      <c r="I138"/>
      <c r="J138"/>
      <c r="K138"/>
    </row>
    <row r="139" spans="1:11" x14ac:dyDescent="0.25">
      <c r="A139" s="72" t="s">
        <v>697</v>
      </c>
      <c r="B139" s="43" t="s">
        <v>696</v>
      </c>
      <c r="C139" s="24">
        <v>7800</v>
      </c>
      <c r="D139" s="23"/>
      <c r="E139" s="24"/>
      <c r="F139" s="183"/>
      <c r="G139"/>
      <c r="H139"/>
      <c r="I139"/>
      <c r="J139"/>
      <c r="K139"/>
    </row>
    <row r="140" spans="1:11" x14ac:dyDescent="0.25">
      <c r="A140" s="265" t="s">
        <v>124</v>
      </c>
      <c r="B140" s="265" t="s">
        <v>123</v>
      </c>
      <c r="C140" s="31">
        <f>SUM(C141:C142)</f>
        <v>61400</v>
      </c>
      <c r="D140" s="23"/>
      <c r="E140" s="23"/>
      <c r="F140"/>
      <c r="G140"/>
      <c r="H140"/>
      <c r="I140"/>
      <c r="J140"/>
      <c r="K140"/>
    </row>
    <row r="141" spans="1:11" s="183" customFormat="1" x14ac:dyDescent="0.25">
      <c r="A141" s="12" t="s">
        <v>93</v>
      </c>
      <c r="B141" s="24" t="s">
        <v>72</v>
      </c>
      <c r="C141" s="24">
        <v>45600</v>
      </c>
      <c r="D141" s="24"/>
      <c r="E141" s="24"/>
    </row>
    <row r="142" spans="1:11" s="183" customFormat="1" x14ac:dyDescent="0.25">
      <c r="A142" s="12" t="s">
        <v>610</v>
      </c>
      <c r="B142" s="643" t="s">
        <v>611</v>
      </c>
      <c r="C142" s="24">
        <v>15800</v>
      </c>
      <c r="D142" s="24"/>
      <c r="E142" s="24"/>
    </row>
    <row r="143" spans="1:11" x14ac:dyDescent="0.25">
      <c r="A143" s="265" t="s">
        <v>151</v>
      </c>
      <c r="B143" s="25" t="s">
        <v>133</v>
      </c>
      <c r="C143" s="31">
        <f>SUM(C144:C146)</f>
        <v>292500</v>
      </c>
      <c r="D143" s="23"/>
      <c r="E143" s="23"/>
      <c r="F143"/>
      <c r="G143"/>
      <c r="H143"/>
      <c r="I143"/>
      <c r="J143"/>
      <c r="K143"/>
    </row>
    <row r="144" spans="1:11" x14ac:dyDescent="0.25">
      <c r="A144" s="72" t="s">
        <v>483</v>
      </c>
      <c r="B144" s="12" t="s">
        <v>65</v>
      </c>
      <c r="C144" s="24">
        <v>42600</v>
      </c>
      <c r="D144" s="23"/>
      <c r="E144" s="23"/>
      <c r="F144"/>
      <c r="G144"/>
      <c r="H144"/>
      <c r="I144"/>
      <c r="J144"/>
      <c r="K144"/>
    </row>
    <row r="145" spans="1:11" ht="13" x14ac:dyDescent="0.3">
      <c r="A145" s="72" t="s">
        <v>210</v>
      </c>
      <c r="B145" s="212" t="s">
        <v>702</v>
      </c>
      <c r="C145" s="24">
        <v>174000</v>
      </c>
      <c r="D145" s="23"/>
      <c r="E145" s="23"/>
      <c r="F145"/>
      <c r="G145"/>
      <c r="H145"/>
      <c r="I145"/>
      <c r="J145"/>
      <c r="K145"/>
    </row>
    <row r="146" spans="1:11" x14ac:dyDescent="0.25">
      <c r="A146" s="72" t="s">
        <v>154</v>
      </c>
      <c r="B146" s="23" t="s">
        <v>125</v>
      </c>
      <c r="C146" s="24">
        <v>75900</v>
      </c>
      <c r="D146" s="23"/>
      <c r="E146" s="23"/>
      <c r="F146"/>
      <c r="G146"/>
      <c r="H146"/>
      <c r="I146"/>
      <c r="J146"/>
      <c r="K146"/>
    </row>
    <row r="147" spans="1:11" ht="13" thickBot="1" x14ac:dyDescent="0.3">
      <c r="A147" s="72"/>
      <c r="B147" s="23"/>
      <c r="C147" s="23"/>
      <c r="D147" s="23"/>
      <c r="E147" s="23"/>
      <c r="F147"/>
      <c r="G147"/>
      <c r="H147"/>
      <c r="I147"/>
      <c r="J147"/>
      <c r="K147"/>
    </row>
    <row r="148" spans="1:11" ht="13" thickBot="1" x14ac:dyDescent="0.3">
      <c r="A148" s="1096" t="s">
        <v>3</v>
      </c>
      <c r="B148" s="1097"/>
      <c r="C148" s="668">
        <f>+C149+C153+C156</f>
        <v>866030</v>
      </c>
      <c r="D148" s="23"/>
      <c r="E148" s="23"/>
      <c r="F148"/>
      <c r="G148"/>
      <c r="H148"/>
      <c r="I148"/>
      <c r="J148"/>
      <c r="K148"/>
    </row>
    <row r="149" spans="1:11" x14ac:dyDescent="0.25">
      <c r="A149" s="11" t="s">
        <v>120</v>
      </c>
      <c r="B149" s="11" t="s">
        <v>121</v>
      </c>
      <c r="C149" s="25">
        <f>SUM(C150:C152)</f>
        <v>85410</v>
      </c>
      <c r="D149" s="23"/>
      <c r="E149" s="23"/>
      <c r="F149"/>
      <c r="G149"/>
      <c r="H149"/>
      <c r="I149"/>
      <c r="J149"/>
      <c r="K149"/>
    </row>
    <row r="150" spans="1:11" x14ac:dyDescent="0.25">
      <c r="A150" s="72" t="s">
        <v>484</v>
      </c>
      <c r="B150" s="12" t="s">
        <v>485</v>
      </c>
      <c r="C150" s="24">
        <v>26640</v>
      </c>
      <c r="D150" s="72"/>
      <c r="E150" s="72"/>
      <c r="F150"/>
      <c r="G150"/>
      <c r="H150"/>
      <c r="I150"/>
      <c r="J150"/>
      <c r="K150"/>
    </row>
    <row r="151" spans="1:11" x14ac:dyDescent="0.25">
      <c r="A151" s="12" t="s">
        <v>183</v>
      </c>
      <c r="B151" s="12" t="s">
        <v>182</v>
      </c>
      <c r="C151" s="24">
        <v>13450</v>
      </c>
      <c r="D151" s="23"/>
      <c r="E151" s="24"/>
      <c r="F151"/>
      <c r="G151"/>
      <c r="H151"/>
      <c r="I151"/>
      <c r="J151"/>
      <c r="K151"/>
    </row>
    <row r="152" spans="1:11" x14ac:dyDescent="0.25">
      <c r="A152" s="12" t="s">
        <v>136</v>
      </c>
      <c r="B152" s="12" t="s">
        <v>71</v>
      </c>
      <c r="C152" s="24">
        <v>45320</v>
      </c>
      <c r="D152" s="78"/>
      <c r="E152" s="25"/>
      <c r="F152"/>
      <c r="G152"/>
      <c r="H152"/>
      <c r="I152"/>
      <c r="J152"/>
      <c r="K152"/>
    </row>
    <row r="153" spans="1:11" x14ac:dyDescent="0.25">
      <c r="A153" s="11" t="s">
        <v>112</v>
      </c>
      <c r="B153" s="11" t="s">
        <v>157</v>
      </c>
      <c r="C153" s="31">
        <f>SUM(C154:C155)</f>
        <v>335000</v>
      </c>
      <c r="D153" s="78"/>
      <c r="E153" s="25"/>
      <c r="F153"/>
      <c r="G153"/>
      <c r="H153"/>
      <c r="I153"/>
      <c r="J153"/>
      <c r="K153"/>
    </row>
    <row r="154" spans="1:11" x14ac:dyDescent="0.25">
      <c r="A154" s="12" t="s">
        <v>138</v>
      </c>
      <c r="B154" s="59" t="s">
        <v>878</v>
      </c>
      <c r="C154" s="24">
        <v>15000</v>
      </c>
      <c r="D154" s="24"/>
      <c r="E154" s="23"/>
      <c r="F154"/>
      <c r="G154"/>
      <c r="H154"/>
      <c r="I154"/>
      <c r="J154"/>
      <c r="K154"/>
    </row>
    <row r="155" spans="1:11" x14ac:dyDescent="0.25">
      <c r="A155" s="72" t="s">
        <v>156</v>
      </c>
      <c r="B155" s="24" t="s">
        <v>87</v>
      </c>
      <c r="C155" s="24">
        <v>320000</v>
      </c>
      <c r="D155"/>
      <c r="E155" s="72"/>
      <c r="F155"/>
      <c r="G155" s="12"/>
      <c r="H155"/>
      <c r="I155"/>
      <c r="J155"/>
      <c r="K155"/>
    </row>
    <row r="156" spans="1:11" x14ac:dyDescent="0.25">
      <c r="A156" s="11" t="s">
        <v>115</v>
      </c>
      <c r="B156" s="31" t="s">
        <v>8</v>
      </c>
      <c r="C156" s="31">
        <f>SUM(C157:C159)</f>
        <v>445620</v>
      </c>
      <c r="D156" s="23"/>
      <c r="E156" s="23"/>
      <c r="F156"/>
      <c r="G156"/>
      <c r="H156"/>
      <c r="I156"/>
      <c r="J156"/>
      <c r="K156"/>
    </row>
    <row r="157" spans="1:11" ht="13" x14ac:dyDescent="0.25">
      <c r="A157" s="12" t="s">
        <v>89</v>
      </c>
      <c r="B157" s="24" t="s">
        <v>8</v>
      </c>
      <c r="C157" s="24">
        <v>128640</v>
      </c>
      <c r="D157" s="24"/>
      <c r="E157" s="120"/>
      <c r="F157"/>
      <c r="G157"/>
      <c r="H157"/>
      <c r="I157"/>
      <c r="J157"/>
      <c r="K157"/>
    </row>
    <row r="158" spans="1:11" ht="13" x14ac:dyDescent="0.25">
      <c r="A158" s="12" t="s">
        <v>181</v>
      </c>
      <c r="B158" s="24" t="s">
        <v>50</v>
      </c>
      <c r="C158" s="24">
        <v>32430</v>
      </c>
      <c r="D158" s="120"/>
      <c r="E158" s="120"/>
      <c r="F158"/>
      <c r="G158"/>
      <c r="H158"/>
      <c r="I158"/>
      <c r="J158"/>
      <c r="K158"/>
    </row>
    <row r="159" spans="1:11" ht="13" x14ac:dyDescent="0.25">
      <c r="A159" s="12" t="s">
        <v>90</v>
      </c>
      <c r="B159" s="24" t="s">
        <v>7</v>
      </c>
      <c r="C159" s="24">
        <v>284550</v>
      </c>
      <c r="D159" s="31"/>
      <c r="E159" s="38"/>
      <c r="F159"/>
      <c r="G159"/>
      <c r="H159"/>
      <c r="I159"/>
      <c r="J159"/>
      <c r="K159"/>
    </row>
    <row r="160" spans="1:11" ht="13" thickBot="1" x14ac:dyDescent="0.3">
      <c r="A160" s="12"/>
      <c r="B160" s="12"/>
      <c r="C160" s="24"/>
      <c r="D160" s="24"/>
      <c r="E160" s="23"/>
      <c r="F160"/>
      <c r="G160"/>
      <c r="H160"/>
      <c r="I160"/>
      <c r="J160"/>
      <c r="K160"/>
    </row>
    <row r="161" spans="1:11" ht="13" thickBot="1" x14ac:dyDescent="0.3">
      <c r="A161" s="1100" t="s">
        <v>4</v>
      </c>
      <c r="B161" s="1101"/>
      <c r="C161" s="670">
        <f>C162+C164+C166</f>
        <v>328510</v>
      </c>
      <c r="D161" s="72"/>
      <c r="E161" s="23"/>
      <c r="F161"/>
      <c r="G161"/>
      <c r="H161"/>
      <c r="I161"/>
      <c r="J161"/>
      <c r="K161"/>
    </row>
    <row r="162" spans="1:11" x14ac:dyDescent="0.25">
      <c r="A162" s="265" t="s">
        <v>179</v>
      </c>
      <c r="B162" s="298" t="s">
        <v>178</v>
      </c>
      <c r="C162" s="32">
        <f>SUM(C163)</f>
        <v>257000</v>
      </c>
      <c r="D162" s="79"/>
      <c r="E162" s="25"/>
      <c r="F162"/>
      <c r="G162"/>
      <c r="H162"/>
      <c r="I162"/>
      <c r="J162"/>
      <c r="K162"/>
    </row>
    <row r="163" spans="1:11" x14ac:dyDescent="0.25">
      <c r="A163" s="72" t="s">
        <v>486</v>
      </c>
      <c r="B163" s="12" t="s">
        <v>487</v>
      </c>
      <c r="C163" s="24">
        <v>257000</v>
      </c>
      <c r="D163"/>
      <c r="E163" s="122"/>
      <c r="F163"/>
      <c r="G163"/>
      <c r="H163"/>
      <c r="I163"/>
      <c r="J163"/>
      <c r="K163"/>
    </row>
    <row r="164" spans="1:11" x14ac:dyDescent="0.25">
      <c r="A164" s="265" t="s">
        <v>116</v>
      </c>
      <c r="B164" s="298" t="s">
        <v>117</v>
      </c>
      <c r="C164" s="31">
        <f>SUM(C165)</f>
        <v>51510</v>
      </c>
      <c r="D164" s="78"/>
      <c r="E164" s="78"/>
      <c r="F164"/>
      <c r="G164"/>
      <c r="H164"/>
      <c r="I164"/>
      <c r="J164"/>
      <c r="K164"/>
    </row>
    <row r="165" spans="1:11" x14ac:dyDescent="0.25">
      <c r="A165" s="72" t="s">
        <v>91</v>
      </c>
      <c r="B165" s="23" t="s">
        <v>9</v>
      </c>
      <c r="C165" s="24">
        <v>51510</v>
      </c>
      <c r="D165" s="79"/>
      <c r="E165" s="25"/>
      <c r="F165"/>
      <c r="G165"/>
      <c r="H165"/>
      <c r="I165"/>
      <c r="J165"/>
      <c r="K165"/>
    </row>
    <row r="166" spans="1:11" x14ac:dyDescent="0.25">
      <c r="A166" s="265" t="s">
        <v>166</v>
      </c>
      <c r="B166" s="25" t="s">
        <v>135</v>
      </c>
      <c r="C166" s="31">
        <f>SUM(C167)</f>
        <v>20000</v>
      </c>
      <c r="D166" s="78"/>
      <c r="E166" s="25"/>
      <c r="F166"/>
      <c r="G166"/>
      <c r="H166"/>
      <c r="I166"/>
      <c r="J166"/>
      <c r="K166"/>
    </row>
    <row r="167" spans="1:11" x14ac:dyDescent="0.25">
      <c r="A167" s="72" t="s">
        <v>167</v>
      </c>
      <c r="B167" s="23" t="s">
        <v>51</v>
      </c>
      <c r="C167" s="24">
        <v>20000</v>
      </c>
      <c r="D167" s="78"/>
      <c r="E167" s="25"/>
      <c r="F167"/>
      <c r="G167"/>
      <c r="H167"/>
      <c r="I167"/>
      <c r="J167"/>
      <c r="K167"/>
    </row>
    <row r="168" spans="1:11" x14ac:dyDescent="0.25">
      <c r="A168" s="72"/>
      <c r="B168" s="23"/>
      <c r="C168" s="24"/>
      <c r="D168" s="78"/>
      <c r="E168" s="25"/>
      <c r="F168"/>
      <c r="G168"/>
      <c r="H168"/>
      <c r="I168"/>
      <c r="J168"/>
      <c r="K168"/>
    </row>
    <row r="169" spans="1:11" ht="13" thickBot="1" x14ac:dyDescent="0.3">
      <c r="A169" s="72"/>
      <c r="B169" s="23"/>
      <c r="C169" s="24"/>
      <c r="D169" s="78"/>
      <c r="E169" s="25"/>
      <c r="F169"/>
      <c r="G169"/>
      <c r="H169"/>
      <c r="I169"/>
      <c r="J169"/>
      <c r="K169"/>
    </row>
    <row r="170" spans="1:11" ht="13" x14ac:dyDescent="0.25">
      <c r="A170" s="1159" t="s">
        <v>470</v>
      </c>
      <c r="B170" s="1160"/>
      <c r="C170" s="1161"/>
      <c r="D170" s="719" t="s">
        <v>6</v>
      </c>
      <c r="E170" s="927">
        <v>1203</v>
      </c>
      <c r="F170"/>
      <c r="G170"/>
      <c r="H170"/>
      <c r="I170"/>
      <c r="J170"/>
      <c r="K170"/>
    </row>
    <row r="171" spans="1:11" ht="13.5" thickBot="1" x14ac:dyDescent="0.3">
      <c r="A171" s="1162"/>
      <c r="B171" s="1163"/>
      <c r="C171" s="1164"/>
      <c r="D171" s="720"/>
      <c r="E171" s="721"/>
      <c r="F171"/>
      <c r="G171"/>
      <c r="H171"/>
      <c r="I171"/>
      <c r="J171"/>
      <c r="K171"/>
    </row>
    <row r="172" spans="1:11" x14ac:dyDescent="0.25">
      <c r="A172" s="1106" t="s">
        <v>943</v>
      </c>
      <c r="B172" s="1107"/>
      <c r="C172" s="1107"/>
      <c r="D172" s="1107"/>
      <c r="E172" s="1108"/>
      <c r="F172"/>
      <c r="G172"/>
      <c r="H172"/>
      <c r="I172"/>
      <c r="J172"/>
      <c r="K172"/>
    </row>
    <row r="173" spans="1:11" x14ac:dyDescent="0.25">
      <c r="A173" s="1136"/>
      <c r="B173" s="1137"/>
      <c r="C173" s="1137"/>
      <c r="D173" s="1137"/>
      <c r="E173" s="1138"/>
      <c r="F173"/>
      <c r="G173"/>
      <c r="H173"/>
      <c r="I173"/>
      <c r="J173"/>
      <c r="K173"/>
    </row>
    <row r="174" spans="1:11" ht="13" thickBot="1" x14ac:dyDescent="0.3">
      <c r="A174" s="1136"/>
      <c r="B174" s="1137"/>
      <c r="C174" s="1137"/>
      <c r="D174" s="1137"/>
      <c r="E174" s="1138"/>
      <c r="F174"/>
      <c r="G174"/>
      <c r="H174"/>
      <c r="I174"/>
      <c r="J174"/>
      <c r="K174"/>
    </row>
    <row r="175" spans="1:11" x14ac:dyDescent="0.25">
      <c r="A175" s="119" t="s">
        <v>1029</v>
      </c>
      <c r="B175" s="174"/>
      <c r="C175" s="173"/>
      <c r="D175" s="924"/>
      <c r="E175" s="171"/>
      <c r="F175"/>
      <c r="G175"/>
      <c r="H175"/>
      <c r="I175"/>
      <c r="J175"/>
      <c r="K175"/>
    </row>
    <row r="176" spans="1:11" x14ac:dyDescent="0.25">
      <c r="A176" s="41" t="s">
        <v>944</v>
      </c>
      <c r="B176" s="12"/>
      <c r="C176" s="143"/>
      <c r="D176" s="71"/>
      <c r="E176" s="141"/>
      <c r="F176"/>
      <c r="G176"/>
      <c r="H176"/>
      <c r="I176"/>
      <c r="J176"/>
      <c r="K176"/>
    </row>
    <row r="177" spans="1:11" x14ac:dyDescent="0.25">
      <c r="A177" s="41" t="s">
        <v>1040</v>
      </c>
      <c r="B177" s="12"/>
      <c r="C177" s="143"/>
      <c r="D177" s="71"/>
      <c r="E177" s="141"/>
      <c r="F177"/>
      <c r="G177"/>
      <c r="H177"/>
      <c r="I177"/>
      <c r="J177"/>
      <c r="K177"/>
    </row>
    <row r="178" spans="1:11" ht="13" thickBot="1" x14ac:dyDescent="0.3">
      <c r="A178" s="76" t="s">
        <v>11</v>
      </c>
      <c r="B178" s="140"/>
      <c r="C178" s="139"/>
      <c r="D178" s="447"/>
      <c r="E178" s="137"/>
      <c r="F178"/>
      <c r="G178"/>
      <c r="H178"/>
      <c r="I178"/>
      <c r="J178"/>
      <c r="K178"/>
    </row>
    <row r="179" spans="1:11" ht="13" thickBot="1" x14ac:dyDescent="0.3">
      <c r="A179" s="762" t="s">
        <v>0</v>
      </c>
      <c r="B179" s="763"/>
      <c r="C179" s="764"/>
      <c r="D179" s="766"/>
      <c r="E179" s="772">
        <f>+C181+C205+C219</f>
        <v>1188780</v>
      </c>
      <c r="F179" s="448"/>
      <c r="G179"/>
      <c r="H179" s="448"/>
      <c r="I179"/>
      <c r="J179"/>
      <c r="K179"/>
    </row>
    <row r="180" spans="1:11" ht="13" thickBot="1" x14ac:dyDescent="0.3">
      <c r="A180" s="12"/>
      <c r="B180" s="12"/>
      <c r="C180" s="24"/>
      <c r="D180" s="24"/>
      <c r="E180" s="24"/>
      <c r="F180"/>
      <c r="G180"/>
      <c r="H180"/>
      <c r="I180"/>
      <c r="J180"/>
      <c r="K180"/>
    </row>
    <row r="181" spans="1:11" ht="13" thickBot="1" x14ac:dyDescent="0.3">
      <c r="A181" s="1104" t="s">
        <v>2</v>
      </c>
      <c r="B181" s="1105"/>
      <c r="C181" s="667">
        <f>+C184+C186+C188+C190+C195+C199+C201+C192+C182</f>
        <v>461340</v>
      </c>
      <c r="D181" s="23"/>
      <c r="E181" s="108"/>
      <c r="F181"/>
      <c r="G181"/>
      <c r="H181"/>
      <c r="I181"/>
      <c r="J181"/>
      <c r="K181"/>
    </row>
    <row r="182" spans="1:11" s="210" customFormat="1" ht="13.5" customHeight="1" x14ac:dyDescent="0.25">
      <c r="A182" s="11" t="s">
        <v>103</v>
      </c>
      <c r="B182" s="298" t="s">
        <v>104</v>
      </c>
      <c r="C182" s="32">
        <f>SUM(C183)</f>
        <v>8500</v>
      </c>
      <c r="D182" s="208"/>
      <c r="E182" s="101"/>
      <c r="F182" s="155"/>
      <c r="G182" s="154"/>
      <c r="H182" s="209"/>
      <c r="I182" s="154"/>
      <c r="J182" s="154"/>
      <c r="K182" s="154"/>
    </row>
    <row r="183" spans="1:11" s="43" customFormat="1" ht="13.5" customHeight="1" x14ac:dyDescent="0.25">
      <c r="A183" s="12" t="s">
        <v>46</v>
      </c>
      <c r="B183" s="8" t="s">
        <v>45</v>
      </c>
      <c r="C183" s="24">
        <v>8500</v>
      </c>
      <c r="D183" s="22"/>
      <c r="E183" s="31"/>
      <c r="G183" s="55"/>
    </row>
    <row r="184" spans="1:11" x14ac:dyDescent="0.25">
      <c r="A184" s="11" t="s">
        <v>199</v>
      </c>
      <c r="B184" s="265" t="s">
        <v>219</v>
      </c>
      <c r="C184" s="25">
        <f>SUM(C185:C185)</f>
        <v>29800</v>
      </c>
      <c r="D184" s="23"/>
      <c r="E184" s="23"/>
      <c r="F184"/>
      <c r="G184"/>
      <c r="H184"/>
      <c r="I184"/>
      <c r="J184"/>
      <c r="K184"/>
    </row>
    <row r="185" spans="1:11" x14ac:dyDescent="0.25">
      <c r="A185" s="12" t="s">
        <v>218</v>
      </c>
      <c r="B185" s="12" t="s">
        <v>217</v>
      </c>
      <c r="C185" s="24">
        <v>29800</v>
      </c>
      <c r="D185" s="78"/>
      <c r="E185" s="25"/>
      <c r="F185"/>
      <c r="G185"/>
      <c r="H185"/>
      <c r="I185"/>
      <c r="J185"/>
      <c r="K185"/>
    </row>
    <row r="186" spans="1:11" x14ac:dyDescent="0.25">
      <c r="A186" s="11" t="s">
        <v>105</v>
      </c>
      <c r="B186" s="265" t="s">
        <v>106</v>
      </c>
      <c r="C186" s="32">
        <f>SUM(C187)</f>
        <v>67500</v>
      </c>
      <c r="D186" s="96"/>
      <c r="E186" s="131"/>
      <c r="F186"/>
      <c r="G186"/>
      <c r="H186"/>
      <c r="I186"/>
      <c r="J186"/>
      <c r="K186"/>
    </row>
    <row r="187" spans="1:11" x14ac:dyDescent="0.25">
      <c r="A187" s="12" t="s">
        <v>86</v>
      </c>
      <c r="B187" s="12" t="s">
        <v>66</v>
      </c>
      <c r="C187" s="24">
        <v>67500</v>
      </c>
      <c r="D187" s="23"/>
      <c r="E187" s="23"/>
      <c r="F187"/>
      <c r="G187"/>
      <c r="H187"/>
      <c r="I187"/>
      <c r="J187"/>
      <c r="K187"/>
    </row>
    <row r="188" spans="1:11" x14ac:dyDescent="0.25">
      <c r="A188" s="11" t="s">
        <v>107</v>
      </c>
      <c r="B188" s="265" t="s">
        <v>108</v>
      </c>
      <c r="C188" s="32">
        <f>SUM(C189)</f>
        <v>89760</v>
      </c>
      <c r="D188" s="96"/>
      <c r="E188" s="131"/>
      <c r="F188"/>
      <c r="G188"/>
      <c r="H188"/>
      <c r="I188"/>
      <c r="J188"/>
      <c r="K188"/>
    </row>
    <row r="189" spans="1:11" x14ac:dyDescent="0.25">
      <c r="A189" s="12" t="s">
        <v>47</v>
      </c>
      <c r="B189" s="23" t="s">
        <v>48</v>
      </c>
      <c r="C189" s="24">
        <v>89760</v>
      </c>
      <c r="D189" s="23"/>
      <c r="E189" s="23"/>
      <c r="F189"/>
      <c r="G189"/>
      <c r="H189"/>
      <c r="I189"/>
      <c r="J189"/>
      <c r="K189"/>
    </row>
    <row r="190" spans="1:11" x14ac:dyDescent="0.25">
      <c r="A190" s="11" t="s">
        <v>195</v>
      </c>
      <c r="B190" s="25" t="s">
        <v>194</v>
      </c>
      <c r="C190" s="31">
        <f>SUM(C191:C191)</f>
        <v>79800</v>
      </c>
      <c r="D190" s="23"/>
      <c r="E190" s="23"/>
      <c r="F190"/>
      <c r="G190"/>
      <c r="H190"/>
      <c r="I190"/>
      <c r="J190"/>
      <c r="K190"/>
    </row>
    <row r="191" spans="1:11" x14ac:dyDescent="0.25">
      <c r="A191" s="12" t="s">
        <v>193</v>
      </c>
      <c r="B191" s="72" t="s">
        <v>215</v>
      </c>
      <c r="C191" s="24">
        <v>79800</v>
      </c>
      <c r="D191" s="23"/>
      <c r="E191" s="24"/>
      <c r="F191" s="183"/>
      <c r="G191"/>
      <c r="H191"/>
      <c r="I191"/>
      <c r="J191"/>
      <c r="K191"/>
    </row>
    <row r="192" spans="1:11" x14ac:dyDescent="0.25">
      <c r="A192" s="11" t="s">
        <v>473</v>
      </c>
      <c r="B192" s="11" t="s">
        <v>474</v>
      </c>
      <c r="C192" s="31">
        <f>SUM(C193:C194)</f>
        <v>60650</v>
      </c>
      <c r="D192" s="72"/>
      <c r="E192" s="12"/>
      <c r="F192" s="183"/>
      <c r="G192"/>
      <c r="H192"/>
      <c r="I192"/>
      <c r="J192"/>
      <c r="K192"/>
    </row>
    <row r="193" spans="1:11" x14ac:dyDescent="0.25">
      <c r="A193" s="12" t="s">
        <v>477</v>
      </c>
      <c r="B193" s="12" t="s">
        <v>478</v>
      </c>
      <c r="C193" s="24">
        <v>24900</v>
      </c>
      <c r="D193" s="72"/>
      <c r="E193" s="12"/>
      <c r="F193" s="183"/>
      <c r="G193"/>
      <c r="H193"/>
      <c r="I193"/>
      <c r="J193"/>
      <c r="K193"/>
    </row>
    <row r="194" spans="1:11" x14ac:dyDescent="0.25">
      <c r="A194" s="12" t="s">
        <v>479</v>
      </c>
      <c r="B194" s="12" t="s">
        <v>480</v>
      </c>
      <c r="C194" s="24">
        <v>35750</v>
      </c>
      <c r="D194" s="23"/>
      <c r="E194" s="23"/>
      <c r="F194"/>
      <c r="G194"/>
      <c r="H194"/>
      <c r="I194"/>
      <c r="J194"/>
      <c r="K194"/>
    </row>
    <row r="195" spans="1:11" x14ac:dyDescent="0.25">
      <c r="A195" s="265" t="s">
        <v>119</v>
      </c>
      <c r="B195" s="25" t="s">
        <v>109</v>
      </c>
      <c r="C195" s="31">
        <f>SUM(C196:C198)</f>
        <v>53030</v>
      </c>
      <c r="D195" s="23"/>
      <c r="E195" s="24"/>
      <c r="F195" s="183"/>
      <c r="G195"/>
      <c r="H195"/>
      <c r="I195"/>
      <c r="J195"/>
      <c r="K195"/>
    </row>
    <row r="196" spans="1:11" x14ac:dyDescent="0.25">
      <c r="A196" s="72" t="s">
        <v>481</v>
      </c>
      <c r="B196" s="12" t="s">
        <v>482</v>
      </c>
      <c r="C196" s="24">
        <v>25740</v>
      </c>
      <c r="D196" s="72"/>
      <c r="E196" s="12"/>
      <c r="F196" s="183"/>
      <c r="G196"/>
      <c r="H196"/>
      <c r="I196"/>
      <c r="J196"/>
      <c r="K196"/>
    </row>
    <row r="197" spans="1:11" x14ac:dyDescent="0.25">
      <c r="A197" s="72" t="s">
        <v>188</v>
      </c>
      <c r="B197" s="23" t="s">
        <v>187</v>
      </c>
      <c r="C197" s="24">
        <v>7590</v>
      </c>
      <c r="D197" s="23"/>
      <c r="E197" s="24"/>
      <c r="F197" s="183"/>
      <c r="G197"/>
      <c r="H197"/>
      <c r="I197"/>
      <c r="J197"/>
      <c r="K197"/>
    </row>
    <row r="198" spans="1:11" x14ac:dyDescent="0.25">
      <c r="A198" s="72" t="s">
        <v>697</v>
      </c>
      <c r="B198" s="43" t="s">
        <v>696</v>
      </c>
      <c r="C198" s="24">
        <v>19700</v>
      </c>
      <c r="D198" s="23"/>
      <c r="E198" s="24"/>
      <c r="F198" s="183"/>
      <c r="G198"/>
      <c r="H198"/>
      <c r="I198"/>
      <c r="J198"/>
      <c r="K198"/>
    </row>
    <row r="199" spans="1:11" x14ac:dyDescent="0.25">
      <c r="A199" s="265" t="s">
        <v>124</v>
      </c>
      <c r="B199" s="265" t="s">
        <v>123</v>
      </c>
      <c r="C199" s="31">
        <f>SUM(C200)</f>
        <v>18000</v>
      </c>
      <c r="D199" s="23"/>
      <c r="E199" s="23"/>
      <c r="F199"/>
      <c r="G199"/>
      <c r="H199"/>
      <c r="I199"/>
      <c r="J199"/>
      <c r="K199"/>
    </row>
    <row r="200" spans="1:11" s="183" customFormat="1" x14ac:dyDescent="0.25">
      <c r="A200" s="12" t="s">
        <v>93</v>
      </c>
      <c r="B200" s="24" t="s">
        <v>72</v>
      </c>
      <c r="C200" s="24">
        <v>18000</v>
      </c>
      <c r="D200" s="24"/>
      <c r="E200" s="24"/>
    </row>
    <row r="201" spans="1:11" x14ac:dyDescent="0.25">
      <c r="A201" s="265" t="s">
        <v>151</v>
      </c>
      <c r="B201" s="25" t="s">
        <v>133</v>
      </c>
      <c r="C201" s="31">
        <f>SUM(C202:C203)</f>
        <v>54300</v>
      </c>
      <c r="D201" s="23"/>
      <c r="E201" s="23"/>
      <c r="F201"/>
      <c r="G201"/>
      <c r="H201"/>
      <c r="I201"/>
      <c r="J201"/>
      <c r="K201"/>
    </row>
    <row r="202" spans="1:11" x14ac:dyDescent="0.25">
      <c r="A202" s="72" t="s">
        <v>210</v>
      </c>
      <c r="B202" s="43" t="s">
        <v>702</v>
      </c>
      <c r="C202" s="24">
        <v>35800</v>
      </c>
      <c r="D202" s="23"/>
      <c r="E202" s="23"/>
      <c r="F202"/>
      <c r="G202"/>
      <c r="H202"/>
      <c r="I202"/>
      <c r="J202"/>
      <c r="K202"/>
    </row>
    <row r="203" spans="1:11" x14ac:dyDescent="0.25">
      <c r="A203" s="72" t="s">
        <v>154</v>
      </c>
      <c r="B203" s="23" t="s">
        <v>125</v>
      </c>
      <c r="C203" s="24">
        <v>18500</v>
      </c>
      <c r="D203" s="23"/>
      <c r="E203" s="23"/>
      <c r="F203"/>
      <c r="G203"/>
      <c r="H203"/>
      <c r="I203"/>
      <c r="J203"/>
      <c r="K203"/>
    </row>
    <row r="204" spans="1:11" ht="13" thickBot="1" x14ac:dyDescent="0.3">
      <c r="A204" s="72"/>
      <c r="B204" s="23"/>
      <c r="C204" s="23"/>
      <c r="D204" s="23"/>
      <c r="E204" s="23"/>
      <c r="F204"/>
      <c r="G204"/>
      <c r="H204"/>
      <c r="I204"/>
      <c r="J204"/>
      <c r="K204"/>
    </row>
    <row r="205" spans="1:11" ht="13" thickBot="1" x14ac:dyDescent="0.3">
      <c r="A205" s="1096" t="s">
        <v>3</v>
      </c>
      <c r="B205" s="1097"/>
      <c r="C205" s="668">
        <f>+C206+C210+C212+C214</f>
        <v>603140</v>
      </c>
      <c r="D205" s="23"/>
      <c r="E205" s="23"/>
      <c r="F205"/>
      <c r="G205"/>
      <c r="H205"/>
      <c r="I205"/>
      <c r="J205"/>
      <c r="K205"/>
    </row>
    <row r="206" spans="1:11" x14ac:dyDescent="0.25">
      <c r="A206" s="11" t="s">
        <v>120</v>
      </c>
      <c r="B206" s="11" t="s">
        <v>121</v>
      </c>
      <c r="C206" s="25">
        <f>SUM(C207:C209)</f>
        <v>52540</v>
      </c>
      <c r="D206" s="23"/>
      <c r="E206" s="23"/>
      <c r="F206"/>
      <c r="G206"/>
      <c r="H206"/>
      <c r="I206"/>
      <c r="J206"/>
      <c r="K206"/>
    </row>
    <row r="207" spans="1:11" x14ac:dyDescent="0.25">
      <c r="A207" s="72" t="s">
        <v>484</v>
      </c>
      <c r="B207" s="12" t="s">
        <v>485</v>
      </c>
      <c r="C207" s="24">
        <v>24890</v>
      </c>
      <c r="D207" s="72"/>
      <c r="E207" s="72"/>
      <c r="F207"/>
      <c r="G207"/>
      <c r="H207"/>
      <c r="I207"/>
      <c r="J207"/>
      <c r="K207"/>
    </row>
    <row r="208" spans="1:11" x14ac:dyDescent="0.25">
      <c r="A208" s="12" t="s">
        <v>183</v>
      </c>
      <c r="B208" s="12" t="s">
        <v>182</v>
      </c>
      <c r="C208" s="24">
        <v>8900</v>
      </c>
      <c r="D208" s="23"/>
      <c r="E208" s="24"/>
      <c r="F208"/>
      <c r="G208"/>
      <c r="H208"/>
      <c r="I208"/>
      <c r="J208"/>
      <c r="K208"/>
    </row>
    <row r="209" spans="1:11" x14ac:dyDescent="0.25">
      <c r="A209" s="12" t="s">
        <v>136</v>
      </c>
      <c r="B209" s="12" t="s">
        <v>71</v>
      </c>
      <c r="C209" s="24">
        <v>18750</v>
      </c>
      <c r="D209" s="78"/>
      <c r="E209" s="25"/>
      <c r="F209"/>
      <c r="G209"/>
      <c r="H209"/>
      <c r="I209"/>
      <c r="J209"/>
      <c r="K209"/>
    </row>
    <row r="210" spans="1:11" x14ac:dyDescent="0.25">
      <c r="A210" s="11" t="s">
        <v>112</v>
      </c>
      <c r="B210" s="11" t="s">
        <v>157</v>
      </c>
      <c r="C210" s="31">
        <f>SUM(C211:C211)</f>
        <v>34000</v>
      </c>
      <c r="D210" s="78"/>
      <c r="E210" s="25"/>
      <c r="F210"/>
      <c r="G210"/>
      <c r="H210"/>
      <c r="I210"/>
      <c r="J210"/>
      <c r="K210"/>
    </row>
    <row r="211" spans="1:11" x14ac:dyDescent="0.25">
      <c r="A211" s="72" t="s">
        <v>156</v>
      </c>
      <c r="B211" s="24" t="s">
        <v>87</v>
      </c>
      <c r="C211" s="24">
        <v>34000</v>
      </c>
      <c r="D211"/>
      <c r="E211" s="72"/>
      <c r="F211" s="121"/>
      <c r="G211" s="12"/>
      <c r="H211"/>
      <c r="I211"/>
      <c r="J211"/>
      <c r="K211"/>
    </row>
    <row r="212" spans="1:11" ht="13" x14ac:dyDescent="0.25">
      <c r="A212" s="11" t="s">
        <v>132</v>
      </c>
      <c r="B212" s="31" t="s">
        <v>56</v>
      </c>
      <c r="C212" s="31">
        <f>SUM(C213)</f>
        <v>10000</v>
      </c>
      <c r="D212" s="24"/>
      <c r="E212" s="120"/>
      <c r="F212"/>
      <c r="G212"/>
      <c r="H212"/>
      <c r="I212"/>
      <c r="J212"/>
      <c r="K212"/>
    </row>
    <row r="213" spans="1:11" ht="13" x14ac:dyDescent="0.25">
      <c r="A213" s="12" t="s">
        <v>55</v>
      </c>
      <c r="B213" s="24" t="s">
        <v>56</v>
      </c>
      <c r="C213" s="24">
        <v>10000</v>
      </c>
      <c r="D213" s="24"/>
      <c r="E213" s="120"/>
      <c r="F213"/>
      <c r="G213"/>
      <c r="H213"/>
      <c r="I213"/>
      <c r="J213"/>
      <c r="K213"/>
    </row>
    <row r="214" spans="1:11" x14ac:dyDescent="0.25">
      <c r="A214" s="11" t="s">
        <v>115</v>
      </c>
      <c r="B214" s="31" t="s">
        <v>8</v>
      </c>
      <c r="C214" s="31">
        <f>SUM(C215:C217)</f>
        <v>506600</v>
      </c>
      <c r="D214" s="23"/>
      <c r="E214" s="23"/>
      <c r="F214"/>
      <c r="G214"/>
      <c r="H214"/>
      <c r="I214"/>
      <c r="J214"/>
      <c r="K214"/>
    </row>
    <row r="215" spans="1:11" ht="13" x14ac:dyDescent="0.25">
      <c r="A215" s="12" t="s">
        <v>89</v>
      </c>
      <c r="B215" s="24" t="s">
        <v>8</v>
      </c>
      <c r="C215" s="24">
        <v>213000</v>
      </c>
      <c r="D215" s="24"/>
      <c r="E215" s="120"/>
      <c r="F215"/>
      <c r="G215"/>
      <c r="H215"/>
      <c r="I215"/>
      <c r="J215"/>
      <c r="K215"/>
    </row>
    <row r="216" spans="1:11" ht="13" x14ac:dyDescent="0.25">
      <c r="A216" s="12" t="s">
        <v>181</v>
      </c>
      <c r="B216" s="24" t="s">
        <v>50</v>
      </c>
      <c r="C216" s="24">
        <v>6500</v>
      </c>
      <c r="D216" s="120"/>
      <c r="E216" s="120"/>
      <c r="F216"/>
      <c r="G216"/>
      <c r="H216"/>
      <c r="I216"/>
      <c r="J216"/>
      <c r="K216"/>
    </row>
    <row r="217" spans="1:11" ht="13" x14ac:dyDescent="0.25">
      <c r="A217" s="12" t="s">
        <v>90</v>
      </c>
      <c r="B217" s="24" t="s">
        <v>7</v>
      </c>
      <c r="C217" s="24">
        <v>287100</v>
      </c>
      <c r="D217" s="31"/>
      <c r="E217" s="38"/>
      <c r="F217"/>
      <c r="G217"/>
      <c r="H217"/>
      <c r="I217"/>
      <c r="J217"/>
      <c r="K217"/>
    </row>
    <row r="218" spans="1:11" ht="13" thickBot="1" x14ac:dyDescent="0.3">
      <c r="A218" s="12"/>
      <c r="B218" s="12"/>
      <c r="C218" s="24"/>
      <c r="D218" s="24"/>
      <c r="E218" s="23"/>
      <c r="F218"/>
      <c r="G218"/>
      <c r="H218"/>
      <c r="I218"/>
      <c r="J218"/>
      <c r="K218"/>
    </row>
    <row r="219" spans="1:11" ht="13" thickBot="1" x14ac:dyDescent="0.3">
      <c r="A219" s="1100" t="s">
        <v>4</v>
      </c>
      <c r="B219" s="1101"/>
      <c r="C219" s="670">
        <f>C220+C222+C224</f>
        <v>124300</v>
      </c>
      <c r="D219" s="72"/>
      <c r="E219" s="23"/>
      <c r="F219"/>
      <c r="G219"/>
      <c r="H219"/>
      <c r="I219"/>
      <c r="J219"/>
      <c r="K219"/>
    </row>
    <row r="220" spans="1:11" x14ac:dyDescent="0.25">
      <c r="A220" s="265" t="s">
        <v>179</v>
      </c>
      <c r="B220" s="298" t="s">
        <v>178</v>
      </c>
      <c r="C220" s="32">
        <f>SUM(C221)</f>
        <v>100000</v>
      </c>
      <c r="D220" s="79"/>
      <c r="E220" s="25"/>
      <c r="F220"/>
      <c r="G220"/>
      <c r="H220"/>
      <c r="I220"/>
      <c r="J220"/>
      <c r="K220"/>
    </row>
    <row r="221" spans="1:11" x14ac:dyDescent="0.25">
      <c r="A221" s="72" t="s">
        <v>486</v>
      </c>
      <c r="B221" s="12" t="s">
        <v>487</v>
      </c>
      <c r="C221" s="24">
        <v>100000</v>
      </c>
      <c r="D221"/>
      <c r="E221" s="122"/>
      <c r="F221"/>
      <c r="G221"/>
      <c r="H221"/>
      <c r="I221"/>
      <c r="J221"/>
      <c r="K221"/>
    </row>
    <row r="222" spans="1:11" x14ac:dyDescent="0.25">
      <c r="A222" s="265" t="s">
        <v>116</v>
      </c>
      <c r="B222" s="298" t="s">
        <v>117</v>
      </c>
      <c r="C222" s="31">
        <f>SUM(C223)</f>
        <v>16800</v>
      </c>
      <c r="D222" s="78"/>
      <c r="E222" s="78"/>
      <c r="F222"/>
      <c r="G222"/>
      <c r="H222"/>
      <c r="I222"/>
      <c r="J222"/>
      <c r="K222"/>
    </row>
    <row r="223" spans="1:11" x14ac:dyDescent="0.25">
      <c r="A223" s="72" t="s">
        <v>91</v>
      </c>
      <c r="B223" s="23" t="s">
        <v>9</v>
      </c>
      <c r="C223" s="24">
        <v>16800</v>
      </c>
      <c r="D223" s="79"/>
      <c r="E223" s="25"/>
      <c r="F223"/>
      <c r="G223"/>
      <c r="H223"/>
      <c r="I223"/>
      <c r="J223"/>
      <c r="K223"/>
    </row>
    <row r="224" spans="1:11" x14ac:dyDescent="0.25">
      <c r="A224" s="265" t="s">
        <v>166</v>
      </c>
      <c r="B224" s="25" t="s">
        <v>135</v>
      </c>
      <c r="C224" s="31">
        <f>SUM(C225)</f>
        <v>7500</v>
      </c>
      <c r="D224" s="78"/>
      <c r="E224" s="25"/>
      <c r="F224"/>
      <c r="G224"/>
      <c r="H224"/>
      <c r="I224"/>
      <c r="J224"/>
      <c r="K224"/>
    </row>
    <row r="225" spans="1:11" x14ac:dyDescent="0.25">
      <c r="A225" s="72" t="s">
        <v>167</v>
      </c>
      <c r="B225" s="23" t="s">
        <v>51</v>
      </c>
      <c r="C225" s="24">
        <v>7500</v>
      </c>
      <c r="D225" s="78"/>
      <c r="E225" s="25"/>
      <c r="F225"/>
      <c r="G225"/>
      <c r="H225"/>
      <c r="I225"/>
      <c r="J225"/>
      <c r="K225"/>
    </row>
    <row r="226" spans="1:11" x14ac:dyDescent="0.25">
      <c r="A226" s="72"/>
      <c r="B226" s="23"/>
      <c r="C226" s="24"/>
      <c r="D226" s="78"/>
      <c r="E226" s="25"/>
      <c r="F226"/>
      <c r="G226"/>
      <c r="H226"/>
      <c r="I226"/>
      <c r="J226"/>
      <c r="K226"/>
    </row>
    <row r="227" spans="1:11" ht="13" thickBot="1" x14ac:dyDescent="0.3">
      <c r="A227" s="72"/>
      <c r="B227" s="451"/>
      <c r="C227" s="182"/>
      <c r="D227" s="130"/>
      <c r="E227" s="72"/>
      <c r="F227"/>
      <c r="G227"/>
      <c r="H227"/>
      <c r="I227"/>
      <c r="J227"/>
      <c r="K227"/>
    </row>
    <row r="228" spans="1:11" ht="13" x14ac:dyDescent="0.25">
      <c r="A228" s="648" t="s">
        <v>945</v>
      </c>
      <c r="B228" s="649"/>
      <c r="C228" s="650"/>
      <c r="D228" s="719" t="s">
        <v>6</v>
      </c>
      <c r="E228" s="927">
        <v>1204</v>
      </c>
      <c r="F228"/>
      <c r="G228"/>
      <c r="H228"/>
      <c r="I228"/>
      <c r="J228"/>
      <c r="K228"/>
    </row>
    <row r="229" spans="1:11" ht="13.5" thickBot="1" x14ac:dyDescent="0.3">
      <c r="A229" s="652"/>
      <c r="B229" s="653"/>
      <c r="C229" s="654"/>
      <c r="D229" s="720"/>
      <c r="E229" s="721"/>
      <c r="F229"/>
      <c r="G229"/>
      <c r="H229"/>
      <c r="I229"/>
      <c r="J229"/>
      <c r="K229"/>
    </row>
    <row r="230" spans="1:11" x14ac:dyDescent="0.25">
      <c r="A230" s="1123" t="s">
        <v>946</v>
      </c>
      <c r="B230" s="1124"/>
      <c r="C230" s="1124"/>
      <c r="D230" s="1124"/>
      <c r="E230" s="1125"/>
      <c r="F230"/>
      <c r="G230"/>
      <c r="H230"/>
      <c r="I230"/>
      <c r="J230"/>
      <c r="K230"/>
    </row>
    <row r="231" spans="1:11" x14ac:dyDescent="0.25">
      <c r="A231" s="1126"/>
      <c r="B231" s="1127"/>
      <c r="C231" s="1127"/>
      <c r="D231" s="1127"/>
      <c r="E231" s="1128"/>
      <c r="F231"/>
      <c r="G231"/>
      <c r="H231"/>
      <c r="I231"/>
      <c r="J231"/>
      <c r="K231"/>
    </row>
    <row r="232" spans="1:11" x14ac:dyDescent="0.25">
      <c r="A232" s="1126"/>
      <c r="B232" s="1127"/>
      <c r="C232" s="1127"/>
      <c r="D232" s="1127"/>
      <c r="E232" s="1128"/>
      <c r="F232"/>
      <c r="G232"/>
      <c r="H232"/>
      <c r="I232"/>
      <c r="J232"/>
      <c r="K232"/>
    </row>
    <row r="233" spans="1:11" ht="13" thickBot="1" x14ac:dyDescent="0.3">
      <c r="A233" s="1129"/>
      <c r="B233" s="1130"/>
      <c r="C233" s="1130"/>
      <c r="D233" s="1130"/>
      <c r="E233" s="1131"/>
      <c r="F233"/>
      <c r="G233"/>
      <c r="H233"/>
      <c r="I233"/>
      <c r="J233"/>
      <c r="K233"/>
    </row>
    <row r="234" spans="1:11" x14ac:dyDescent="0.25">
      <c r="A234" s="41" t="s">
        <v>1029</v>
      </c>
      <c r="B234" s="12"/>
      <c r="C234" s="143"/>
      <c r="D234" s="71"/>
      <c r="E234" s="141"/>
      <c r="F234"/>
      <c r="G234"/>
      <c r="H234"/>
      <c r="I234"/>
      <c r="J234"/>
      <c r="K234"/>
    </row>
    <row r="235" spans="1:11" x14ac:dyDescent="0.25">
      <c r="A235" s="41" t="s">
        <v>471</v>
      </c>
      <c r="B235" s="12"/>
      <c r="C235" s="143"/>
      <c r="D235" s="71"/>
      <c r="E235" s="141"/>
      <c r="F235"/>
      <c r="G235"/>
      <c r="H235"/>
      <c r="I235"/>
      <c r="J235"/>
      <c r="K235"/>
    </row>
    <row r="236" spans="1:11" s="183" customFormat="1" x14ac:dyDescent="0.25">
      <c r="A236" s="41" t="s">
        <v>1040</v>
      </c>
      <c r="B236" s="12"/>
      <c r="C236" s="143"/>
      <c r="D236" s="71"/>
      <c r="E236" s="141"/>
    </row>
    <row r="237" spans="1:11" ht="13" thickBot="1" x14ac:dyDescent="0.3">
      <c r="A237" s="41" t="s">
        <v>11</v>
      </c>
      <c r="B237" s="140"/>
      <c r="C237" s="139"/>
      <c r="D237" s="447"/>
      <c r="E237" s="137"/>
      <c r="F237"/>
      <c r="G237"/>
      <c r="H237"/>
      <c r="I237"/>
      <c r="J237"/>
      <c r="K237"/>
    </row>
    <row r="238" spans="1:11" ht="13" thickBot="1" x14ac:dyDescent="0.3">
      <c r="A238" s="762" t="s">
        <v>0</v>
      </c>
      <c r="B238" s="763"/>
      <c r="C238" s="764"/>
      <c r="D238" s="766"/>
      <c r="E238" s="772">
        <f>+C240+C266+C282</f>
        <v>9175140</v>
      </c>
      <c r="F238" s="448"/>
      <c r="G238"/>
      <c r="H238" s="448"/>
      <c r="I238"/>
      <c r="J238"/>
      <c r="K238"/>
    </row>
    <row r="239" spans="1:11" ht="13" thickBot="1" x14ac:dyDescent="0.3">
      <c r="A239" s="12"/>
      <c r="B239" s="12"/>
      <c r="C239" s="24"/>
      <c r="D239" s="24"/>
      <c r="E239" s="24"/>
      <c r="F239"/>
      <c r="G239"/>
      <c r="H239"/>
      <c r="I239"/>
      <c r="J239"/>
      <c r="K239"/>
    </row>
    <row r="240" spans="1:11" ht="13" thickBot="1" x14ac:dyDescent="0.3">
      <c r="A240" s="1104" t="s">
        <v>2</v>
      </c>
      <c r="B240" s="1105"/>
      <c r="C240" s="667">
        <f>+C246+C244+C248+C254+C257+C261+C250+C241</f>
        <v>5777940</v>
      </c>
      <c r="D240" s="23"/>
      <c r="E240" s="108"/>
      <c r="F240"/>
      <c r="G240"/>
      <c r="H240"/>
      <c r="I240"/>
      <c r="J240"/>
      <c r="K240"/>
    </row>
    <row r="241" spans="1:11" s="210" customFormat="1" ht="13.5" customHeight="1" x14ac:dyDescent="0.25">
      <c r="A241" s="11" t="s">
        <v>103</v>
      </c>
      <c r="B241" s="298" t="s">
        <v>104</v>
      </c>
      <c r="C241" s="32">
        <f>SUM(C242:C243)</f>
        <v>2740390</v>
      </c>
      <c r="D241" s="208"/>
      <c r="E241" s="101"/>
      <c r="F241" s="155"/>
      <c r="G241" s="154"/>
      <c r="H241" s="209"/>
      <c r="I241" s="154"/>
      <c r="J241" s="154"/>
      <c r="K241" s="154"/>
    </row>
    <row r="242" spans="1:11" s="43" customFormat="1" ht="13.5" customHeight="1" x14ac:dyDescent="0.25">
      <c r="A242" s="12" t="s">
        <v>46</v>
      </c>
      <c r="B242" s="8" t="s">
        <v>45</v>
      </c>
      <c r="C242" s="24">
        <v>93000</v>
      </c>
      <c r="D242" s="22"/>
      <c r="E242" s="31"/>
      <c r="G242" s="55"/>
    </row>
    <row r="243" spans="1:11" x14ac:dyDescent="0.25">
      <c r="A243" s="12" t="s">
        <v>488</v>
      </c>
      <c r="B243" s="72" t="s">
        <v>489</v>
      </c>
      <c r="C243" s="24">
        <v>2647390</v>
      </c>
      <c r="D243" s="96"/>
      <c r="E243" s="23"/>
      <c r="F243"/>
      <c r="G243"/>
      <c r="H243"/>
      <c r="I243"/>
      <c r="J243"/>
      <c r="K243"/>
    </row>
    <row r="244" spans="1:11" x14ac:dyDescent="0.25">
      <c r="A244" s="11" t="s">
        <v>105</v>
      </c>
      <c r="B244" s="265" t="s">
        <v>106</v>
      </c>
      <c r="C244" s="32">
        <f>SUM(C245)</f>
        <v>77340</v>
      </c>
      <c r="D244" s="96"/>
      <c r="E244" s="131"/>
      <c r="F244"/>
      <c r="G244"/>
      <c r="H244"/>
      <c r="I244"/>
      <c r="J244"/>
      <c r="K244"/>
    </row>
    <row r="245" spans="1:11" x14ac:dyDescent="0.25">
      <c r="A245" s="12" t="s">
        <v>86</v>
      </c>
      <c r="B245" s="12" t="s">
        <v>66</v>
      </c>
      <c r="C245" s="24">
        <v>77340</v>
      </c>
      <c r="D245" s="23"/>
      <c r="E245" s="23"/>
      <c r="F245"/>
      <c r="G245"/>
      <c r="H245"/>
      <c r="I245"/>
      <c r="J245"/>
      <c r="K245"/>
    </row>
    <row r="246" spans="1:11" x14ac:dyDescent="0.25">
      <c r="A246" s="11" t="s">
        <v>107</v>
      </c>
      <c r="B246" s="265" t="s">
        <v>108</v>
      </c>
      <c r="C246" s="32">
        <f>SUM(C247)</f>
        <v>39810</v>
      </c>
      <c r="D246" s="96"/>
      <c r="E246" s="131"/>
      <c r="F246"/>
      <c r="G246"/>
      <c r="H246"/>
      <c r="I246"/>
      <c r="J246"/>
      <c r="K246"/>
    </row>
    <row r="247" spans="1:11" x14ac:dyDescent="0.25">
      <c r="A247" s="12" t="s">
        <v>47</v>
      </c>
      <c r="B247" s="23" t="s">
        <v>48</v>
      </c>
      <c r="C247" s="24">
        <v>39810</v>
      </c>
      <c r="D247" s="23"/>
      <c r="E247" s="23"/>
      <c r="F247"/>
      <c r="G247"/>
      <c r="H247"/>
      <c r="I247"/>
      <c r="J247"/>
      <c r="K247"/>
    </row>
    <row r="248" spans="1:11" x14ac:dyDescent="0.25">
      <c r="A248" s="11" t="s">
        <v>195</v>
      </c>
      <c r="B248" s="25" t="s">
        <v>194</v>
      </c>
      <c r="C248" s="31">
        <f>SUM(C249:C249)</f>
        <v>24000</v>
      </c>
      <c r="D248" s="23"/>
      <c r="E248" s="23"/>
      <c r="F248"/>
      <c r="G248"/>
      <c r="H248"/>
      <c r="I248"/>
      <c r="J248"/>
      <c r="K248"/>
    </row>
    <row r="249" spans="1:11" x14ac:dyDescent="0.25">
      <c r="A249" s="12" t="s">
        <v>193</v>
      </c>
      <c r="B249" s="72" t="s">
        <v>215</v>
      </c>
      <c r="C249" s="24">
        <v>24000</v>
      </c>
      <c r="D249" s="23"/>
      <c r="E249" s="23"/>
      <c r="F249"/>
      <c r="G249"/>
      <c r="H249"/>
      <c r="I249"/>
      <c r="J249"/>
      <c r="K249"/>
    </row>
    <row r="250" spans="1:11" x14ac:dyDescent="0.25">
      <c r="A250" s="265" t="s">
        <v>473</v>
      </c>
      <c r="B250" s="11" t="s">
        <v>474</v>
      </c>
      <c r="C250" s="31">
        <f>SUM(C251:C253)</f>
        <v>980650</v>
      </c>
      <c r="D250" s="72"/>
      <c r="E250" s="12"/>
      <c r="F250" s="183"/>
      <c r="G250"/>
      <c r="H250"/>
      <c r="I250"/>
      <c r="J250"/>
      <c r="K250"/>
    </row>
    <row r="251" spans="1:11" x14ac:dyDescent="0.25">
      <c r="A251" s="72" t="s">
        <v>477</v>
      </c>
      <c r="B251" s="12" t="s">
        <v>478</v>
      </c>
      <c r="C251" s="24">
        <v>336100</v>
      </c>
      <c r="D251" s="72"/>
      <c r="E251" s="12"/>
      <c r="F251" s="183"/>
      <c r="G251"/>
      <c r="H251"/>
      <c r="I251"/>
      <c r="J251"/>
      <c r="K251"/>
    </row>
    <row r="252" spans="1:11" x14ac:dyDescent="0.25">
      <c r="A252" s="72" t="s">
        <v>479</v>
      </c>
      <c r="B252" s="12" t="s">
        <v>480</v>
      </c>
      <c r="C252" s="24">
        <v>92100</v>
      </c>
      <c r="D252" s="23"/>
      <c r="E252" s="23"/>
      <c r="F252"/>
      <c r="G252"/>
      <c r="H252"/>
      <c r="I252"/>
      <c r="J252"/>
      <c r="K252"/>
    </row>
    <row r="253" spans="1:11" x14ac:dyDescent="0.25">
      <c r="A253" s="12" t="s">
        <v>490</v>
      </c>
      <c r="B253" s="12" t="s">
        <v>840</v>
      </c>
      <c r="C253" s="24">
        <v>552450</v>
      </c>
      <c r="D253" s="72"/>
      <c r="E253" s="12"/>
      <c r="F253" s="183"/>
      <c r="G253"/>
      <c r="H253"/>
      <c r="I253"/>
      <c r="J253"/>
      <c r="K253"/>
    </row>
    <row r="254" spans="1:11" x14ac:dyDescent="0.25">
      <c r="A254" s="265" t="s">
        <v>119</v>
      </c>
      <c r="B254" s="25" t="s">
        <v>109</v>
      </c>
      <c r="C254" s="31">
        <f>SUM(C255:C256)</f>
        <v>55490</v>
      </c>
      <c r="D254" s="23"/>
      <c r="E254" s="23"/>
      <c r="F254"/>
      <c r="G254"/>
      <c r="H254"/>
      <c r="I254"/>
      <c r="J254"/>
      <c r="K254"/>
    </row>
    <row r="255" spans="1:11" x14ac:dyDescent="0.25">
      <c r="A255" s="72" t="s">
        <v>481</v>
      </c>
      <c r="B255" s="12" t="s">
        <v>482</v>
      </c>
      <c r="C255" s="24">
        <v>12740</v>
      </c>
      <c r="D255" s="72"/>
      <c r="E255" s="72"/>
      <c r="F255"/>
      <c r="G255"/>
      <c r="H255"/>
      <c r="I255"/>
      <c r="J255"/>
      <c r="K255"/>
    </row>
    <row r="256" spans="1:11" x14ac:dyDescent="0.25">
      <c r="A256" s="72" t="s">
        <v>186</v>
      </c>
      <c r="B256" s="43" t="s">
        <v>599</v>
      </c>
      <c r="C256" s="24">
        <v>42750</v>
      </c>
      <c r="D256" s="72"/>
      <c r="E256" s="72"/>
      <c r="F256"/>
      <c r="G256"/>
      <c r="H256"/>
      <c r="I256"/>
      <c r="J256"/>
      <c r="K256"/>
    </row>
    <row r="257" spans="1:11" x14ac:dyDescent="0.25">
      <c r="A257" s="265" t="s">
        <v>124</v>
      </c>
      <c r="B257" s="265" t="s">
        <v>123</v>
      </c>
      <c r="C257" s="31">
        <f>SUM(C258:C260)</f>
        <v>1112160</v>
      </c>
      <c r="D257" s="23"/>
      <c r="E257" s="23"/>
      <c r="F257"/>
      <c r="G257"/>
      <c r="H257"/>
      <c r="I257"/>
      <c r="J257"/>
      <c r="K257"/>
    </row>
    <row r="258" spans="1:11" x14ac:dyDescent="0.25">
      <c r="A258" s="12" t="s">
        <v>230</v>
      </c>
      <c r="B258" s="43" t="s">
        <v>229</v>
      </c>
      <c r="C258" s="24">
        <v>272970</v>
      </c>
      <c r="D258" s="23"/>
      <c r="E258" s="23"/>
      <c r="F258"/>
      <c r="G258"/>
      <c r="H258"/>
      <c r="I258"/>
      <c r="J258"/>
      <c r="K258"/>
    </row>
    <row r="259" spans="1:11" s="183" customFormat="1" x14ac:dyDescent="0.25">
      <c r="A259" s="12" t="s">
        <v>93</v>
      </c>
      <c r="B259" s="24" t="s">
        <v>72</v>
      </c>
      <c r="C259" s="24">
        <v>768870</v>
      </c>
      <c r="D259" s="24"/>
      <c r="E259" s="24"/>
    </row>
    <row r="260" spans="1:11" s="183" customFormat="1" x14ac:dyDescent="0.25">
      <c r="A260" s="12" t="s">
        <v>610</v>
      </c>
      <c r="B260" s="643" t="s">
        <v>611</v>
      </c>
      <c r="C260" s="24">
        <v>70320</v>
      </c>
      <c r="D260" s="24"/>
      <c r="E260" s="24"/>
    </row>
    <row r="261" spans="1:11" x14ac:dyDescent="0.25">
      <c r="A261" s="265" t="s">
        <v>151</v>
      </c>
      <c r="B261" s="25" t="s">
        <v>133</v>
      </c>
      <c r="C261" s="31">
        <f>SUM(C262:C264)</f>
        <v>748100</v>
      </c>
      <c r="D261" s="23"/>
      <c r="E261" s="23"/>
      <c r="F261"/>
      <c r="G261"/>
      <c r="H261"/>
      <c r="I261"/>
      <c r="J261"/>
      <c r="K261"/>
    </row>
    <row r="262" spans="1:11" x14ac:dyDescent="0.25">
      <c r="A262" s="72" t="s">
        <v>483</v>
      </c>
      <c r="B262" s="12" t="s">
        <v>65</v>
      </c>
      <c r="C262" s="24">
        <v>118700</v>
      </c>
      <c r="D262" s="23"/>
      <c r="E262" s="23"/>
      <c r="F262"/>
      <c r="G262"/>
      <c r="H262"/>
      <c r="I262"/>
      <c r="J262"/>
      <c r="K262"/>
    </row>
    <row r="263" spans="1:11" x14ac:dyDescent="0.25">
      <c r="A263" s="72" t="s">
        <v>154</v>
      </c>
      <c r="B263" s="23" t="s">
        <v>125</v>
      </c>
      <c r="C263" s="24">
        <v>594400</v>
      </c>
      <c r="D263" s="23"/>
      <c r="E263" s="23"/>
      <c r="F263"/>
      <c r="G263"/>
      <c r="H263"/>
      <c r="I263"/>
      <c r="J263"/>
      <c r="K263"/>
    </row>
    <row r="264" spans="1:11" s="66" customFormat="1" ht="13" x14ac:dyDescent="0.3">
      <c r="A264" s="72" t="s">
        <v>699</v>
      </c>
      <c r="B264" s="43" t="s">
        <v>698</v>
      </c>
      <c r="C264" s="60">
        <v>35000</v>
      </c>
      <c r="D264" s="68"/>
      <c r="E264" s="68"/>
      <c r="F264" s="68"/>
    </row>
    <row r="265" spans="1:11" ht="13" thickBot="1" x14ac:dyDescent="0.3">
      <c r="A265" s="72"/>
      <c r="B265" s="23"/>
      <c r="C265" s="23"/>
      <c r="D265" s="23"/>
      <c r="E265" s="23"/>
      <c r="F265"/>
      <c r="G265"/>
      <c r="H265"/>
      <c r="I265"/>
      <c r="J265"/>
      <c r="K265"/>
    </row>
    <row r="266" spans="1:11" ht="13" thickBot="1" x14ac:dyDescent="0.3">
      <c r="A266" s="1096" t="s">
        <v>3</v>
      </c>
      <c r="B266" s="1097"/>
      <c r="C266" s="668">
        <f>+C267+C272+C275+C277+C270</f>
        <v>3110400</v>
      </c>
      <c r="D266" s="23"/>
      <c r="E266" s="23"/>
      <c r="F266"/>
      <c r="G266"/>
      <c r="H266"/>
      <c r="I266"/>
      <c r="J266"/>
      <c r="K266"/>
    </row>
    <row r="267" spans="1:11" x14ac:dyDescent="0.25">
      <c r="A267" s="11" t="s">
        <v>120</v>
      </c>
      <c r="B267" s="11" t="s">
        <v>121</v>
      </c>
      <c r="C267" s="25">
        <f>SUM(C268:C269)</f>
        <v>437650</v>
      </c>
      <c r="D267" s="23"/>
      <c r="E267" s="23"/>
      <c r="F267"/>
      <c r="G267"/>
      <c r="H267"/>
      <c r="I267"/>
      <c r="J267"/>
      <c r="K267"/>
    </row>
    <row r="268" spans="1:11" x14ac:dyDescent="0.25">
      <c r="A268" s="72" t="s">
        <v>484</v>
      </c>
      <c r="B268" s="12" t="s">
        <v>485</v>
      </c>
      <c r="C268" s="24">
        <v>13340</v>
      </c>
      <c r="D268" s="72"/>
      <c r="E268" s="72"/>
      <c r="F268"/>
      <c r="G268"/>
      <c r="H268"/>
      <c r="I268"/>
      <c r="J268"/>
      <c r="K268"/>
    </row>
    <row r="269" spans="1:11" x14ac:dyDescent="0.25">
      <c r="A269" s="12" t="s">
        <v>136</v>
      </c>
      <c r="B269" s="12" t="s">
        <v>71</v>
      </c>
      <c r="C269" s="24">
        <v>424310</v>
      </c>
      <c r="D269" s="96"/>
      <c r="E269" s="31"/>
      <c r="F269"/>
      <c r="G269"/>
      <c r="H269"/>
      <c r="I269"/>
      <c r="J269"/>
      <c r="K269"/>
    </row>
    <row r="270" spans="1:11" x14ac:dyDescent="0.25">
      <c r="A270" s="11" t="s">
        <v>274</v>
      </c>
      <c r="B270" s="11" t="s">
        <v>275</v>
      </c>
      <c r="C270" s="31">
        <f>SUM(C271)</f>
        <v>411250</v>
      </c>
      <c r="D270" s="96"/>
      <c r="E270" s="31"/>
      <c r="F270"/>
      <c r="G270"/>
      <c r="H270"/>
      <c r="I270"/>
      <c r="J270"/>
      <c r="K270"/>
    </row>
    <row r="271" spans="1:11" x14ac:dyDescent="0.25">
      <c r="A271" s="12" t="s">
        <v>280</v>
      </c>
      <c r="B271" s="12" t="s">
        <v>281</v>
      </c>
      <c r="C271" s="24">
        <v>411250</v>
      </c>
      <c r="D271" s="96"/>
      <c r="E271" s="31"/>
      <c r="F271"/>
      <c r="G271"/>
      <c r="H271"/>
      <c r="I271"/>
      <c r="J271"/>
      <c r="K271"/>
    </row>
    <row r="272" spans="1:11" x14ac:dyDescent="0.25">
      <c r="A272" s="11" t="s">
        <v>112</v>
      </c>
      <c r="B272" s="11" t="s">
        <v>157</v>
      </c>
      <c r="C272" s="31">
        <f>SUM(C273:C274)</f>
        <v>358600</v>
      </c>
      <c r="D272" s="22"/>
      <c r="E272" s="31"/>
      <c r="F272"/>
      <c r="G272"/>
      <c r="H272"/>
      <c r="I272"/>
      <c r="J272"/>
      <c r="K272"/>
    </row>
    <row r="273" spans="1:11" x14ac:dyDescent="0.25">
      <c r="A273" s="12" t="s">
        <v>138</v>
      </c>
      <c r="B273" s="59" t="s">
        <v>878</v>
      </c>
      <c r="C273" s="24">
        <v>7600</v>
      </c>
      <c r="D273" s="23"/>
      <c r="E273" s="23"/>
      <c r="F273"/>
      <c r="G273"/>
      <c r="H273"/>
      <c r="I273"/>
      <c r="J273"/>
      <c r="K273"/>
    </row>
    <row r="274" spans="1:11" x14ac:dyDescent="0.25">
      <c r="A274" s="72" t="s">
        <v>156</v>
      </c>
      <c r="B274" s="24" t="s">
        <v>87</v>
      </c>
      <c r="C274" s="24">
        <v>351000</v>
      </c>
      <c r="D274"/>
      <c r="E274" s="72"/>
      <c r="F274"/>
      <c r="G274" s="12"/>
      <c r="H274"/>
      <c r="I274"/>
      <c r="J274"/>
      <c r="K274"/>
    </row>
    <row r="275" spans="1:11" ht="13" x14ac:dyDescent="0.25">
      <c r="A275" s="11" t="s">
        <v>132</v>
      </c>
      <c r="B275" s="31" t="s">
        <v>56</v>
      </c>
      <c r="C275" s="31">
        <f>SUM(C276)</f>
        <v>19600</v>
      </c>
      <c r="D275" s="24"/>
      <c r="E275" s="120"/>
      <c r="F275"/>
      <c r="G275"/>
      <c r="H275"/>
      <c r="I275"/>
      <c r="J275"/>
      <c r="K275"/>
    </row>
    <row r="276" spans="1:11" ht="13" x14ac:dyDescent="0.25">
      <c r="A276" s="12" t="s">
        <v>55</v>
      </c>
      <c r="B276" s="24" t="s">
        <v>56</v>
      </c>
      <c r="C276" s="24">
        <v>19600</v>
      </c>
      <c r="D276" s="24"/>
      <c r="E276" s="120"/>
      <c r="F276"/>
      <c r="G276"/>
      <c r="H276"/>
      <c r="I276"/>
      <c r="J276"/>
      <c r="K276"/>
    </row>
    <row r="277" spans="1:11" x14ac:dyDescent="0.25">
      <c r="A277" s="11" t="s">
        <v>115</v>
      </c>
      <c r="B277" s="31" t="s">
        <v>8</v>
      </c>
      <c r="C277" s="31">
        <f>SUM(C278:C280)</f>
        <v>1883300</v>
      </c>
      <c r="D277" s="23"/>
      <c r="E277" s="23"/>
      <c r="F277"/>
      <c r="G277"/>
      <c r="H277"/>
      <c r="I277"/>
      <c r="J277"/>
      <c r="K277"/>
    </row>
    <row r="278" spans="1:11" ht="13" x14ac:dyDescent="0.25">
      <c r="A278" s="12" t="s">
        <v>89</v>
      </c>
      <c r="B278" s="24" t="s">
        <v>8</v>
      </c>
      <c r="C278" s="24">
        <v>1435300</v>
      </c>
      <c r="D278" s="24"/>
      <c r="E278" s="120"/>
      <c r="F278"/>
      <c r="G278"/>
      <c r="H278"/>
      <c r="I278"/>
      <c r="J278"/>
      <c r="K278"/>
    </row>
    <row r="279" spans="1:11" ht="13" x14ac:dyDescent="0.25">
      <c r="A279" s="12" t="s">
        <v>181</v>
      </c>
      <c r="B279" s="24" t="s">
        <v>50</v>
      </c>
      <c r="C279" s="24">
        <v>10000</v>
      </c>
      <c r="D279" s="120"/>
      <c r="E279" s="120"/>
      <c r="F279"/>
      <c r="G279"/>
      <c r="H279"/>
      <c r="I279"/>
      <c r="J279"/>
      <c r="K279"/>
    </row>
    <row r="280" spans="1:11" ht="13" x14ac:dyDescent="0.25">
      <c r="A280" s="12" t="s">
        <v>90</v>
      </c>
      <c r="B280" s="24" t="s">
        <v>7</v>
      </c>
      <c r="C280" s="24">
        <v>438000</v>
      </c>
      <c r="D280" s="31"/>
      <c r="E280" s="38"/>
      <c r="F280"/>
      <c r="G280"/>
      <c r="H280"/>
      <c r="I280"/>
      <c r="J280"/>
      <c r="K280"/>
    </row>
    <row r="281" spans="1:11" ht="13" thickBot="1" x14ac:dyDescent="0.3">
      <c r="A281" s="12"/>
      <c r="B281" s="12"/>
      <c r="C281" s="24"/>
      <c r="D281" s="24"/>
      <c r="E281" s="23"/>
      <c r="F281"/>
      <c r="G281"/>
      <c r="H281"/>
      <c r="I281"/>
      <c r="J281"/>
      <c r="K281"/>
    </row>
    <row r="282" spans="1:11" ht="13" thickBot="1" x14ac:dyDescent="0.3">
      <c r="A282" s="1100" t="s">
        <v>4</v>
      </c>
      <c r="B282" s="1101"/>
      <c r="C282" s="670">
        <f>+C283+C286+C288</f>
        <v>286800</v>
      </c>
      <c r="D282" s="23"/>
      <c r="E282" s="23"/>
      <c r="F282"/>
      <c r="G282"/>
      <c r="H282"/>
      <c r="I282"/>
      <c r="J282"/>
      <c r="K282"/>
    </row>
    <row r="283" spans="1:11" x14ac:dyDescent="0.25">
      <c r="A283" s="265" t="s">
        <v>179</v>
      </c>
      <c r="B283" s="298" t="s">
        <v>178</v>
      </c>
      <c r="C283" s="32">
        <f>SUM(C284:C285)</f>
        <v>243800</v>
      </c>
      <c r="D283" s="79"/>
      <c r="E283" s="25"/>
      <c r="F283"/>
      <c r="G283"/>
      <c r="H283"/>
      <c r="I283"/>
      <c r="J283"/>
      <c r="K283"/>
    </row>
    <row r="284" spans="1:11" x14ac:dyDescent="0.25">
      <c r="A284" s="72" t="s">
        <v>486</v>
      </c>
      <c r="B284" s="12" t="s">
        <v>487</v>
      </c>
      <c r="C284" s="24">
        <v>163800</v>
      </c>
      <c r="D284" s="72"/>
      <c r="E284" s="122"/>
      <c r="F284"/>
      <c r="G284"/>
      <c r="H284"/>
      <c r="I284"/>
      <c r="J284"/>
      <c r="K284"/>
    </row>
    <row r="285" spans="1:11" s="306" customFormat="1" ht="13.5" customHeight="1" x14ac:dyDescent="0.25">
      <c r="A285" s="686" t="s">
        <v>173</v>
      </c>
      <c r="B285" s="686" t="s">
        <v>758</v>
      </c>
      <c r="C285" s="687">
        <v>80000</v>
      </c>
      <c r="D285" s="302"/>
      <c r="E285" s="300"/>
      <c r="F285" s="689"/>
      <c r="I285" s="307"/>
    </row>
    <row r="286" spans="1:11" x14ac:dyDescent="0.25">
      <c r="A286" s="265" t="s">
        <v>116</v>
      </c>
      <c r="B286" s="298" t="s">
        <v>117</v>
      </c>
      <c r="C286" s="31">
        <f>SUM(C287)</f>
        <v>28000</v>
      </c>
      <c r="D286" s="78"/>
      <c r="E286" s="78"/>
      <c r="F286"/>
      <c r="G286"/>
      <c r="H286"/>
      <c r="I286"/>
      <c r="J286"/>
      <c r="K286"/>
    </row>
    <row r="287" spans="1:11" x14ac:dyDescent="0.25">
      <c r="A287" s="72" t="s">
        <v>162</v>
      </c>
      <c r="B287" s="23" t="s">
        <v>163</v>
      </c>
      <c r="C287" s="24">
        <v>28000</v>
      </c>
      <c r="D287" s="78"/>
      <c r="E287" s="25"/>
      <c r="F287"/>
      <c r="G287"/>
      <c r="H287"/>
      <c r="I287"/>
      <c r="J287"/>
      <c r="K287"/>
    </row>
    <row r="288" spans="1:11" x14ac:dyDescent="0.25">
      <c r="A288" s="265" t="s">
        <v>166</v>
      </c>
      <c r="B288" s="25" t="s">
        <v>135</v>
      </c>
      <c r="C288" s="31">
        <f>SUM(C289)</f>
        <v>15000</v>
      </c>
      <c r="D288" s="78"/>
      <c r="E288" s="25"/>
      <c r="F288"/>
      <c r="G288"/>
      <c r="H288"/>
      <c r="I288"/>
      <c r="J288"/>
      <c r="K288"/>
    </row>
    <row r="289" spans="1:11" x14ac:dyDescent="0.25">
      <c r="A289" s="72" t="s">
        <v>167</v>
      </c>
      <c r="B289" s="23" t="s">
        <v>51</v>
      </c>
      <c r="C289" s="24">
        <v>15000</v>
      </c>
      <c r="D289" s="78"/>
      <c r="E289" s="25"/>
      <c r="F289"/>
      <c r="G289"/>
      <c r="H289"/>
      <c r="I289"/>
      <c r="J289"/>
      <c r="K289"/>
    </row>
    <row r="290" spans="1:11" x14ac:dyDescent="0.25">
      <c r="A290" s="72"/>
      <c r="B290" s="23"/>
      <c r="C290" s="24"/>
      <c r="D290" s="78"/>
      <c r="E290" s="25"/>
      <c r="F290"/>
      <c r="G290"/>
      <c r="H290"/>
      <c r="I290"/>
      <c r="J290"/>
      <c r="K290"/>
    </row>
    <row r="291" spans="1:11" ht="13" thickBot="1" x14ac:dyDescent="0.3">
      <c r="A291" s="72"/>
      <c r="B291" s="23"/>
      <c r="C291" s="24"/>
      <c r="D291" s="78"/>
      <c r="E291" s="25"/>
      <c r="F291"/>
      <c r="G291"/>
      <c r="H291"/>
      <c r="I291"/>
      <c r="J291"/>
      <c r="K291"/>
    </row>
    <row r="292" spans="1:11" ht="13" x14ac:dyDescent="0.25">
      <c r="A292" s="1117" t="s">
        <v>947</v>
      </c>
      <c r="B292" s="1118"/>
      <c r="C292" s="1119"/>
      <c r="D292" s="719" t="s">
        <v>6</v>
      </c>
      <c r="E292" s="927">
        <v>1205</v>
      </c>
      <c r="F292"/>
      <c r="G292"/>
      <c r="H292"/>
      <c r="I292"/>
      <c r="J292"/>
      <c r="K292"/>
    </row>
    <row r="293" spans="1:11" ht="13.5" thickBot="1" x14ac:dyDescent="0.3">
      <c r="A293" s="1120"/>
      <c r="B293" s="1121"/>
      <c r="C293" s="1122"/>
      <c r="D293" s="720"/>
      <c r="E293" s="721"/>
      <c r="F293"/>
      <c r="G293"/>
      <c r="H293"/>
      <c r="I293"/>
      <c r="J293"/>
      <c r="K293"/>
    </row>
    <row r="294" spans="1:11" x14ac:dyDescent="0.25">
      <c r="A294" s="1123" t="s">
        <v>948</v>
      </c>
      <c r="B294" s="1124"/>
      <c r="C294" s="1124"/>
      <c r="D294" s="1124"/>
      <c r="E294" s="1125"/>
      <c r="F294"/>
      <c r="G294"/>
      <c r="H294"/>
      <c r="I294"/>
      <c r="J294"/>
      <c r="K294"/>
    </row>
    <row r="295" spans="1:11" x14ac:dyDescent="0.25">
      <c r="A295" s="1126"/>
      <c r="B295" s="1127"/>
      <c r="C295" s="1127"/>
      <c r="D295" s="1127"/>
      <c r="E295" s="1128"/>
      <c r="F295"/>
      <c r="G295"/>
      <c r="H295"/>
      <c r="I295"/>
      <c r="J295"/>
      <c r="K295"/>
    </row>
    <row r="296" spans="1:11" x14ac:dyDescent="0.25">
      <c r="A296" s="1126"/>
      <c r="B296" s="1127"/>
      <c r="C296" s="1127"/>
      <c r="D296" s="1127"/>
      <c r="E296" s="1128"/>
      <c r="F296"/>
      <c r="G296"/>
      <c r="H296"/>
      <c r="I296"/>
      <c r="J296"/>
      <c r="K296"/>
    </row>
    <row r="297" spans="1:11" ht="27.75" customHeight="1" thickBot="1" x14ac:dyDescent="0.3">
      <c r="A297" s="1129"/>
      <c r="B297" s="1130"/>
      <c r="C297" s="1130"/>
      <c r="D297" s="1130"/>
      <c r="E297" s="1131"/>
      <c r="F297"/>
      <c r="G297"/>
      <c r="H297"/>
      <c r="I297"/>
      <c r="J297"/>
      <c r="K297"/>
    </row>
    <row r="298" spans="1:11" x14ac:dyDescent="0.25">
      <c r="A298" s="41" t="s">
        <v>1029</v>
      </c>
      <c r="B298" s="12"/>
      <c r="C298" s="143"/>
      <c r="D298" s="71"/>
      <c r="E298" s="141"/>
      <c r="F298"/>
      <c r="G298"/>
      <c r="H298"/>
      <c r="I298"/>
      <c r="J298"/>
      <c r="K298"/>
    </row>
    <row r="299" spans="1:11" x14ac:dyDescent="0.25">
      <c r="A299" s="41" t="s">
        <v>669</v>
      </c>
      <c r="B299" s="12"/>
      <c r="C299" s="143"/>
      <c r="D299" s="71"/>
      <c r="E299" s="141"/>
      <c r="F299"/>
      <c r="G299"/>
      <c r="H299"/>
      <c r="I299"/>
      <c r="J299"/>
      <c r="K299"/>
    </row>
    <row r="300" spans="1:11" x14ac:dyDescent="0.25">
      <c r="A300" s="41" t="s">
        <v>1040</v>
      </c>
      <c r="B300" s="12"/>
      <c r="C300" s="143"/>
      <c r="D300" s="71"/>
      <c r="E300" s="141"/>
      <c r="F300"/>
      <c r="G300"/>
      <c r="H300"/>
      <c r="I300"/>
      <c r="J300"/>
      <c r="K300"/>
    </row>
    <row r="301" spans="1:11" ht="13" thickBot="1" x14ac:dyDescent="0.3">
      <c r="A301" s="76" t="s">
        <v>11</v>
      </c>
      <c r="B301" s="140"/>
      <c r="C301" s="139"/>
      <c r="D301" s="447"/>
      <c r="E301" s="137"/>
      <c r="F301"/>
      <c r="G301"/>
      <c r="H301"/>
      <c r="I301"/>
      <c r="J301"/>
      <c r="K301"/>
    </row>
    <row r="302" spans="1:11" ht="13" thickBot="1" x14ac:dyDescent="0.3">
      <c r="A302" s="762" t="s">
        <v>0</v>
      </c>
      <c r="B302" s="763"/>
      <c r="C302" s="764"/>
      <c r="D302" s="766"/>
      <c r="E302" s="772">
        <f>+C304+C333+C352+D375</f>
        <v>67484998</v>
      </c>
      <c r="F302" s="448"/>
      <c r="G302"/>
      <c r="H302" s="448"/>
      <c r="I302"/>
      <c r="J302"/>
      <c r="K302"/>
    </row>
    <row r="303" spans="1:11" ht="13" thickBot="1" x14ac:dyDescent="0.3">
      <c r="A303" s="12"/>
      <c r="B303" s="12"/>
      <c r="C303" s="24"/>
      <c r="D303" s="24"/>
      <c r="E303" s="24"/>
      <c r="F303"/>
      <c r="G303"/>
      <c r="H303"/>
      <c r="I303"/>
      <c r="J303"/>
      <c r="K303"/>
    </row>
    <row r="304" spans="1:11" ht="13" thickBot="1" x14ac:dyDescent="0.3">
      <c r="A304" s="1104" t="s">
        <v>2</v>
      </c>
      <c r="B304" s="1105"/>
      <c r="C304" s="667">
        <f>C305+C307+C310+C313+C315+C318+C322+C327</f>
        <v>20982968</v>
      </c>
      <c r="D304" s="23"/>
      <c r="E304" s="108"/>
      <c r="F304"/>
      <c r="G304"/>
      <c r="H304"/>
      <c r="I304"/>
      <c r="J304"/>
      <c r="K304"/>
    </row>
    <row r="305" spans="1:11" x14ac:dyDescent="0.25">
      <c r="A305" s="11" t="s">
        <v>103</v>
      </c>
      <c r="B305" s="298" t="s">
        <v>104</v>
      </c>
      <c r="C305" s="32">
        <f>SUM(C306)</f>
        <v>388440</v>
      </c>
      <c r="D305" s="208"/>
      <c r="E305" s="101"/>
      <c r="F305"/>
      <c r="G305"/>
      <c r="H305"/>
      <c r="I305"/>
      <c r="J305"/>
      <c r="K305"/>
    </row>
    <row r="306" spans="1:11" x14ac:dyDescent="0.25">
      <c r="A306" s="12" t="s">
        <v>46</v>
      </c>
      <c r="B306" s="72" t="s">
        <v>45</v>
      </c>
      <c r="C306" s="24">
        <v>388440</v>
      </c>
      <c r="D306" s="96"/>
      <c r="E306" s="31"/>
      <c r="F306"/>
      <c r="G306"/>
      <c r="H306"/>
      <c r="I306"/>
      <c r="J306"/>
      <c r="K306"/>
    </row>
    <row r="307" spans="1:11" x14ac:dyDescent="0.25">
      <c r="A307" s="11" t="s">
        <v>199</v>
      </c>
      <c r="B307" s="265" t="s">
        <v>219</v>
      </c>
      <c r="C307" s="31">
        <f>SUM(C308:C309)</f>
        <v>158520</v>
      </c>
      <c r="D307" s="23"/>
      <c r="E307" s="23"/>
      <c r="F307"/>
      <c r="G307"/>
      <c r="H307"/>
      <c r="I307"/>
      <c r="J307"/>
      <c r="K307"/>
    </row>
    <row r="308" spans="1:11" x14ac:dyDescent="0.25">
      <c r="A308" s="12" t="s">
        <v>197</v>
      </c>
      <c r="B308" s="12" t="s">
        <v>459</v>
      </c>
      <c r="C308" s="24">
        <v>101640</v>
      </c>
      <c r="D308" s="78"/>
      <c r="E308" s="25"/>
      <c r="F308"/>
      <c r="G308"/>
      <c r="H308"/>
      <c r="I308"/>
      <c r="J308"/>
      <c r="K308"/>
    </row>
    <row r="309" spans="1:11" x14ac:dyDescent="0.25">
      <c r="A309" s="12" t="s">
        <v>218</v>
      </c>
      <c r="B309" s="12" t="s">
        <v>217</v>
      </c>
      <c r="C309" s="24">
        <v>56880</v>
      </c>
      <c r="D309" s="78"/>
      <c r="E309" s="25"/>
      <c r="F309"/>
      <c r="G309"/>
      <c r="H309"/>
      <c r="I309"/>
      <c r="J309"/>
      <c r="K309"/>
    </row>
    <row r="310" spans="1:11" x14ac:dyDescent="0.25">
      <c r="A310" s="11" t="s">
        <v>105</v>
      </c>
      <c r="B310" s="265" t="s">
        <v>106</v>
      </c>
      <c r="C310" s="32">
        <f>SUM(C311:C312)</f>
        <v>4356580</v>
      </c>
      <c r="D310" s="96"/>
      <c r="E310" s="131"/>
      <c r="F310"/>
      <c r="G310"/>
      <c r="H310"/>
      <c r="I310"/>
      <c r="J310"/>
      <c r="K310"/>
    </row>
    <row r="311" spans="1:11" ht="13" x14ac:dyDescent="0.3">
      <c r="A311" s="12" t="s">
        <v>86</v>
      </c>
      <c r="B311" s="12" t="s">
        <v>66</v>
      </c>
      <c r="C311" s="24">
        <v>1137700</v>
      </c>
      <c r="D311"/>
      <c r="E311" s="23"/>
      <c r="F311" s="551"/>
      <c r="G311" s="23"/>
      <c r="H311"/>
      <c r="I311"/>
      <c r="J311"/>
      <c r="K311"/>
    </row>
    <row r="312" spans="1:11" ht="13" x14ac:dyDescent="0.3">
      <c r="A312" s="12" t="s">
        <v>609</v>
      </c>
      <c r="B312" s="43" t="s">
        <v>608</v>
      </c>
      <c r="C312" s="24">
        <v>3218880</v>
      </c>
      <c r="D312" s="24"/>
      <c r="E312" s="24"/>
      <c r="F312" s="551"/>
      <c r="G312"/>
      <c r="H312"/>
      <c r="I312"/>
      <c r="J312"/>
      <c r="K312"/>
    </row>
    <row r="313" spans="1:11" x14ac:dyDescent="0.25">
      <c r="A313" s="11" t="s">
        <v>107</v>
      </c>
      <c r="B313" s="265" t="s">
        <v>108</v>
      </c>
      <c r="C313" s="32">
        <f>SUM(C314)</f>
        <v>232000</v>
      </c>
      <c r="D313" s="96"/>
      <c r="E313" s="131"/>
      <c r="F313"/>
      <c r="G313"/>
      <c r="H313"/>
      <c r="I313"/>
      <c r="J313"/>
      <c r="K313"/>
    </row>
    <row r="314" spans="1:11" x14ac:dyDescent="0.25">
      <c r="A314" s="12" t="s">
        <v>47</v>
      </c>
      <c r="B314" s="23" t="s">
        <v>48</v>
      </c>
      <c r="C314" s="24">
        <v>232000</v>
      </c>
      <c r="D314" s="23"/>
      <c r="E314" s="23"/>
      <c r="F314"/>
      <c r="G314"/>
      <c r="H314"/>
      <c r="I314"/>
      <c r="J314"/>
      <c r="K314"/>
    </row>
    <row r="315" spans="1:11" x14ac:dyDescent="0.25">
      <c r="A315" s="11" t="s">
        <v>195</v>
      </c>
      <c r="B315" s="25" t="s">
        <v>194</v>
      </c>
      <c r="C315" s="31">
        <f>SUM(C316:C317)</f>
        <v>9387230</v>
      </c>
      <c r="D315" s="23"/>
      <c r="E315" s="23"/>
      <c r="F315"/>
      <c r="G315"/>
      <c r="H315"/>
      <c r="I315"/>
      <c r="J315"/>
      <c r="K315"/>
    </row>
    <row r="316" spans="1:11" x14ac:dyDescent="0.25">
      <c r="A316" s="12" t="s">
        <v>193</v>
      </c>
      <c r="B316" s="72" t="s">
        <v>215</v>
      </c>
      <c r="C316" s="24">
        <v>4260500</v>
      </c>
      <c r="D316" s="23"/>
      <c r="E316" s="23"/>
      <c r="F316"/>
      <c r="G316"/>
      <c r="H316"/>
      <c r="I316"/>
      <c r="J316"/>
      <c r="K316"/>
    </row>
    <row r="317" spans="1:11" x14ac:dyDescent="0.25">
      <c r="A317" s="12" t="s">
        <v>214</v>
      </c>
      <c r="B317" s="12" t="s">
        <v>213</v>
      </c>
      <c r="C317" s="24">
        <v>5126730</v>
      </c>
      <c r="D317"/>
      <c r="E317" s="24"/>
      <c r="F317" s="96"/>
      <c r="G317"/>
      <c r="H317"/>
      <c r="I317"/>
      <c r="J317"/>
      <c r="K317"/>
    </row>
    <row r="318" spans="1:11" x14ac:dyDescent="0.25">
      <c r="A318" s="265" t="s">
        <v>119</v>
      </c>
      <c r="B318" s="25" t="s">
        <v>109</v>
      </c>
      <c r="C318" s="31">
        <f>SUM(C319:C321)</f>
        <v>993598</v>
      </c>
      <c r="D318" s="23"/>
      <c r="E318" s="23"/>
      <c r="F318"/>
      <c r="G318"/>
      <c r="H318"/>
      <c r="I318"/>
      <c r="J318"/>
      <c r="K318"/>
    </row>
    <row r="319" spans="1:11" x14ac:dyDescent="0.25">
      <c r="A319" s="72" t="s">
        <v>190</v>
      </c>
      <c r="B319" s="23" t="s">
        <v>189</v>
      </c>
      <c r="C319" s="24">
        <v>131790</v>
      </c>
      <c r="D319" s="23"/>
      <c r="E319" s="23"/>
      <c r="F319"/>
      <c r="G319"/>
      <c r="H319"/>
      <c r="I319"/>
      <c r="J319"/>
      <c r="K319"/>
    </row>
    <row r="320" spans="1:11" x14ac:dyDescent="0.25">
      <c r="A320" s="72" t="s">
        <v>188</v>
      </c>
      <c r="B320" s="23" t="s">
        <v>187</v>
      </c>
      <c r="C320" s="24">
        <v>794200</v>
      </c>
      <c r="D320" s="23"/>
      <c r="E320" s="23"/>
      <c r="F320"/>
      <c r="G320"/>
      <c r="H320"/>
      <c r="I320"/>
      <c r="J320"/>
      <c r="K320"/>
    </row>
    <row r="321" spans="1:11" x14ac:dyDescent="0.25">
      <c r="A321" s="72" t="s">
        <v>186</v>
      </c>
      <c r="B321" s="23" t="s">
        <v>264</v>
      </c>
      <c r="C321" s="24">
        <v>67608</v>
      </c>
      <c r="D321" s="23"/>
      <c r="E321" s="23"/>
      <c r="F321"/>
      <c r="G321"/>
      <c r="H321"/>
      <c r="I321"/>
      <c r="J321"/>
      <c r="K321"/>
    </row>
    <row r="322" spans="1:11" x14ac:dyDescent="0.25">
      <c r="A322" s="265" t="s">
        <v>124</v>
      </c>
      <c r="B322" s="265" t="s">
        <v>123</v>
      </c>
      <c r="C322" s="31">
        <f>SUM(C323:C326)</f>
        <v>2802520</v>
      </c>
      <c r="D322" s="23"/>
      <c r="E322" s="23"/>
      <c r="F322"/>
      <c r="G322"/>
      <c r="H322"/>
      <c r="I322"/>
      <c r="J322"/>
      <c r="K322"/>
    </row>
    <row r="323" spans="1:11" x14ac:dyDescent="0.25">
      <c r="A323" s="12" t="s">
        <v>265</v>
      </c>
      <c r="B323" s="24" t="s">
        <v>266</v>
      </c>
      <c r="C323" s="24">
        <f>214500-100000</f>
        <v>114500</v>
      </c>
      <c r="D323" s="23"/>
      <c r="E323" s="23"/>
      <c r="F323"/>
      <c r="G323" s="183"/>
      <c r="H323" s="183"/>
      <c r="I323" s="183"/>
      <c r="J323"/>
      <c r="K323"/>
    </row>
    <row r="324" spans="1:11" s="183" customFormat="1" x14ac:dyDescent="0.25">
      <c r="A324" s="12" t="s">
        <v>242</v>
      </c>
      <c r="B324" s="24" t="s">
        <v>243</v>
      </c>
      <c r="C324" s="24">
        <v>127210</v>
      </c>
      <c r="D324" s="24"/>
      <c r="E324" s="24"/>
    </row>
    <row r="325" spans="1:11" x14ac:dyDescent="0.25">
      <c r="A325" s="12" t="s">
        <v>93</v>
      </c>
      <c r="B325" s="24" t="s">
        <v>72</v>
      </c>
      <c r="C325" s="24">
        <v>696370</v>
      </c>
      <c r="D325"/>
      <c r="E325" s="24"/>
      <c r="F325"/>
      <c r="G325" s="24"/>
      <c r="H325" s="183"/>
      <c r="I325" s="183"/>
      <c r="J325"/>
      <c r="K325"/>
    </row>
    <row r="326" spans="1:11" x14ac:dyDescent="0.25">
      <c r="A326" s="12" t="s">
        <v>610</v>
      </c>
      <c r="B326" s="43" t="s">
        <v>611</v>
      </c>
      <c r="C326" s="24">
        <v>1864440</v>
      </c>
      <c r="D326" s="24"/>
      <c r="E326" s="24"/>
      <c r="F326"/>
      <c r="G326" s="183"/>
      <c r="H326" s="183"/>
      <c r="I326" s="183"/>
      <c r="J326"/>
      <c r="K326"/>
    </row>
    <row r="327" spans="1:11" x14ac:dyDescent="0.25">
      <c r="A327" s="265" t="s">
        <v>151</v>
      </c>
      <c r="B327" s="25" t="s">
        <v>133</v>
      </c>
      <c r="C327" s="31">
        <f>SUM(C328:C331)</f>
        <v>2664080</v>
      </c>
      <c r="D327" s="23"/>
      <c r="E327" s="23"/>
      <c r="F327"/>
      <c r="G327"/>
      <c r="H327"/>
      <c r="I327"/>
      <c r="J327"/>
      <c r="K327"/>
    </row>
    <row r="328" spans="1:11" s="5" customFormat="1" ht="13" x14ac:dyDescent="0.25">
      <c r="A328" s="72" t="s">
        <v>152</v>
      </c>
      <c r="B328" s="23" t="s">
        <v>65</v>
      </c>
      <c r="C328" s="24">
        <v>48570</v>
      </c>
      <c r="D328" s="96"/>
      <c r="E328" s="25"/>
      <c r="F328" s="101"/>
      <c r="G328" s="96"/>
    </row>
    <row r="329" spans="1:11" x14ac:dyDescent="0.25">
      <c r="A329" s="72" t="s">
        <v>210</v>
      </c>
      <c r="B329" s="23" t="s">
        <v>209</v>
      </c>
      <c r="C329" s="24">
        <v>2163240</v>
      </c>
      <c r="D329" s="79"/>
      <c r="E329" s="25"/>
      <c r="F329"/>
      <c r="G329"/>
      <c r="H329"/>
      <c r="I329"/>
      <c r="J329"/>
      <c r="K329"/>
    </row>
    <row r="330" spans="1:11" s="66" customFormat="1" ht="13" x14ac:dyDescent="0.3">
      <c r="A330" s="70" t="s">
        <v>153</v>
      </c>
      <c r="B330" s="70" t="s">
        <v>225</v>
      </c>
      <c r="C330" s="60">
        <v>313120</v>
      </c>
      <c r="D330" s="68"/>
      <c r="E330" s="68"/>
      <c r="F330" s="68"/>
    </row>
    <row r="331" spans="1:11" s="183" customFormat="1" x14ac:dyDescent="0.25">
      <c r="A331" s="12" t="s">
        <v>154</v>
      </c>
      <c r="B331" s="24" t="s">
        <v>125</v>
      </c>
      <c r="C331" s="24">
        <v>139150</v>
      </c>
      <c r="D331" s="24"/>
      <c r="E331" s="24"/>
    </row>
    <row r="332" spans="1:11" s="183" customFormat="1" ht="13" thickBot="1" x14ac:dyDescent="0.3">
      <c r="A332" s="12"/>
      <c r="B332" s="24"/>
      <c r="C332" s="24"/>
      <c r="D332" s="24"/>
      <c r="E332" s="24"/>
    </row>
    <row r="333" spans="1:11" ht="13" thickBot="1" x14ac:dyDescent="0.3">
      <c r="A333" s="1096" t="s">
        <v>3</v>
      </c>
      <c r="B333" s="1097"/>
      <c r="C333" s="668">
        <f>C334+C337+C341+C344+C346</f>
        <v>36402870</v>
      </c>
      <c r="D333" s="23"/>
      <c r="E333" s="23"/>
      <c r="F333"/>
      <c r="G333"/>
      <c r="H333"/>
      <c r="I333"/>
      <c r="J333"/>
      <c r="K333"/>
    </row>
    <row r="334" spans="1:11" x14ac:dyDescent="0.25">
      <c r="A334" s="11" t="s">
        <v>110</v>
      </c>
      <c r="B334" s="298" t="s">
        <v>111</v>
      </c>
      <c r="C334" s="32">
        <f>SUM(C335:C336)</f>
        <v>5382170</v>
      </c>
      <c r="D334" s="96"/>
      <c r="E334" s="96"/>
      <c r="F334"/>
      <c r="G334"/>
      <c r="H334"/>
      <c r="I334"/>
      <c r="J334"/>
      <c r="K334"/>
    </row>
    <row r="335" spans="1:11" x14ac:dyDescent="0.25">
      <c r="A335" s="12" t="s">
        <v>160</v>
      </c>
      <c r="B335" s="101" t="s">
        <v>251</v>
      </c>
      <c r="C335" s="22">
        <v>5267170</v>
      </c>
      <c r="D335"/>
      <c r="E335" s="96"/>
      <c r="F335"/>
      <c r="G335" s="23"/>
      <c r="H335"/>
      <c r="I335"/>
      <c r="J335"/>
      <c r="K335"/>
    </row>
    <row r="336" spans="1:11" x14ac:dyDescent="0.25">
      <c r="A336" s="12" t="s">
        <v>52</v>
      </c>
      <c r="B336" s="12" t="s">
        <v>15</v>
      </c>
      <c r="C336" s="24">
        <v>115000</v>
      </c>
      <c r="D336"/>
      <c r="E336" s="23"/>
      <c r="F336"/>
      <c r="G336" s="23"/>
      <c r="H336"/>
      <c r="I336"/>
      <c r="J336"/>
      <c r="K336"/>
    </row>
    <row r="337" spans="1:11" x14ac:dyDescent="0.25">
      <c r="A337" s="11" t="s">
        <v>120</v>
      </c>
      <c r="B337" s="11" t="s">
        <v>121</v>
      </c>
      <c r="C337" s="31">
        <f>SUM(C338:C340)</f>
        <v>752040</v>
      </c>
      <c r="D337" s="23"/>
      <c r="E337" s="23"/>
      <c r="F337"/>
      <c r="G337"/>
      <c r="H337"/>
      <c r="I337"/>
      <c r="J337"/>
      <c r="K337"/>
    </row>
    <row r="338" spans="1:11" ht="13" x14ac:dyDescent="0.25">
      <c r="A338" s="12" t="s">
        <v>183</v>
      </c>
      <c r="B338" s="12" t="s">
        <v>182</v>
      </c>
      <c r="C338" s="24">
        <v>468500</v>
      </c>
      <c r="D338" s="24"/>
      <c r="E338" s="120"/>
      <c r="F338"/>
      <c r="G338"/>
      <c r="H338"/>
      <c r="I338"/>
      <c r="J338"/>
      <c r="K338"/>
    </row>
    <row r="339" spans="1:11" s="128" customFormat="1" ht="13.5" customHeight="1" x14ac:dyDescent="0.25">
      <c r="A339" s="12" t="s">
        <v>208</v>
      </c>
      <c r="B339" s="12" t="s">
        <v>207</v>
      </c>
      <c r="C339" s="303">
        <v>17640</v>
      </c>
      <c r="D339" s="293"/>
      <c r="E339" s="303"/>
      <c r="F339" s="265"/>
      <c r="I339" s="276"/>
    </row>
    <row r="340" spans="1:11" x14ac:dyDescent="0.25">
      <c r="A340" s="12" t="s">
        <v>136</v>
      </c>
      <c r="B340" s="12" t="s">
        <v>71</v>
      </c>
      <c r="C340" s="24">
        <v>265900</v>
      </c>
      <c r="D340" s="78"/>
      <c r="E340" s="25"/>
      <c r="F340"/>
      <c r="G340"/>
      <c r="H340"/>
      <c r="I340"/>
      <c r="J340"/>
      <c r="K340"/>
    </row>
    <row r="341" spans="1:11" x14ac:dyDescent="0.25">
      <c r="A341" s="11" t="s">
        <v>112</v>
      </c>
      <c r="B341" s="11" t="s">
        <v>157</v>
      </c>
      <c r="C341" s="31">
        <f>SUM(C342:C343)</f>
        <v>1418800</v>
      </c>
      <c r="D341" s="78"/>
      <c r="E341" s="25"/>
      <c r="F341"/>
      <c r="G341"/>
      <c r="H341"/>
      <c r="I341"/>
      <c r="J341"/>
      <c r="K341"/>
    </row>
    <row r="342" spans="1:11" x14ac:dyDescent="0.25">
      <c r="A342" s="12" t="s">
        <v>138</v>
      </c>
      <c r="B342" s="59" t="s">
        <v>878</v>
      </c>
      <c r="C342" s="24">
        <v>18400</v>
      </c>
      <c r="D342" s="151"/>
      <c r="E342" s="552"/>
      <c r="F342" s="183"/>
      <c r="G342"/>
      <c r="H342"/>
      <c r="I342"/>
      <c r="J342"/>
      <c r="K342"/>
    </row>
    <row r="343" spans="1:11" x14ac:dyDescent="0.25">
      <c r="A343" s="12" t="s">
        <v>156</v>
      </c>
      <c r="B343" s="24" t="s">
        <v>87</v>
      </c>
      <c r="C343" s="24">
        <v>1400400</v>
      </c>
      <c r="D343"/>
      <c r="E343" s="22"/>
      <c r="F343" s="183"/>
      <c r="G343" s="552"/>
      <c r="H343"/>
      <c r="I343"/>
      <c r="J343"/>
      <c r="K343"/>
    </row>
    <row r="344" spans="1:11" x14ac:dyDescent="0.25">
      <c r="A344" s="11" t="s">
        <v>113</v>
      </c>
      <c r="B344" s="31" t="s">
        <v>114</v>
      </c>
      <c r="C344" s="31">
        <f>SUM(C345)</f>
        <v>30000</v>
      </c>
      <c r="D344" s="552"/>
      <c r="E344" s="552"/>
      <c r="F344" s="183"/>
      <c r="G344"/>
      <c r="H344"/>
      <c r="I344"/>
      <c r="J344"/>
      <c r="K344"/>
    </row>
    <row r="345" spans="1:11" x14ac:dyDescent="0.25">
      <c r="A345" s="12" t="s">
        <v>88</v>
      </c>
      <c r="B345" s="24" t="s">
        <v>64</v>
      </c>
      <c r="C345" s="24">
        <v>30000</v>
      </c>
      <c r="D345" s="553"/>
      <c r="E345" s="552"/>
      <c r="F345" s="183"/>
      <c r="G345"/>
      <c r="H345"/>
      <c r="I345"/>
      <c r="J345"/>
      <c r="K345"/>
    </row>
    <row r="346" spans="1:11" ht="14" x14ac:dyDescent="0.3">
      <c r="A346" s="11" t="s">
        <v>115</v>
      </c>
      <c r="B346" s="31" t="s">
        <v>8</v>
      </c>
      <c r="C346" s="31">
        <f>SUM(C347:C350)</f>
        <v>28819860</v>
      </c>
      <c r="D346" s="324"/>
      <c r="E346" s="554"/>
      <c r="F346" s="183"/>
      <c r="G346" s="151"/>
      <c r="H346" s="151"/>
      <c r="I346" s="151"/>
      <c r="J346"/>
      <c r="K346"/>
    </row>
    <row r="347" spans="1:11" ht="14" x14ac:dyDescent="0.3">
      <c r="A347" s="12" t="s">
        <v>89</v>
      </c>
      <c r="B347" s="24" t="s">
        <v>8</v>
      </c>
      <c r="C347" s="24">
        <v>5604000</v>
      </c>
      <c r="D347"/>
      <c r="E347" s="554"/>
      <c r="F347" s="183"/>
      <c r="G347" s="552"/>
      <c r="H347" s="151"/>
      <c r="I347" s="151"/>
      <c r="J347"/>
      <c r="K347"/>
    </row>
    <row r="348" spans="1:11" ht="14" x14ac:dyDescent="0.3">
      <c r="A348" s="12" t="s">
        <v>181</v>
      </c>
      <c r="B348" s="24" t="s">
        <v>50</v>
      </c>
      <c r="C348" s="24">
        <v>14250</v>
      </c>
      <c r="D348" s="183"/>
      <c r="E348" s="120"/>
      <c r="F348" s="449"/>
      <c r="G348" s="553"/>
      <c r="H348" s="74"/>
      <c r="I348" s="151"/>
      <c r="J348"/>
      <c r="K348"/>
    </row>
    <row r="349" spans="1:11" ht="13" x14ac:dyDescent="0.25">
      <c r="A349" s="12" t="s">
        <v>205</v>
      </c>
      <c r="B349" s="24" t="s">
        <v>466</v>
      </c>
      <c r="C349" s="24">
        <v>21675400</v>
      </c>
      <c r="D349"/>
      <c r="E349" s="147"/>
      <c r="F349" s="183"/>
      <c r="G349" s="324"/>
      <c r="H349" s="183"/>
      <c r="I349"/>
      <c r="J349"/>
      <c r="K349"/>
    </row>
    <row r="350" spans="1:11" ht="13" x14ac:dyDescent="0.25">
      <c r="A350" s="12" t="s">
        <v>90</v>
      </c>
      <c r="B350" s="24" t="s">
        <v>7</v>
      </c>
      <c r="C350" s="24">
        <v>1526210</v>
      </c>
      <c r="D350"/>
      <c r="E350" s="38"/>
      <c r="F350" s="183"/>
      <c r="G350" s="324"/>
      <c r="H350"/>
      <c r="I350"/>
      <c r="J350"/>
      <c r="K350"/>
    </row>
    <row r="351" spans="1:11" s="121" customFormat="1" ht="13" thickBot="1" x14ac:dyDescent="0.3">
      <c r="A351" s="12"/>
      <c r="B351" s="12"/>
      <c r="C351" s="24"/>
      <c r="D351" s="24"/>
      <c r="G351" s="187"/>
    </row>
    <row r="352" spans="1:11" ht="13" thickBot="1" x14ac:dyDescent="0.3">
      <c r="A352" s="1100" t="s">
        <v>4</v>
      </c>
      <c r="B352" s="1101"/>
      <c r="C352" s="670">
        <f>C353+C357+C361</f>
        <v>2852610</v>
      </c>
      <c r="D352" s="23"/>
      <c r="E352" s="24"/>
      <c r="F352" s="183"/>
      <c r="G352"/>
      <c r="H352"/>
      <c r="I352"/>
      <c r="J352"/>
      <c r="K352"/>
    </row>
    <row r="353" spans="1:11" x14ac:dyDescent="0.25">
      <c r="A353" s="265" t="s">
        <v>179</v>
      </c>
      <c r="B353" s="298" t="s">
        <v>178</v>
      </c>
      <c r="C353" s="32">
        <f>SUM(C354:C356)</f>
        <v>1988000</v>
      </c>
      <c r="D353" s="79"/>
      <c r="E353" s="25"/>
      <c r="F353"/>
      <c r="G353"/>
      <c r="H353"/>
      <c r="I353"/>
      <c r="J353"/>
      <c r="K353"/>
    </row>
    <row r="354" spans="1:11" x14ac:dyDescent="0.25">
      <c r="A354" s="12" t="s">
        <v>177</v>
      </c>
      <c r="B354" s="12" t="s">
        <v>176</v>
      </c>
      <c r="C354" s="24">
        <v>1000000</v>
      </c>
      <c r="D354" s="96"/>
      <c r="E354" s="96"/>
      <c r="F354" s="183"/>
      <c r="G354" s="183"/>
      <c r="H354" s="183"/>
      <c r="I354"/>
      <c r="J354"/>
      <c r="K354"/>
    </row>
    <row r="355" spans="1:11" x14ac:dyDescent="0.25">
      <c r="A355" s="12" t="s">
        <v>467</v>
      </c>
      <c r="B355" s="12" t="s">
        <v>468</v>
      </c>
      <c r="C355" s="24">
        <v>904000</v>
      </c>
      <c r="D355" s="96"/>
      <c r="E355" s="31"/>
      <c r="F355" s="183"/>
      <c r="G355" s="183"/>
      <c r="H355" s="183"/>
      <c r="I355"/>
      <c r="J355"/>
      <c r="K355"/>
    </row>
    <row r="356" spans="1:11" ht="14.25" customHeight="1" x14ac:dyDescent="0.25">
      <c r="A356" s="12" t="s">
        <v>173</v>
      </c>
      <c r="B356" s="12" t="s">
        <v>172</v>
      </c>
      <c r="C356" s="24">
        <v>84000</v>
      </c>
      <c r="D356"/>
      <c r="E356" s="96"/>
      <c r="F356" s="183"/>
      <c r="G356" s="24"/>
      <c r="H356" s="183"/>
      <c r="I356"/>
      <c r="J356"/>
      <c r="K356"/>
    </row>
    <row r="357" spans="1:11" x14ac:dyDescent="0.25">
      <c r="A357" s="11" t="s">
        <v>116</v>
      </c>
      <c r="B357" s="298" t="s">
        <v>117</v>
      </c>
      <c r="C357" s="31">
        <f>SUM(C358:C360)</f>
        <v>821000</v>
      </c>
      <c r="D357" s="96"/>
      <c r="E357" s="22"/>
      <c r="F357" s="183"/>
      <c r="G357" s="183"/>
      <c r="H357" s="183"/>
      <c r="I357"/>
      <c r="J357"/>
      <c r="K357"/>
    </row>
    <row r="358" spans="1:11" x14ac:dyDescent="0.25">
      <c r="A358" s="12" t="s">
        <v>91</v>
      </c>
      <c r="B358" s="24" t="s">
        <v>9</v>
      </c>
      <c r="C358" s="24">
        <v>205000</v>
      </c>
      <c r="D358" s="22"/>
      <c r="E358" s="31"/>
      <c r="F358" s="183"/>
      <c r="G358" s="183"/>
      <c r="H358" s="183"/>
      <c r="I358"/>
      <c r="J358"/>
      <c r="K358"/>
    </row>
    <row r="359" spans="1:11" x14ac:dyDescent="0.25">
      <c r="A359" s="72" t="s">
        <v>57</v>
      </c>
      <c r="B359" s="23" t="s">
        <v>58</v>
      </c>
      <c r="C359" s="24">
        <v>580000</v>
      </c>
      <c r="D359" s="78"/>
      <c r="E359" s="25"/>
      <c r="F359"/>
      <c r="G359"/>
      <c r="H359"/>
      <c r="I359"/>
      <c r="J359"/>
      <c r="K359"/>
    </row>
    <row r="360" spans="1:11" s="8" customFormat="1" ht="13.5" customHeight="1" x14ac:dyDescent="0.25">
      <c r="A360" s="72" t="s">
        <v>814</v>
      </c>
      <c r="B360" s="23" t="s">
        <v>815</v>
      </c>
      <c r="C360" s="24">
        <v>36000</v>
      </c>
      <c r="D360" s="78"/>
      <c r="E360" s="25"/>
      <c r="F360" s="99"/>
      <c r="G360" s="55"/>
      <c r="H360" s="43"/>
    </row>
    <row r="361" spans="1:11" x14ac:dyDescent="0.25">
      <c r="A361" s="265" t="s">
        <v>166</v>
      </c>
      <c r="B361" s="25" t="s">
        <v>135</v>
      </c>
      <c r="C361" s="31">
        <f>SUM(C362)</f>
        <v>43610</v>
      </c>
      <c r="D361" s="78"/>
      <c r="E361" s="25"/>
      <c r="F361"/>
      <c r="G361"/>
      <c r="H361"/>
      <c r="I361"/>
      <c r="J361"/>
      <c r="K361"/>
    </row>
    <row r="362" spans="1:11" x14ac:dyDescent="0.25">
      <c r="A362" s="72" t="s">
        <v>167</v>
      </c>
      <c r="B362" s="23" t="s">
        <v>51</v>
      </c>
      <c r="C362" s="24">
        <v>43610</v>
      </c>
      <c r="D362" s="78"/>
      <c r="E362" s="25"/>
      <c r="F362"/>
      <c r="G362"/>
      <c r="H362"/>
      <c r="I362"/>
      <c r="J362"/>
      <c r="K362"/>
    </row>
    <row r="363" spans="1:11" x14ac:dyDescent="0.25">
      <c r="A363" s="72"/>
      <c r="B363" s="23"/>
      <c r="C363" s="24"/>
      <c r="D363" s="78"/>
      <c r="E363" s="25"/>
      <c r="F363"/>
      <c r="G363"/>
      <c r="H363"/>
      <c r="I363"/>
      <c r="J363"/>
      <c r="K363"/>
    </row>
    <row r="364" spans="1:11" ht="13" thickBot="1" x14ac:dyDescent="0.3">
      <c r="A364" s="72"/>
      <c r="B364" s="12"/>
      <c r="C364" s="23"/>
      <c r="D364" s="78"/>
      <c r="E364" s="25"/>
      <c r="F364"/>
      <c r="G364"/>
      <c r="H364"/>
      <c r="I364"/>
      <c r="J364"/>
      <c r="K364"/>
    </row>
    <row r="365" spans="1:11" ht="13" x14ac:dyDescent="0.25">
      <c r="A365" s="1117" t="s">
        <v>768</v>
      </c>
      <c r="B365" s="1119"/>
      <c r="C365" s="719" t="s">
        <v>6</v>
      </c>
      <c r="D365" s="927" t="s">
        <v>705</v>
      </c>
      <c r="F365"/>
      <c r="G365"/>
      <c r="H365"/>
      <c r="I365"/>
      <c r="J365"/>
      <c r="K365"/>
    </row>
    <row r="366" spans="1:11" ht="13.5" thickBot="1" x14ac:dyDescent="0.3">
      <c r="A366" s="1120"/>
      <c r="B366" s="1122"/>
      <c r="C366" s="736"/>
      <c r="D366" s="737"/>
      <c r="F366"/>
      <c r="G366"/>
      <c r="H366"/>
      <c r="I366"/>
      <c r="J366"/>
      <c r="K366"/>
    </row>
    <row r="367" spans="1:11" x14ac:dyDescent="0.25">
      <c r="A367" s="1123" t="s">
        <v>949</v>
      </c>
      <c r="B367" s="1124"/>
      <c r="C367" s="1124"/>
      <c r="D367" s="1125"/>
      <c r="F367"/>
      <c r="G367"/>
      <c r="H367"/>
      <c r="I367"/>
      <c r="J367"/>
      <c r="K367"/>
    </row>
    <row r="368" spans="1:11" x14ac:dyDescent="0.25">
      <c r="A368" s="1126"/>
      <c r="B368" s="1127"/>
      <c r="C368" s="1127"/>
      <c r="D368" s="1128"/>
      <c r="F368"/>
      <c r="G368"/>
      <c r="H368"/>
      <c r="I368"/>
      <c r="J368"/>
      <c r="K368"/>
    </row>
    <row r="369" spans="1:11" x14ac:dyDescent="0.25">
      <c r="A369" s="1126"/>
      <c r="B369" s="1127"/>
      <c r="C369" s="1127"/>
      <c r="D369" s="1128"/>
      <c r="F369"/>
      <c r="G369"/>
      <c r="H369"/>
      <c r="I369"/>
      <c r="J369"/>
      <c r="K369"/>
    </row>
    <row r="370" spans="1:11" ht="27.75" customHeight="1" thickBot="1" x14ac:dyDescent="0.3">
      <c r="A370" s="1129"/>
      <c r="B370" s="1130"/>
      <c r="C370" s="1130"/>
      <c r="D370" s="1131"/>
      <c r="F370"/>
      <c r="G370"/>
      <c r="H370"/>
      <c r="I370"/>
      <c r="J370"/>
      <c r="K370"/>
    </row>
    <row r="371" spans="1:11" x14ac:dyDescent="0.25">
      <c r="A371" s="41" t="s">
        <v>1029</v>
      </c>
      <c r="B371" s="12"/>
      <c r="C371" s="71"/>
      <c r="D371" s="141"/>
      <c r="F371"/>
      <c r="G371"/>
      <c r="H371"/>
      <c r="I371"/>
      <c r="J371"/>
      <c r="K371"/>
    </row>
    <row r="372" spans="1:11" x14ac:dyDescent="0.25">
      <c r="A372" s="41" t="s">
        <v>669</v>
      </c>
      <c r="B372" s="12"/>
      <c r="C372" s="71"/>
      <c r="D372" s="141"/>
      <c r="F372"/>
      <c r="G372"/>
      <c r="H372"/>
      <c r="I372"/>
      <c r="J372"/>
      <c r="K372"/>
    </row>
    <row r="373" spans="1:11" x14ac:dyDescent="0.25">
      <c r="A373" s="41" t="s">
        <v>1064</v>
      </c>
      <c r="B373" s="12"/>
      <c r="C373" s="71"/>
      <c r="D373" s="141"/>
      <c r="F373"/>
      <c r="G373"/>
      <c r="H373"/>
      <c r="I373"/>
      <c r="J373"/>
      <c r="K373"/>
    </row>
    <row r="374" spans="1:11" ht="13" thickBot="1" x14ac:dyDescent="0.3">
      <c r="A374" s="76" t="s">
        <v>11</v>
      </c>
      <c r="B374" s="140"/>
      <c r="C374" s="447"/>
      <c r="D374" s="137"/>
      <c r="F374"/>
      <c r="G374"/>
      <c r="H374"/>
      <c r="I374"/>
      <c r="J374"/>
      <c r="K374"/>
    </row>
    <row r="375" spans="1:11" ht="13" thickBot="1" x14ac:dyDescent="0.3">
      <c r="A375" s="762" t="s">
        <v>800</v>
      </c>
      <c r="B375" s="763"/>
      <c r="C375" s="766"/>
      <c r="D375" s="772">
        <f>+C377+C400+C413</f>
        <v>7246550</v>
      </c>
      <c r="F375" s="448"/>
      <c r="G375"/>
      <c r="H375"/>
      <c r="I375"/>
      <c r="J375"/>
      <c r="K375"/>
    </row>
    <row r="376" spans="1:11" ht="13" thickBot="1" x14ac:dyDescent="0.3">
      <c r="A376" s="12"/>
      <c r="B376" s="12"/>
      <c r="C376" s="24"/>
      <c r="D376" s="24"/>
      <c r="E376" s="24"/>
      <c r="F376"/>
      <c r="G376"/>
      <c r="H376"/>
      <c r="I376"/>
      <c r="J376"/>
      <c r="K376"/>
    </row>
    <row r="377" spans="1:11" ht="13" thickBot="1" x14ac:dyDescent="0.3">
      <c r="A377" s="1104" t="s">
        <v>2</v>
      </c>
      <c r="B377" s="1105"/>
      <c r="C377" s="667">
        <f>C378+C380+C382+C385+C387+C389+C392+C395</f>
        <v>1885290</v>
      </c>
      <c r="D377" s="23"/>
      <c r="E377" s="108"/>
      <c r="F377"/>
      <c r="G377"/>
      <c r="H377"/>
      <c r="I377"/>
      <c r="J377"/>
      <c r="K377"/>
    </row>
    <row r="378" spans="1:11" x14ac:dyDescent="0.25">
      <c r="A378" s="11" t="s">
        <v>103</v>
      </c>
      <c r="B378" s="298" t="s">
        <v>104</v>
      </c>
      <c r="C378" s="32">
        <f>SUM(C379)</f>
        <v>85000</v>
      </c>
      <c r="D378" s="208"/>
      <c r="E378" s="101"/>
      <c r="F378"/>
      <c r="G378"/>
      <c r="H378"/>
      <c r="I378"/>
      <c r="J378"/>
      <c r="K378"/>
    </row>
    <row r="379" spans="1:11" x14ac:dyDescent="0.25">
      <c r="A379" s="12" t="s">
        <v>46</v>
      </c>
      <c r="B379" s="72" t="s">
        <v>45</v>
      </c>
      <c r="C379" s="24">
        <v>85000</v>
      </c>
      <c r="D379" s="96"/>
      <c r="E379" s="31"/>
      <c r="F379"/>
      <c r="G379"/>
      <c r="H379"/>
      <c r="I379"/>
      <c r="J379"/>
      <c r="K379"/>
    </row>
    <row r="380" spans="1:11" x14ac:dyDescent="0.25">
      <c r="A380" s="11" t="s">
        <v>199</v>
      </c>
      <c r="B380" s="265" t="s">
        <v>219</v>
      </c>
      <c r="C380" s="31">
        <f>SUM(C381:C381)</f>
        <v>98000</v>
      </c>
      <c r="D380" s="23"/>
      <c r="E380" s="23"/>
      <c r="F380"/>
      <c r="G380"/>
      <c r="H380"/>
      <c r="I380"/>
      <c r="J380"/>
      <c r="K380"/>
    </row>
    <row r="381" spans="1:11" x14ac:dyDescent="0.25">
      <c r="A381" s="12" t="s">
        <v>218</v>
      </c>
      <c r="B381" s="12" t="s">
        <v>217</v>
      </c>
      <c r="C381" s="24">
        <v>98000</v>
      </c>
      <c r="D381" s="78"/>
      <c r="E381" s="25"/>
      <c r="F381"/>
      <c r="G381"/>
      <c r="H381"/>
      <c r="I381"/>
      <c r="J381"/>
      <c r="K381"/>
    </row>
    <row r="382" spans="1:11" x14ac:dyDescent="0.25">
      <c r="A382" s="11" t="s">
        <v>105</v>
      </c>
      <c r="B382" s="265" t="s">
        <v>106</v>
      </c>
      <c r="C382" s="32">
        <f>SUM(C383:C384)</f>
        <v>205000</v>
      </c>
      <c r="D382" s="96"/>
      <c r="E382" s="131"/>
      <c r="F382"/>
      <c r="G382"/>
      <c r="H382"/>
      <c r="I382"/>
      <c r="J382"/>
      <c r="K382"/>
    </row>
    <row r="383" spans="1:11" ht="13" x14ac:dyDescent="0.3">
      <c r="A383" s="12" t="s">
        <v>86</v>
      </c>
      <c r="B383" s="12" t="s">
        <v>66</v>
      </c>
      <c r="C383" s="24">
        <v>35000</v>
      </c>
      <c r="D383"/>
      <c r="E383" s="23"/>
      <c r="F383" s="551"/>
      <c r="G383" s="23"/>
      <c r="H383"/>
      <c r="I383"/>
      <c r="J383"/>
      <c r="K383"/>
    </row>
    <row r="384" spans="1:11" ht="13" x14ac:dyDescent="0.3">
      <c r="A384" s="12" t="s">
        <v>609</v>
      </c>
      <c r="B384" s="43" t="s">
        <v>608</v>
      </c>
      <c r="C384" s="24">
        <v>170000</v>
      </c>
      <c r="D384" s="24"/>
      <c r="E384" s="24"/>
      <c r="F384" s="551"/>
      <c r="G384"/>
      <c r="H384"/>
      <c r="I384"/>
      <c r="J384"/>
      <c r="K384"/>
    </row>
    <row r="385" spans="1:11" x14ac:dyDescent="0.25">
      <c r="A385" s="11" t="s">
        <v>107</v>
      </c>
      <c r="B385" s="265" t="s">
        <v>108</v>
      </c>
      <c r="C385" s="32">
        <f>SUM(C386)</f>
        <v>36500</v>
      </c>
      <c r="D385" s="96"/>
      <c r="E385" s="131"/>
      <c r="F385"/>
      <c r="G385"/>
      <c r="H385"/>
      <c r="I385"/>
      <c r="J385"/>
      <c r="K385"/>
    </row>
    <row r="386" spans="1:11" x14ac:dyDescent="0.25">
      <c r="A386" s="12" t="s">
        <v>47</v>
      </c>
      <c r="B386" s="23" t="s">
        <v>48</v>
      </c>
      <c r="C386" s="24">
        <v>36500</v>
      </c>
      <c r="D386" s="23"/>
      <c r="E386" s="23"/>
      <c r="F386"/>
      <c r="G386"/>
      <c r="H386"/>
      <c r="I386"/>
      <c r="J386"/>
      <c r="K386"/>
    </row>
    <row r="387" spans="1:11" x14ac:dyDescent="0.25">
      <c r="A387" s="11" t="s">
        <v>195</v>
      </c>
      <c r="B387" s="25" t="s">
        <v>194</v>
      </c>
      <c r="C387" s="31">
        <f>SUM(C388:C388)</f>
        <v>350000</v>
      </c>
      <c r="D387" s="23"/>
      <c r="E387" s="23"/>
      <c r="F387"/>
      <c r="G387"/>
      <c r="H387"/>
      <c r="I387"/>
      <c r="J387"/>
      <c r="K387"/>
    </row>
    <row r="388" spans="1:11" x14ac:dyDescent="0.25">
      <c r="A388" s="12" t="s">
        <v>193</v>
      </c>
      <c r="B388" s="72" t="s">
        <v>215</v>
      </c>
      <c r="C388" s="24">
        <v>350000</v>
      </c>
      <c r="D388" s="23"/>
      <c r="E388" s="23"/>
      <c r="F388"/>
      <c r="G388"/>
      <c r="H388"/>
      <c r="I388"/>
      <c r="J388"/>
      <c r="K388"/>
    </row>
    <row r="389" spans="1:11" x14ac:dyDescent="0.25">
      <c r="A389" s="265" t="s">
        <v>119</v>
      </c>
      <c r="B389" s="25" t="s">
        <v>109</v>
      </c>
      <c r="C389" s="31">
        <f>SUM(C390:C391)</f>
        <v>250000</v>
      </c>
      <c r="D389" s="23"/>
      <c r="E389" s="23"/>
      <c r="F389"/>
      <c r="G389"/>
      <c r="H389"/>
      <c r="I389"/>
      <c r="J389"/>
      <c r="K389"/>
    </row>
    <row r="390" spans="1:11" x14ac:dyDescent="0.25">
      <c r="A390" s="72" t="s">
        <v>190</v>
      </c>
      <c r="B390" s="23" t="s">
        <v>189</v>
      </c>
      <c r="C390" s="24">
        <v>80000</v>
      </c>
      <c r="D390" s="23"/>
      <c r="E390" s="23"/>
      <c r="F390"/>
      <c r="G390"/>
      <c r="H390"/>
      <c r="I390"/>
      <c r="J390"/>
      <c r="K390"/>
    </row>
    <row r="391" spans="1:11" x14ac:dyDescent="0.25">
      <c r="A391" s="72" t="s">
        <v>188</v>
      </c>
      <c r="B391" s="23" t="s">
        <v>187</v>
      </c>
      <c r="C391" s="24">
        <v>170000</v>
      </c>
      <c r="D391" s="23"/>
      <c r="E391" s="23"/>
      <c r="F391"/>
      <c r="G391"/>
      <c r="H391"/>
      <c r="I391"/>
      <c r="J391"/>
      <c r="K391"/>
    </row>
    <row r="392" spans="1:11" x14ac:dyDescent="0.25">
      <c r="A392" s="265" t="s">
        <v>124</v>
      </c>
      <c r="B392" s="265" t="s">
        <v>123</v>
      </c>
      <c r="C392" s="31">
        <f>SUM(C393:C394)</f>
        <v>400890</v>
      </c>
      <c r="D392" s="23"/>
      <c r="E392" s="23"/>
      <c r="F392"/>
      <c r="G392"/>
      <c r="H392"/>
      <c r="I392"/>
      <c r="J392"/>
      <c r="K392"/>
    </row>
    <row r="393" spans="1:11" x14ac:dyDescent="0.25">
      <c r="A393" s="12" t="s">
        <v>93</v>
      </c>
      <c r="B393" s="24" t="s">
        <v>72</v>
      </c>
      <c r="C393" s="24">
        <v>125890</v>
      </c>
      <c r="D393"/>
      <c r="E393" s="24"/>
      <c r="F393"/>
      <c r="G393" s="24"/>
      <c r="H393" s="183"/>
      <c r="I393" s="183"/>
      <c r="J393"/>
      <c r="K393"/>
    </row>
    <row r="394" spans="1:11" x14ac:dyDescent="0.25">
      <c r="A394" s="12" t="s">
        <v>610</v>
      </c>
      <c r="B394" s="43" t="s">
        <v>611</v>
      </c>
      <c r="C394" s="24">
        <v>275000</v>
      </c>
      <c r="D394" s="24"/>
      <c r="E394" s="24"/>
      <c r="F394"/>
      <c r="G394" s="183"/>
      <c r="H394" s="183"/>
      <c r="I394" s="183"/>
      <c r="J394"/>
      <c r="K394"/>
    </row>
    <row r="395" spans="1:11" x14ac:dyDescent="0.25">
      <c r="A395" s="265" t="s">
        <v>151</v>
      </c>
      <c r="B395" s="25" t="s">
        <v>133</v>
      </c>
      <c r="C395" s="31">
        <f>SUM(C396:C398)</f>
        <v>459900</v>
      </c>
      <c r="D395" s="23"/>
      <c r="E395" s="23"/>
      <c r="F395"/>
      <c r="G395"/>
      <c r="H395"/>
      <c r="I395"/>
      <c r="J395"/>
      <c r="K395"/>
    </row>
    <row r="396" spans="1:11" s="5" customFormat="1" ht="13" x14ac:dyDescent="0.25">
      <c r="A396" s="72" t="s">
        <v>152</v>
      </c>
      <c r="B396" s="23" t="s">
        <v>65</v>
      </c>
      <c r="C396" s="24">
        <v>80000</v>
      </c>
      <c r="D396" s="96"/>
      <c r="E396" s="25"/>
      <c r="F396" s="101"/>
      <c r="G396" s="96"/>
    </row>
    <row r="397" spans="1:11" x14ac:dyDescent="0.25">
      <c r="A397" s="72" t="s">
        <v>210</v>
      </c>
      <c r="B397" s="23" t="s">
        <v>209</v>
      </c>
      <c r="C397" s="24">
        <v>294000</v>
      </c>
      <c r="D397" s="79"/>
      <c r="E397" s="25"/>
      <c r="F397"/>
      <c r="G397"/>
      <c r="H397"/>
      <c r="I397"/>
      <c r="J397"/>
      <c r="K397"/>
    </row>
    <row r="398" spans="1:11" s="183" customFormat="1" x14ac:dyDescent="0.25">
      <c r="A398" s="12" t="s">
        <v>154</v>
      </c>
      <c r="B398" s="24" t="s">
        <v>125</v>
      </c>
      <c r="C398" s="24">
        <v>85900</v>
      </c>
      <c r="D398" s="24"/>
      <c r="E398" s="24"/>
    </row>
    <row r="399" spans="1:11" s="183" customFormat="1" ht="13" thickBot="1" x14ac:dyDescent="0.3">
      <c r="A399" s="12"/>
      <c r="B399" s="24"/>
      <c r="C399" s="24"/>
      <c r="D399" s="24"/>
      <c r="E399" s="24"/>
    </row>
    <row r="400" spans="1:11" ht="13" thickBot="1" x14ac:dyDescent="0.3">
      <c r="A400" s="1096" t="s">
        <v>3</v>
      </c>
      <c r="B400" s="1097"/>
      <c r="C400" s="668">
        <f>C401+C403+C406+C409</f>
        <v>3567660</v>
      </c>
      <c r="D400" s="23"/>
      <c r="E400" s="23"/>
      <c r="F400"/>
      <c r="G400"/>
      <c r="H400"/>
      <c r="I400"/>
      <c r="J400"/>
      <c r="K400"/>
    </row>
    <row r="401" spans="1:11" x14ac:dyDescent="0.25">
      <c r="A401" s="11" t="s">
        <v>110</v>
      </c>
      <c r="B401" s="298" t="s">
        <v>111</v>
      </c>
      <c r="C401" s="32">
        <f>SUM(C402:C402)</f>
        <v>380000</v>
      </c>
      <c r="D401" s="96"/>
      <c r="E401" s="96"/>
      <c r="F401"/>
      <c r="G401"/>
      <c r="H401"/>
      <c r="I401"/>
      <c r="J401"/>
      <c r="K401"/>
    </row>
    <row r="402" spans="1:11" x14ac:dyDescent="0.25">
      <c r="A402" s="12" t="s">
        <v>52</v>
      </c>
      <c r="B402" s="12" t="s">
        <v>15</v>
      </c>
      <c r="C402" s="24">
        <v>380000</v>
      </c>
      <c r="D402"/>
      <c r="E402" s="23"/>
      <c r="F402"/>
      <c r="G402" s="23"/>
      <c r="H402"/>
      <c r="I402"/>
      <c r="J402"/>
      <c r="K402"/>
    </row>
    <row r="403" spans="1:11" x14ac:dyDescent="0.25">
      <c r="A403" s="11" t="s">
        <v>120</v>
      </c>
      <c r="B403" s="11" t="s">
        <v>121</v>
      </c>
      <c r="C403" s="31">
        <f>SUM(C404:C405)</f>
        <v>2049960</v>
      </c>
      <c r="D403" s="23"/>
      <c r="E403" s="23"/>
      <c r="F403"/>
      <c r="G403"/>
      <c r="H403"/>
      <c r="I403"/>
      <c r="J403"/>
      <c r="K403"/>
    </row>
    <row r="404" spans="1:11" ht="13" x14ac:dyDescent="0.25">
      <c r="A404" s="12" t="s">
        <v>183</v>
      </c>
      <c r="B404" s="12" t="s">
        <v>182</v>
      </c>
      <c r="C404" s="24">
        <v>180000</v>
      </c>
      <c r="D404" s="24"/>
      <c r="E404" s="120"/>
      <c r="F404"/>
      <c r="G404"/>
      <c r="H404"/>
      <c r="I404"/>
      <c r="J404"/>
      <c r="K404"/>
    </row>
    <row r="405" spans="1:11" x14ac:dyDescent="0.25">
      <c r="A405" s="12" t="s">
        <v>136</v>
      </c>
      <c r="B405" s="12" t="s">
        <v>71</v>
      </c>
      <c r="C405" s="24">
        <v>1869960</v>
      </c>
      <c r="D405" s="78"/>
      <c r="E405" s="25"/>
      <c r="F405"/>
      <c r="G405"/>
      <c r="H405"/>
      <c r="I405"/>
      <c r="J405"/>
      <c r="K405"/>
    </row>
    <row r="406" spans="1:11" x14ac:dyDescent="0.25">
      <c r="A406" s="11" t="s">
        <v>112</v>
      </c>
      <c r="B406" s="11" t="s">
        <v>157</v>
      </c>
      <c r="C406" s="31">
        <f>SUM(C407:C408)</f>
        <v>184900</v>
      </c>
      <c r="D406" s="78"/>
      <c r="E406" s="25"/>
      <c r="F406"/>
      <c r="G406"/>
      <c r="H406"/>
      <c r="I406"/>
      <c r="J406"/>
      <c r="K406"/>
    </row>
    <row r="407" spans="1:11" x14ac:dyDescent="0.25">
      <c r="A407" s="12" t="s">
        <v>138</v>
      </c>
      <c r="B407" s="59" t="s">
        <v>878</v>
      </c>
      <c r="C407" s="24">
        <v>34900</v>
      </c>
      <c r="D407" s="151"/>
      <c r="E407" s="552"/>
      <c r="F407" s="183"/>
      <c r="G407"/>
      <c r="H407"/>
      <c r="I407"/>
      <c r="J407"/>
      <c r="K407"/>
    </row>
    <row r="408" spans="1:11" x14ac:dyDescent="0.25">
      <c r="A408" s="12" t="s">
        <v>156</v>
      </c>
      <c r="B408" s="24" t="s">
        <v>87</v>
      </c>
      <c r="C408" s="24">
        <v>150000</v>
      </c>
      <c r="D408"/>
      <c r="E408" s="22"/>
      <c r="F408" s="183"/>
      <c r="G408" s="552"/>
      <c r="H408"/>
      <c r="I408"/>
      <c r="J408"/>
      <c r="K408"/>
    </row>
    <row r="409" spans="1:11" ht="14" x14ac:dyDescent="0.3">
      <c r="A409" s="11" t="s">
        <v>115</v>
      </c>
      <c r="B409" s="31" t="s">
        <v>8</v>
      </c>
      <c r="C409" s="31">
        <f>SUM(C410:C411)</f>
        <v>952800</v>
      </c>
      <c r="D409" s="324"/>
      <c r="E409" s="554"/>
      <c r="F409" s="183"/>
      <c r="G409" s="151"/>
      <c r="H409" s="151"/>
      <c r="I409" s="151"/>
      <c r="J409"/>
      <c r="K409"/>
    </row>
    <row r="410" spans="1:11" ht="14" x14ac:dyDescent="0.3">
      <c r="A410" s="12" t="s">
        <v>89</v>
      </c>
      <c r="B410" s="24" t="s">
        <v>8</v>
      </c>
      <c r="C410" s="24">
        <v>768000</v>
      </c>
      <c r="D410"/>
      <c r="E410" s="554"/>
      <c r="F410" s="183"/>
      <c r="G410" s="552"/>
      <c r="H410" s="151"/>
      <c r="I410" s="151"/>
      <c r="J410"/>
      <c r="K410"/>
    </row>
    <row r="411" spans="1:11" ht="13" x14ac:dyDescent="0.25">
      <c r="A411" s="12" t="s">
        <v>90</v>
      </c>
      <c r="B411" s="24" t="s">
        <v>7</v>
      </c>
      <c r="C411" s="24">
        <v>184800</v>
      </c>
      <c r="D411"/>
      <c r="E411" s="38"/>
      <c r="F411" s="183"/>
      <c r="G411" s="324"/>
      <c r="H411"/>
      <c r="I411"/>
      <c r="J411"/>
      <c r="K411"/>
    </row>
    <row r="412" spans="1:11" s="121" customFormat="1" ht="13" thickBot="1" x14ac:dyDescent="0.3">
      <c r="A412" s="12"/>
      <c r="B412" s="12"/>
      <c r="C412" s="24"/>
      <c r="D412" s="24"/>
      <c r="G412" s="187"/>
    </row>
    <row r="413" spans="1:11" ht="13" thickBot="1" x14ac:dyDescent="0.3">
      <c r="A413" s="1100" t="s">
        <v>4</v>
      </c>
      <c r="B413" s="1101"/>
      <c r="C413" s="670">
        <f>C414+C416+C419</f>
        <v>1793600</v>
      </c>
      <c r="D413" s="23"/>
      <c r="E413" s="24"/>
      <c r="F413" s="183"/>
      <c r="G413"/>
      <c r="H413"/>
      <c r="I413"/>
      <c r="J413"/>
      <c r="K413"/>
    </row>
    <row r="414" spans="1:11" x14ac:dyDescent="0.25">
      <c r="A414" s="265" t="s">
        <v>179</v>
      </c>
      <c r="B414" s="298" t="s">
        <v>178</v>
      </c>
      <c r="C414" s="32">
        <f>SUM(C415:C415)</f>
        <v>1500000</v>
      </c>
      <c r="D414" s="79"/>
      <c r="E414" s="25"/>
      <c r="F414"/>
      <c r="G414"/>
      <c r="H414"/>
      <c r="I414"/>
      <c r="J414"/>
      <c r="K414"/>
    </row>
    <row r="415" spans="1:11" x14ac:dyDescent="0.25">
      <c r="A415" s="12" t="s">
        <v>177</v>
      </c>
      <c r="B415" s="12" t="s">
        <v>176</v>
      </c>
      <c r="C415" s="24">
        <v>1500000</v>
      </c>
      <c r="D415" s="96"/>
      <c r="E415" s="96"/>
      <c r="F415" s="183"/>
      <c r="G415" s="183"/>
      <c r="H415" s="183"/>
      <c r="I415"/>
      <c r="J415"/>
      <c r="K415"/>
    </row>
    <row r="416" spans="1:11" x14ac:dyDescent="0.25">
      <c r="A416" s="11" t="s">
        <v>116</v>
      </c>
      <c r="B416" s="298" t="s">
        <v>117</v>
      </c>
      <c r="C416" s="31">
        <f>SUM(C417:C418)</f>
        <v>248000</v>
      </c>
      <c r="D416" s="96"/>
      <c r="E416" s="22"/>
      <c r="F416" s="183"/>
      <c r="G416" s="183"/>
      <c r="H416" s="183"/>
      <c r="I416"/>
      <c r="J416"/>
      <c r="K416"/>
    </row>
    <row r="417" spans="1:11" x14ac:dyDescent="0.25">
      <c r="A417" s="12" t="s">
        <v>91</v>
      </c>
      <c r="B417" s="24" t="s">
        <v>9</v>
      </c>
      <c r="C417" s="24">
        <v>68000</v>
      </c>
      <c r="D417" s="22"/>
      <c r="E417" s="31"/>
      <c r="F417" s="183"/>
      <c r="G417" s="183"/>
      <c r="H417" s="183"/>
      <c r="I417"/>
      <c r="J417"/>
      <c r="K417"/>
    </row>
    <row r="418" spans="1:11" x14ac:dyDescent="0.25">
      <c r="A418" s="72" t="s">
        <v>57</v>
      </c>
      <c r="B418" s="23" t="s">
        <v>58</v>
      </c>
      <c r="C418" s="24">
        <v>180000</v>
      </c>
      <c r="D418" s="78"/>
      <c r="E418" s="25"/>
      <c r="F418"/>
      <c r="G418"/>
      <c r="H418"/>
      <c r="I418"/>
      <c r="J418"/>
      <c r="K418"/>
    </row>
    <row r="419" spans="1:11" x14ac:dyDescent="0.25">
      <c r="A419" s="265" t="s">
        <v>166</v>
      </c>
      <c r="B419" s="25" t="s">
        <v>135</v>
      </c>
      <c r="C419" s="31">
        <f>SUM(C420)</f>
        <v>45600</v>
      </c>
      <c r="D419" s="78"/>
      <c r="E419" s="25"/>
      <c r="F419"/>
      <c r="G419"/>
      <c r="H419"/>
      <c r="I419"/>
      <c r="J419"/>
      <c r="K419"/>
    </row>
    <row r="420" spans="1:11" x14ac:dyDescent="0.25">
      <c r="A420" s="72" t="s">
        <v>167</v>
      </c>
      <c r="B420" s="23" t="s">
        <v>51</v>
      </c>
      <c r="C420" s="24">
        <v>45600</v>
      </c>
      <c r="D420" s="78"/>
      <c r="E420" s="25"/>
      <c r="F420"/>
      <c r="G420"/>
      <c r="H420"/>
      <c r="I420"/>
      <c r="J420"/>
      <c r="K420"/>
    </row>
    <row r="421" spans="1:11" x14ac:dyDescent="0.25">
      <c r="A421" s="72"/>
      <c r="B421" s="23"/>
      <c r="C421" s="24"/>
      <c r="D421" s="78"/>
      <c r="E421" s="25"/>
      <c r="F421"/>
      <c r="G421"/>
      <c r="H421"/>
      <c r="I421"/>
      <c r="J421"/>
      <c r="K421"/>
    </row>
    <row r="422" spans="1:11" s="217" customFormat="1" ht="13.5" customHeight="1" thickBot="1" x14ac:dyDescent="0.25">
      <c r="A422" s="72"/>
      <c r="B422" s="72"/>
      <c r="C422" s="176"/>
      <c r="D422" s="176"/>
      <c r="E422" s="175"/>
      <c r="F422" s="158"/>
      <c r="G422" s="156"/>
      <c r="H422" s="156"/>
      <c r="I422" s="156"/>
      <c r="J422" s="156"/>
      <c r="K422" s="156"/>
    </row>
    <row r="423" spans="1:11" s="187" customFormat="1" ht="13.5" customHeight="1" x14ac:dyDescent="0.25">
      <c r="A423" s="1117" t="s">
        <v>670</v>
      </c>
      <c r="B423" s="1118"/>
      <c r="C423" s="1119"/>
      <c r="D423" s="719" t="s">
        <v>6</v>
      </c>
      <c r="E423" s="927">
        <v>1206</v>
      </c>
      <c r="F423" s="644"/>
    </row>
    <row r="424" spans="1:11" s="187" customFormat="1" ht="13.5" customHeight="1" thickBot="1" x14ac:dyDescent="0.3">
      <c r="A424" s="1120"/>
      <c r="B424" s="1121"/>
      <c r="C424" s="1122"/>
      <c r="D424" s="736"/>
      <c r="E424" s="737"/>
      <c r="F424" s="644"/>
    </row>
    <row r="425" spans="1:11" s="218" customFormat="1" ht="13.5" customHeight="1" x14ac:dyDescent="0.2">
      <c r="A425" s="1123" t="s">
        <v>950</v>
      </c>
      <c r="B425" s="1124"/>
      <c r="C425" s="1124"/>
      <c r="D425" s="1124"/>
      <c r="E425" s="1125"/>
      <c r="F425" s="202"/>
      <c r="G425" s="184"/>
      <c r="H425" s="184"/>
      <c r="I425" s="184"/>
      <c r="J425" s="184"/>
      <c r="K425" s="184"/>
    </row>
    <row r="426" spans="1:11" s="218" customFormat="1" ht="13.5" customHeight="1" x14ac:dyDescent="0.2">
      <c r="A426" s="1126"/>
      <c r="B426" s="1127"/>
      <c r="C426" s="1127"/>
      <c r="D426" s="1127"/>
      <c r="E426" s="1128"/>
      <c r="F426" s="202"/>
      <c r="G426" s="184"/>
      <c r="H426" s="184"/>
      <c r="I426" s="184"/>
      <c r="J426" s="184"/>
      <c r="K426" s="184"/>
    </row>
    <row r="427" spans="1:11" s="217" customFormat="1" ht="13.5" customHeight="1" x14ac:dyDescent="0.2">
      <c r="A427" s="1126"/>
      <c r="B427" s="1127"/>
      <c r="C427" s="1127"/>
      <c r="D427" s="1127"/>
      <c r="E427" s="1128"/>
      <c r="F427" s="158"/>
      <c r="G427" s="156"/>
      <c r="H427" s="156"/>
      <c r="I427" s="156"/>
      <c r="J427" s="156"/>
      <c r="K427" s="156"/>
    </row>
    <row r="428" spans="1:11" s="217" customFormat="1" ht="13.5" customHeight="1" x14ac:dyDescent="0.2">
      <c r="A428" s="1126"/>
      <c r="B428" s="1127"/>
      <c r="C428" s="1127"/>
      <c r="D428" s="1127"/>
      <c r="E428" s="1128"/>
      <c r="F428" s="158"/>
      <c r="G428" s="156"/>
      <c r="H428" s="156"/>
      <c r="I428" s="156"/>
      <c r="J428" s="156"/>
      <c r="K428" s="156"/>
    </row>
    <row r="429" spans="1:11" s="217" customFormat="1" ht="13.5" customHeight="1" x14ac:dyDescent="0.2">
      <c r="A429" s="1126"/>
      <c r="B429" s="1127"/>
      <c r="C429" s="1127"/>
      <c r="D429" s="1127"/>
      <c r="E429" s="1128"/>
      <c r="F429" s="158"/>
      <c r="G429" s="156"/>
      <c r="H429" s="156"/>
      <c r="I429" s="156"/>
      <c r="J429" s="156"/>
      <c r="K429" s="156"/>
    </row>
    <row r="430" spans="1:11" s="217" customFormat="1" ht="13.5" customHeight="1" x14ac:dyDescent="0.2">
      <c r="A430" s="1126"/>
      <c r="B430" s="1127"/>
      <c r="C430" s="1127"/>
      <c r="D430" s="1127"/>
      <c r="E430" s="1128"/>
      <c r="F430" s="158"/>
      <c r="G430" s="156"/>
      <c r="H430" s="156"/>
      <c r="I430" s="156"/>
      <c r="J430" s="156"/>
      <c r="K430" s="156"/>
    </row>
    <row r="431" spans="1:11" s="217" customFormat="1" ht="13.5" customHeight="1" x14ac:dyDescent="0.2">
      <c r="A431" s="1126"/>
      <c r="B431" s="1127"/>
      <c r="C431" s="1127"/>
      <c r="D431" s="1127"/>
      <c r="E431" s="1128"/>
      <c r="F431" s="158"/>
      <c r="G431" s="156"/>
      <c r="H431" s="156"/>
      <c r="I431" s="156"/>
      <c r="J431" s="156"/>
      <c r="K431" s="156"/>
    </row>
    <row r="432" spans="1:11" s="217" customFormat="1" ht="13.5" customHeight="1" x14ac:dyDescent="0.2">
      <c r="A432" s="1126"/>
      <c r="B432" s="1127"/>
      <c r="C432" s="1127"/>
      <c r="D432" s="1127"/>
      <c r="E432" s="1128"/>
      <c r="F432" s="158"/>
      <c r="G432" s="156"/>
      <c r="H432" s="156"/>
      <c r="I432" s="156"/>
      <c r="J432" s="156"/>
      <c r="K432" s="156"/>
    </row>
    <row r="433" spans="1:11" s="218" customFormat="1" ht="13.5" customHeight="1" x14ac:dyDescent="0.2">
      <c r="A433" s="1126"/>
      <c r="B433" s="1127"/>
      <c r="C433" s="1127"/>
      <c r="D433" s="1127"/>
      <c r="E433" s="1128"/>
      <c r="F433" s="202"/>
      <c r="G433" s="184"/>
      <c r="H433" s="184"/>
      <c r="I433" s="184"/>
      <c r="J433" s="184"/>
      <c r="K433" s="184"/>
    </row>
    <row r="434" spans="1:11" s="218" customFormat="1" ht="10.5" thickBot="1" x14ac:dyDescent="0.25">
      <c r="A434" s="1129"/>
      <c r="B434" s="1130"/>
      <c r="C434" s="1130"/>
      <c r="D434" s="1130"/>
      <c r="E434" s="1131"/>
      <c r="F434" s="202"/>
      <c r="G434" s="184"/>
      <c r="H434" s="184"/>
      <c r="I434" s="184"/>
      <c r="J434" s="184"/>
      <c r="K434" s="184"/>
    </row>
    <row r="435" spans="1:11" s="217" customFormat="1" ht="13.5" customHeight="1" x14ac:dyDescent="0.2">
      <c r="A435" s="41" t="s">
        <v>1029</v>
      </c>
      <c r="B435" s="12"/>
      <c r="C435" s="143"/>
      <c r="D435" s="71"/>
      <c r="E435" s="141"/>
      <c r="F435" s="158"/>
      <c r="G435" s="156"/>
      <c r="H435" s="156"/>
      <c r="I435" s="156"/>
      <c r="J435" s="156"/>
      <c r="K435" s="156"/>
    </row>
    <row r="436" spans="1:11" s="217" customFormat="1" ht="13.5" customHeight="1" x14ac:dyDescent="0.2">
      <c r="A436" s="41" t="s">
        <v>671</v>
      </c>
      <c r="B436" s="12"/>
      <c r="C436" s="143"/>
      <c r="D436" s="71"/>
      <c r="E436" s="141"/>
      <c r="F436" s="158"/>
      <c r="G436" s="156"/>
      <c r="H436" s="156"/>
      <c r="I436" s="156"/>
      <c r="J436" s="156"/>
      <c r="K436" s="156"/>
    </row>
    <row r="437" spans="1:11" s="217" customFormat="1" ht="13.5" customHeight="1" x14ac:dyDescent="0.2">
      <c r="A437" s="41" t="s">
        <v>1040</v>
      </c>
      <c r="B437" s="12"/>
      <c r="C437" s="143"/>
      <c r="D437" s="71"/>
      <c r="E437" s="141"/>
      <c r="F437" s="158"/>
      <c r="G437" s="156"/>
      <c r="H437" s="156"/>
      <c r="I437" s="156"/>
      <c r="J437" s="156"/>
      <c r="K437" s="156"/>
    </row>
    <row r="438" spans="1:11" s="217" customFormat="1" ht="13.5" customHeight="1" thickBot="1" x14ac:dyDescent="0.25">
      <c r="A438" s="41" t="s">
        <v>11</v>
      </c>
      <c r="B438" s="12"/>
      <c r="C438" s="143"/>
      <c r="D438" s="71"/>
      <c r="E438" s="141"/>
      <c r="F438" s="158"/>
      <c r="G438" s="156"/>
      <c r="H438" s="156"/>
      <c r="I438" s="156"/>
      <c r="J438" s="156"/>
      <c r="K438" s="156"/>
    </row>
    <row r="439" spans="1:11" s="217" customFormat="1" ht="13.5" customHeight="1" thickBot="1" x14ac:dyDescent="0.25">
      <c r="A439" s="787" t="s">
        <v>0</v>
      </c>
      <c r="B439" s="788"/>
      <c r="C439" s="764"/>
      <c r="D439" s="766"/>
      <c r="E439" s="772">
        <f>C441+C473+C492</f>
        <v>12069470</v>
      </c>
      <c r="F439" s="158"/>
      <c r="G439" s="156"/>
      <c r="H439" s="953"/>
      <c r="I439" s="156"/>
      <c r="J439" s="156"/>
      <c r="K439" s="156"/>
    </row>
    <row r="440" spans="1:11" s="217" customFormat="1" ht="13.5" customHeight="1" thickBot="1" x14ac:dyDescent="0.25">
      <c r="A440" s="72"/>
      <c r="B440" s="72"/>
      <c r="C440" s="28"/>
      <c r="D440" s="28"/>
      <c r="E440" s="31"/>
      <c r="F440" s="158"/>
      <c r="G440" s="156"/>
      <c r="H440" s="156"/>
      <c r="I440" s="156"/>
      <c r="J440" s="156"/>
      <c r="K440" s="156"/>
    </row>
    <row r="441" spans="1:11" s="203" customFormat="1" ht="13.5" customHeight="1" thickBot="1" x14ac:dyDescent="0.25">
      <c r="A441" s="1104" t="s">
        <v>2</v>
      </c>
      <c r="B441" s="1105"/>
      <c r="C441" s="667">
        <f>C442+C444+C448+C450+C452+C455+C463+C467</f>
        <v>6326180</v>
      </c>
      <c r="D441" s="23"/>
      <c r="E441" s="31"/>
      <c r="F441" s="219"/>
      <c r="G441" s="152"/>
      <c r="H441" s="152"/>
      <c r="I441" s="152"/>
      <c r="J441" s="152"/>
      <c r="K441" s="152"/>
    </row>
    <row r="442" spans="1:11" s="218" customFormat="1" ht="13.5" customHeight="1" x14ac:dyDescent="0.25">
      <c r="A442" s="11" t="s">
        <v>103</v>
      </c>
      <c r="B442" s="211" t="s">
        <v>104</v>
      </c>
      <c r="C442" s="31">
        <f>SUM(C443)</f>
        <v>373080</v>
      </c>
      <c r="D442" s="220"/>
      <c r="E442" s="221"/>
      <c r="F442" s="202"/>
      <c r="G442" s="184"/>
      <c r="H442" s="184"/>
      <c r="I442" s="184"/>
      <c r="J442" s="184"/>
      <c r="K442" s="184"/>
    </row>
    <row r="443" spans="1:11" s="217" customFormat="1" ht="13.5" customHeight="1" x14ac:dyDescent="0.25">
      <c r="A443" s="12" t="s">
        <v>46</v>
      </c>
      <c r="B443" s="8" t="s">
        <v>45</v>
      </c>
      <c r="C443" s="24">
        <v>373080</v>
      </c>
      <c r="D443" s="28"/>
      <c r="E443" s="28"/>
      <c r="F443" s="158"/>
      <c r="G443" s="156"/>
      <c r="H443" s="156"/>
      <c r="I443" s="156"/>
      <c r="J443" s="156"/>
      <c r="K443" s="156"/>
    </row>
    <row r="444" spans="1:11" s="214" customFormat="1" ht="13.5" customHeight="1" x14ac:dyDescent="0.2">
      <c r="A444" s="265" t="s">
        <v>199</v>
      </c>
      <c r="B444" s="298" t="s">
        <v>228</v>
      </c>
      <c r="C444" s="31">
        <f>SUM(C445:C447)</f>
        <v>3503840</v>
      </c>
      <c r="D444" s="24"/>
      <c r="E444" s="24"/>
      <c r="F444" s="215"/>
      <c r="G444" s="177"/>
      <c r="H444" s="177"/>
      <c r="I444" s="177"/>
      <c r="J444" s="177"/>
      <c r="K444" s="177"/>
    </row>
    <row r="445" spans="1:11" s="203" customFormat="1" ht="11.5" x14ac:dyDescent="0.25">
      <c r="A445" s="72" t="s">
        <v>197</v>
      </c>
      <c r="B445" s="43" t="s">
        <v>196</v>
      </c>
      <c r="C445" s="24">
        <v>3450500</v>
      </c>
      <c r="E445" s="72"/>
      <c r="F445" s="219"/>
      <c r="G445" s="23"/>
      <c r="H445" s="152"/>
      <c r="I445" s="152"/>
      <c r="J445" s="152"/>
      <c r="K445" s="152"/>
    </row>
    <row r="446" spans="1:11" s="217" customFormat="1" ht="13.5" customHeight="1" x14ac:dyDescent="0.25">
      <c r="A446" s="12" t="s">
        <v>227</v>
      </c>
      <c r="B446" s="8" t="s">
        <v>226</v>
      </c>
      <c r="C446" s="24">
        <v>22000</v>
      </c>
      <c r="D446" s="28"/>
      <c r="E446" s="28"/>
      <c r="F446" s="158"/>
      <c r="G446" s="156"/>
      <c r="H446" s="156"/>
      <c r="I446" s="156"/>
      <c r="J446" s="156"/>
      <c r="K446" s="156"/>
    </row>
    <row r="447" spans="1:11" s="217" customFormat="1" ht="13.5" customHeight="1" x14ac:dyDescent="0.25">
      <c r="A447" s="12" t="s">
        <v>218</v>
      </c>
      <c r="B447" s="43" t="s">
        <v>217</v>
      </c>
      <c r="C447" s="24">
        <v>31340</v>
      </c>
      <c r="D447" s="28"/>
      <c r="E447" s="28"/>
      <c r="F447" s="158"/>
      <c r="G447" s="156"/>
      <c r="H447" s="156"/>
      <c r="I447" s="156"/>
      <c r="J447" s="156"/>
      <c r="K447" s="156"/>
    </row>
    <row r="448" spans="1:11" s="203" customFormat="1" ht="11.5" x14ac:dyDescent="0.25">
      <c r="A448" s="11" t="s">
        <v>105</v>
      </c>
      <c r="B448" s="556" t="s">
        <v>106</v>
      </c>
      <c r="C448" s="31">
        <f>SUM(C449)</f>
        <v>46240</v>
      </c>
      <c r="D448" s="220"/>
      <c r="F448" s="219"/>
      <c r="G448" s="152"/>
      <c r="H448" s="152"/>
      <c r="I448" s="152"/>
      <c r="J448" s="152"/>
      <c r="K448" s="152"/>
    </row>
    <row r="449" spans="1:11" s="43" customFormat="1" ht="13.5" customHeight="1" x14ac:dyDescent="0.3">
      <c r="A449" s="12" t="s">
        <v>86</v>
      </c>
      <c r="B449" s="8" t="s">
        <v>66</v>
      </c>
      <c r="C449" s="24">
        <v>46240</v>
      </c>
      <c r="D449" s="22"/>
      <c r="E449" s="31"/>
      <c r="F449" s="54"/>
      <c r="G449" s="55"/>
    </row>
    <row r="450" spans="1:11" s="43" customFormat="1" ht="13.5" customHeight="1" x14ac:dyDescent="0.3">
      <c r="A450" s="11" t="s">
        <v>107</v>
      </c>
      <c r="B450" s="556" t="s">
        <v>108</v>
      </c>
      <c r="C450" s="31">
        <f>SUM(C451)</f>
        <v>73200</v>
      </c>
      <c r="D450" s="22"/>
      <c r="E450" s="31"/>
      <c r="F450" s="54"/>
      <c r="G450" s="55"/>
    </row>
    <row r="451" spans="1:11" s="8" customFormat="1" ht="13" x14ac:dyDescent="0.3">
      <c r="A451" s="12" t="s">
        <v>47</v>
      </c>
      <c r="B451" s="23" t="s">
        <v>48</v>
      </c>
      <c r="C451" s="24">
        <v>73200</v>
      </c>
      <c r="D451" s="113"/>
      <c r="E451" s="86"/>
      <c r="F451" s="92"/>
    </row>
    <row r="452" spans="1:11" s="217" customFormat="1" ht="13.5" customHeight="1" x14ac:dyDescent="0.2">
      <c r="A452" s="11" t="s">
        <v>195</v>
      </c>
      <c r="B452" s="25" t="s">
        <v>194</v>
      </c>
      <c r="C452" s="31">
        <f>SUM(C453:C454)</f>
        <v>1050590</v>
      </c>
      <c r="D452" s="28"/>
      <c r="E452" s="28"/>
      <c r="F452" s="158"/>
      <c r="G452" s="156"/>
      <c r="H452" s="156"/>
      <c r="I452" s="156"/>
      <c r="J452" s="156"/>
      <c r="K452" s="156"/>
    </row>
    <row r="453" spans="1:11" s="217" customFormat="1" ht="13.5" customHeight="1" x14ac:dyDescent="0.25">
      <c r="A453" s="12" t="s">
        <v>193</v>
      </c>
      <c r="B453" s="8" t="s">
        <v>215</v>
      </c>
      <c r="C453" s="24">
        <v>1042840</v>
      </c>
      <c r="E453" s="28"/>
      <c r="F453" s="158"/>
      <c r="G453" s="28"/>
      <c r="H453" s="156"/>
      <c r="I453" s="156"/>
      <c r="J453" s="156"/>
      <c r="K453" s="156"/>
    </row>
    <row r="454" spans="1:11" s="217" customFormat="1" ht="13.5" customHeight="1" x14ac:dyDescent="0.25">
      <c r="A454" s="12" t="s">
        <v>214</v>
      </c>
      <c r="B454" s="8" t="s">
        <v>213</v>
      </c>
      <c r="C454" s="24">
        <v>7750</v>
      </c>
      <c r="E454" s="28"/>
      <c r="F454" s="158"/>
      <c r="G454" s="28"/>
      <c r="H454" s="156"/>
      <c r="I454" s="156"/>
      <c r="J454" s="156"/>
      <c r="K454" s="156"/>
    </row>
    <row r="455" spans="1:11" s="217" customFormat="1" ht="13.5" customHeight="1" x14ac:dyDescent="0.25">
      <c r="A455" s="11" t="s">
        <v>119</v>
      </c>
      <c r="B455" s="556" t="s">
        <v>109</v>
      </c>
      <c r="C455" s="31">
        <f>SUM(C456:C462)</f>
        <v>587910</v>
      </c>
      <c r="E455" s="28"/>
      <c r="F455" s="158"/>
      <c r="G455" s="28"/>
      <c r="H455" s="156"/>
      <c r="I455" s="156"/>
      <c r="J455" s="156"/>
      <c r="K455" s="156"/>
    </row>
    <row r="456" spans="1:11" s="217" customFormat="1" ht="13.5" customHeight="1" x14ac:dyDescent="0.25">
      <c r="A456" s="12" t="s">
        <v>190</v>
      </c>
      <c r="B456" s="43" t="s">
        <v>189</v>
      </c>
      <c r="C456" s="24">
        <v>102350</v>
      </c>
      <c r="E456" s="28"/>
      <c r="F456" s="158"/>
      <c r="G456" s="28"/>
      <c r="H456" s="156"/>
      <c r="I456" s="156"/>
      <c r="J456" s="156"/>
      <c r="K456" s="156"/>
    </row>
    <row r="457" spans="1:11" s="217" customFormat="1" ht="13.5" customHeight="1" x14ac:dyDescent="0.25">
      <c r="A457" s="12" t="s">
        <v>188</v>
      </c>
      <c r="B457" s="43" t="s">
        <v>187</v>
      </c>
      <c r="C457" s="24">
        <v>369800</v>
      </c>
      <c r="E457" s="28"/>
      <c r="F457" s="158"/>
      <c r="G457" s="28"/>
      <c r="H457" s="156"/>
      <c r="I457" s="156"/>
      <c r="J457" s="156"/>
      <c r="K457" s="156"/>
    </row>
    <row r="458" spans="1:11" s="217" customFormat="1" ht="13.5" customHeight="1" x14ac:dyDescent="0.25">
      <c r="A458" s="12" t="s">
        <v>186</v>
      </c>
      <c r="B458" s="43" t="s">
        <v>185</v>
      </c>
      <c r="C458" s="24">
        <v>5260</v>
      </c>
      <c r="E458" s="28"/>
      <c r="F458" s="158"/>
      <c r="G458" s="28"/>
      <c r="H458" s="156"/>
      <c r="I458" s="156"/>
      <c r="J458" s="156"/>
      <c r="K458" s="156"/>
    </row>
    <row r="459" spans="1:11" s="217" customFormat="1" ht="13.5" customHeight="1" x14ac:dyDescent="0.25">
      <c r="A459" s="12" t="s">
        <v>697</v>
      </c>
      <c r="B459" s="43" t="s">
        <v>696</v>
      </c>
      <c r="C459" s="24">
        <v>17500</v>
      </c>
      <c r="E459" s="28"/>
      <c r="F459" s="158"/>
      <c r="G459" s="28"/>
      <c r="H459" s="156"/>
      <c r="I459" s="156"/>
      <c r="J459" s="156"/>
      <c r="K459" s="156"/>
    </row>
    <row r="460" spans="1:11" s="66" customFormat="1" ht="13" x14ac:dyDescent="0.3">
      <c r="A460" s="72" t="s">
        <v>816</v>
      </c>
      <c r="B460" s="24" t="s">
        <v>810</v>
      </c>
      <c r="C460" s="24">
        <v>23000</v>
      </c>
      <c r="D460" s="78"/>
      <c r="E460" s="25"/>
    </row>
    <row r="461" spans="1:11" s="66" customFormat="1" ht="13" x14ac:dyDescent="0.3">
      <c r="A461" s="72" t="s">
        <v>820</v>
      </c>
      <c r="B461" s="24" t="s">
        <v>821</v>
      </c>
      <c r="C461" s="24">
        <v>55000</v>
      </c>
      <c r="D461" s="78"/>
      <c r="E461" s="25"/>
    </row>
    <row r="462" spans="1:11" s="66" customFormat="1" ht="13" x14ac:dyDescent="0.3">
      <c r="A462" s="72" t="s">
        <v>811</v>
      </c>
      <c r="B462" s="24" t="s">
        <v>812</v>
      </c>
      <c r="C462" s="24">
        <v>15000</v>
      </c>
      <c r="D462" s="78"/>
      <c r="E462" s="25"/>
    </row>
    <row r="463" spans="1:11" s="217" customFormat="1" ht="13.5" customHeight="1" x14ac:dyDescent="0.25">
      <c r="A463" s="265" t="s">
        <v>124</v>
      </c>
      <c r="B463" s="559" t="s">
        <v>123</v>
      </c>
      <c r="C463" s="31">
        <f>SUM(C464:C466)</f>
        <v>90420</v>
      </c>
      <c r="E463" s="28"/>
      <c r="F463" s="158"/>
      <c r="G463" s="27"/>
      <c r="H463" s="156"/>
      <c r="I463" s="156"/>
      <c r="J463" s="156"/>
      <c r="K463" s="156"/>
    </row>
    <row r="464" spans="1:11" s="217" customFormat="1" ht="13.5" customHeight="1" x14ac:dyDescent="0.2">
      <c r="A464" s="72" t="s">
        <v>230</v>
      </c>
      <c r="B464" s="23" t="s">
        <v>229</v>
      </c>
      <c r="C464" s="24">
        <v>17550</v>
      </c>
      <c r="E464" s="28"/>
      <c r="F464" s="158"/>
      <c r="G464" s="27"/>
      <c r="H464" s="156"/>
      <c r="I464" s="156"/>
      <c r="J464" s="156"/>
      <c r="K464" s="156"/>
    </row>
    <row r="465" spans="1:11" s="217" customFormat="1" ht="13.5" customHeight="1" x14ac:dyDescent="0.25">
      <c r="A465" s="72" t="s">
        <v>242</v>
      </c>
      <c r="B465" s="43" t="s">
        <v>243</v>
      </c>
      <c r="C465" s="24">
        <v>26100</v>
      </c>
      <c r="E465" s="28"/>
      <c r="F465" s="158"/>
      <c r="G465" s="221"/>
      <c r="H465" s="156"/>
      <c r="I465" s="156"/>
      <c r="J465" s="156"/>
      <c r="K465" s="156"/>
    </row>
    <row r="466" spans="1:11" s="217" customFormat="1" ht="13.5" customHeight="1" x14ac:dyDescent="0.2">
      <c r="A466" s="72" t="s">
        <v>93</v>
      </c>
      <c r="B466" s="23" t="s">
        <v>72</v>
      </c>
      <c r="C466" s="24">
        <v>46770</v>
      </c>
      <c r="E466" s="28"/>
      <c r="F466" s="158"/>
      <c r="G466" s="221"/>
      <c r="H466" s="156"/>
      <c r="I466" s="156"/>
      <c r="J466" s="156"/>
      <c r="K466" s="156"/>
    </row>
    <row r="467" spans="1:11" s="203" customFormat="1" ht="13.5" customHeight="1" x14ac:dyDescent="0.2">
      <c r="A467" s="265" t="s">
        <v>151</v>
      </c>
      <c r="B467" s="25" t="s">
        <v>133</v>
      </c>
      <c r="C467" s="31">
        <f>SUM(C468:C471)</f>
        <v>600900</v>
      </c>
      <c r="E467" s="31"/>
      <c r="F467" s="219"/>
      <c r="G467" s="23"/>
      <c r="H467" s="152"/>
      <c r="I467" s="152"/>
      <c r="J467" s="152"/>
      <c r="K467" s="152"/>
    </row>
    <row r="468" spans="1:11" s="203" customFormat="1" ht="13.5" customHeight="1" x14ac:dyDescent="0.2">
      <c r="A468" s="72" t="s">
        <v>152</v>
      </c>
      <c r="B468" s="23" t="s">
        <v>65</v>
      </c>
      <c r="C468" s="24">
        <v>303270</v>
      </c>
      <c r="E468" s="31"/>
      <c r="F468" s="219"/>
      <c r="G468" s="28"/>
      <c r="H468" s="152"/>
      <c r="I468" s="152"/>
      <c r="J468" s="152"/>
      <c r="K468" s="152"/>
    </row>
    <row r="469" spans="1:11" s="203" customFormat="1" ht="13.5" customHeight="1" x14ac:dyDescent="0.2">
      <c r="A469" s="72" t="s">
        <v>244</v>
      </c>
      <c r="B469" s="23" t="s">
        <v>245</v>
      </c>
      <c r="C469" s="24">
        <v>255610</v>
      </c>
      <c r="E469" s="31"/>
      <c r="F469" s="219"/>
      <c r="G469" s="23"/>
      <c r="H469" s="152"/>
      <c r="I469" s="152"/>
      <c r="J469" s="152"/>
      <c r="K469" s="152"/>
    </row>
    <row r="470" spans="1:11" s="203" customFormat="1" ht="13.5" customHeight="1" x14ac:dyDescent="0.2">
      <c r="A470" s="72" t="s">
        <v>210</v>
      </c>
      <c r="B470" s="23" t="s">
        <v>209</v>
      </c>
      <c r="C470" s="24">
        <v>17760</v>
      </c>
      <c r="D470" s="23"/>
      <c r="E470" s="31"/>
      <c r="F470" s="219"/>
      <c r="G470" s="152"/>
      <c r="H470" s="152"/>
      <c r="I470" s="152"/>
      <c r="J470" s="152"/>
      <c r="K470" s="152"/>
    </row>
    <row r="471" spans="1:11" s="8" customFormat="1" ht="13" x14ac:dyDescent="0.3">
      <c r="A471" s="72" t="s">
        <v>155</v>
      </c>
      <c r="B471" s="23" t="s">
        <v>133</v>
      </c>
      <c r="C471" s="24">
        <v>24260</v>
      </c>
      <c r="D471" s="113"/>
      <c r="E471" s="86"/>
      <c r="F471" s="92"/>
    </row>
    <row r="472" spans="1:11" s="8" customFormat="1" ht="13.5" customHeight="1" thickBot="1" x14ac:dyDescent="0.35">
      <c r="A472" s="72"/>
      <c r="B472" s="23"/>
      <c r="C472" s="23"/>
      <c r="D472" s="113"/>
      <c r="E472" s="86"/>
      <c r="F472" s="92"/>
      <c r="K472" s="8" t="s">
        <v>200</v>
      </c>
    </row>
    <row r="473" spans="1:11" s="203" customFormat="1" ht="13.5" customHeight="1" thickBot="1" x14ac:dyDescent="0.25">
      <c r="A473" s="1096" t="s">
        <v>3</v>
      </c>
      <c r="B473" s="1097"/>
      <c r="C473" s="668">
        <f>C474+C476+C481+C484+C487</f>
        <v>5528870</v>
      </c>
      <c r="D473" s="23"/>
      <c r="E473" s="31"/>
      <c r="F473" s="219"/>
      <c r="G473" s="152"/>
      <c r="H473" s="152"/>
      <c r="I473" s="152"/>
      <c r="J473" s="152"/>
      <c r="K473" s="152"/>
    </row>
    <row r="474" spans="1:11" s="214" customFormat="1" ht="13.5" customHeight="1" x14ac:dyDescent="0.25">
      <c r="A474" s="560" t="s">
        <v>110</v>
      </c>
      <c r="B474" s="298" t="s">
        <v>111</v>
      </c>
      <c r="C474" s="31">
        <f>SUM(C475)</f>
        <v>83830</v>
      </c>
      <c r="E474" s="24"/>
      <c r="F474" s="215"/>
      <c r="G474" s="24"/>
      <c r="H474" s="177"/>
      <c r="I474" s="177"/>
      <c r="J474" s="177"/>
      <c r="K474" s="177"/>
    </row>
    <row r="475" spans="1:11" s="203" customFormat="1" ht="13.5" customHeight="1" x14ac:dyDescent="0.25">
      <c r="A475" s="70" t="s">
        <v>52</v>
      </c>
      <c r="B475" s="71" t="s">
        <v>15</v>
      </c>
      <c r="C475" s="24">
        <v>83830</v>
      </c>
      <c r="E475" s="23"/>
      <c r="F475" s="219"/>
      <c r="G475" s="31"/>
      <c r="H475" s="152"/>
      <c r="I475" s="152"/>
      <c r="J475" s="152"/>
      <c r="K475" s="152"/>
    </row>
    <row r="476" spans="1:11" s="203" customFormat="1" ht="13.5" customHeight="1" x14ac:dyDescent="0.25">
      <c r="A476" s="560" t="s">
        <v>120</v>
      </c>
      <c r="B476" s="561" t="s">
        <v>121</v>
      </c>
      <c r="C476" s="31">
        <f>SUM(C477:C480)</f>
        <v>1525800</v>
      </c>
      <c r="E476" s="23"/>
      <c r="F476" s="219"/>
      <c r="G476" s="31"/>
      <c r="H476" s="152"/>
      <c r="I476" s="152"/>
      <c r="J476" s="152"/>
      <c r="K476" s="152"/>
    </row>
    <row r="477" spans="1:11" s="203" customFormat="1" ht="13.5" customHeight="1" x14ac:dyDescent="0.25">
      <c r="A477" s="70" t="s">
        <v>246</v>
      </c>
      <c r="B477" s="71" t="s">
        <v>247</v>
      </c>
      <c r="C477" s="24">
        <v>848750</v>
      </c>
      <c r="E477" s="23"/>
      <c r="F477" s="219"/>
      <c r="G477" s="31"/>
      <c r="H477" s="152"/>
      <c r="I477" s="152"/>
      <c r="J477" s="152"/>
      <c r="K477" s="152"/>
    </row>
    <row r="478" spans="1:11" s="203" customFormat="1" ht="13.5" customHeight="1" x14ac:dyDescent="0.25">
      <c r="A478" s="70" t="s">
        <v>183</v>
      </c>
      <c r="B478" s="71" t="s">
        <v>248</v>
      </c>
      <c r="C478" s="24">
        <v>370650</v>
      </c>
      <c r="E478" s="23"/>
      <c r="F478" s="219"/>
      <c r="G478" s="31"/>
      <c r="H478" s="152"/>
      <c r="I478" s="152"/>
      <c r="J478" s="152"/>
      <c r="K478" s="152"/>
    </row>
    <row r="479" spans="1:11" s="203" customFormat="1" ht="13.5" customHeight="1" x14ac:dyDescent="0.2">
      <c r="A479" s="12" t="s">
        <v>208</v>
      </c>
      <c r="B479" s="12" t="s">
        <v>207</v>
      </c>
      <c r="C479" s="24">
        <v>18520</v>
      </c>
      <c r="E479" s="23"/>
      <c r="F479" s="219"/>
      <c r="G479" s="31"/>
      <c r="H479" s="152"/>
      <c r="I479" s="152"/>
      <c r="J479" s="152"/>
      <c r="K479" s="152"/>
    </row>
    <row r="480" spans="1:11" s="203" customFormat="1" ht="13.5" customHeight="1" x14ac:dyDescent="0.25">
      <c r="A480" s="70" t="s">
        <v>136</v>
      </c>
      <c r="B480" s="43" t="s">
        <v>206</v>
      </c>
      <c r="C480" s="24">
        <v>287880</v>
      </c>
      <c r="E480" s="23"/>
      <c r="F480" s="219"/>
      <c r="G480" s="31"/>
      <c r="H480" s="152"/>
      <c r="I480" s="152"/>
      <c r="J480" s="152"/>
      <c r="K480" s="152"/>
    </row>
    <row r="481" spans="1:11" s="203" customFormat="1" ht="13.5" customHeight="1" x14ac:dyDescent="0.25">
      <c r="A481" s="560" t="s">
        <v>112</v>
      </c>
      <c r="B481" s="559" t="s">
        <v>157</v>
      </c>
      <c r="C481" s="31">
        <f>SUM(C482:C483)</f>
        <v>1547100</v>
      </c>
      <c r="E481" s="23"/>
      <c r="F481" s="219"/>
      <c r="G481" s="31"/>
      <c r="H481" s="152"/>
      <c r="I481" s="152"/>
      <c r="J481" s="152"/>
      <c r="K481" s="152"/>
    </row>
    <row r="482" spans="1:11" s="203" customFormat="1" ht="13.5" customHeight="1" x14ac:dyDescent="0.25">
      <c r="A482" s="70" t="s">
        <v>138</v>
      </c>
      <c r="B482" s="59" t="s">
        <v>878</v>
      </c>
      <c r="C482" s="24">
        <v>7000</v>
      </c>
      <c r="E482" s="55"/>
      <c r="F482" s="215"/>
      <c r="G482" s="83"/>
      <c r="H482" s="152"/>
      <c r="I482" s="152"/>
      <c r="J482" s="152"/>
      <c r="K482" s="152"/>
    </row>
    <row r="483" spans="1:11" s="203" customFormat="1" ht="13.5" customHeight="1" x14ac:dyDescent="0.25">
      <c r="A483" s="70" t="s">
        <v>156</v>
      </c>
      <c r="B483" s="70" t="s">
        <v>87</v>
      </c>
      <c r="C483" s="24">
        <v>1540100</v>
      </c>
      <c r="F483" s="219"/>
      <c r="G483" s="83"/>
      <c r="H483" s="152"/>
      <c r="I483" s="152"/>
      <c r="J483" s="152"/>
      <c r="K483" s="152"/>
    </row>
    <row r="484" spans="1:11" s="203" customFormat="1" ht="13.5" customHeight="1" x14ac:dyDescent="0.25">
      <c r="A484" s="560" t="s">
        <v>113</v>
      </c>
      <c r="B484" s="560" t="s">
        <v>114</v>
      </c>
      <c r="C484" s="31">
        <f>SUM(C485:C486)</f>
        <v>42510</v>
      </c>
      <c r="E484" s="83"/>
      <c r="F484" s="219"/>
      <c r="G484" s="23"/>
      <c r="H484" s="152"/>
      <c r="I484" s="152"/>
      <c r="J484" s="152"/>
      <c r="K484" s="152"/>
    </row>
    <row r="485" spans="1:11" s="5" customFormat="1" ht="13" x14ac:dyDescent="0.25">
      <c r="A485" s="72" t="s">
        <v>164</v>
      </c>
      <c r="B485" s="12" t="s">
        <v>74</v>
      </c>
      <c r="C485" s="24">
        <v>30570</v>
      </c>
      <c r="E485" s="14"/>
      <c r="F485" s="14"/>
      <c r="G485" s="24"/>
    </row>
    <row r="486" spans="1:11" s="203" customFormat="1" ht="13.5" customHeight="1" x14ac:dyDescent="0.25">
      <c r="A486" s="70" t="s">
        <v>88</v>
      </c>
      <c r="B486" s="59" t="s">
        <v>64</v>
      </c>
      <c r="C486" s="24">
        <v>11940</v>
      </c>
      <c r="E486" s="23"/>
      <c r="F486" s="219"/>
      <c r="G486" s="23"/>
      <c r="H486" s="152"/>
      <c r="I486" s="152"/>
      <c r="J486" s="152"/>
      <c r="K486" s="152"/>
    </row>
    <row r="487" spans="1:11" s="203" customFormat="1" ht="13.5" customHeight="1" x14ac:dyDescent="0.25">
      <c r="A487" s="560" t="s">
        <v>115</v>
      </c>
      <c r="B487" s="284" t="s">
        <v>8</v>
      </c>
      <c r="C487" s="31">
        <f>SUM(C488:C490)</f>
        <v>2329630</v>
      </c>
      <c r="E487" s="23"/>
      <c r="F487" s="219"/>
      <c r="G487" s="23"/>
      <c r="H487" s="152"/>
      <c r="I487" s="152"/>
      <c r="J487" s="152"/>
      <c r="K487" s="152"/>
    </row>
    <row r="488" spans="1:11" s="203" customFormat="1" ht="13.5" customHeight="1" x14ac:dyDescent="0.25">
      <c r="A488" s="70" t="s">
        <v>89</v>
      </c>
      <c r="B488" s="130" t="s">
        <v>8</v>
      </c>
      <c r="C488" s="24">
        <v>1383360</v>
      </c>
      <c r="E488" s="23"/>
      <c r="F488" s="219"/>
      <c r="G488" s="23"/>
      <c r="H488" s="152"/>
      <c r="I488" s="152"/>
      <c r="J488" s="152"/>
      <c r="K488" s="152"/>
    </row>
    <row r="489" spans="1:11" s="203" customFormat="1" ht="13.5" customHeight="1" x14ac:dyDescent="0.25">
      <c r="A489" s="70" t="s">
        <v>181</v>
      </c>
      <c r="B489" s="70" t="s">
        <v>50</v>
      </c>
      <c r="C489" s="24">
        <v>908370</v>
      </c>
      <c r="E489" s="23"/>
      <c r="F489" s="219"/>
      <c r="G489" s="23"/>
      <c r="H489" s="152"/>
      <c r="I489" s="152"/>
      <c r="J489" s="152"/>
      <c r="K489" s="152"/>
    </row>
    <row r="490" spans="1:11" s="203" customFormat="1" ht="13.5" customHeight="1" x14ac:dyDescent="0.25">
      <c r="A490" s="70" t="s">
        <v>90</v>
      </c>
      <c r="B490" s="71" t="s">
        <v>7</v>
      </c>
      <c r="C490" s="24">
        <v>37900</v>
      </c>
      <c r="E490" s="23"/>
      <c r="F490" s="219"/>
      <c r="G490" s="31"/>
      <c r="H490" s="152"/>
      <c r="I490" s="152"/>
      <c r="J490" s="152"/>
      <c r="K490" s="152"/>
    </row>
    <row r="491" spans="1:11" s="203" customFormat="1" ht="13.5" customHeight="1" thickBot="1" x14ac:dyDescent="0.3">
      <c r="A491" s="70"/>
      <c r="B491" s="71"/>
      <c r="C491" s="24"/>
      <c r="E491" s="23"/>
      <c r="F491" s="219"/>
      <c r="G491" s="31"/>
      <c r="H491" s="152"/>
      <c r="I491" s="152"/>
      <c r="J491" s="152"/>
      <c r="K491" s="152"/>
    </row>
    <row r="492" spans="1:11" s="203" customFormat="1" ht="13.5" customHeight="1" thickBot="1" x14ac:dyDescent="0.25">
      <c r="A492" s="1148" t="s">
        <v>4</v>
      </c>
      <c r="B492" s="1149"/>
      <c r="C492" s="670">
        <f>C493+C496+C500</f>
        <v>214420</v>
      </c>
      <c r="E492" s="23"/>
      <c r="F492" s="219"/>
      <c r="G492" s="23"/>
      <c r="H492" s="152"/>
      <c r="I492" s="152"/>
      <c r="J492" s="152"/>
      <c r="K492" s="152"/>
    </row>
    <row r="493" spans="1:11" s="218" customFormat="1" ht="13.5" customHeight="1" x14ac:dyDescent="0.2">
      <c r="A493" s="284" t="s">
        <v>179</v>
      </c>
      <c r="B493" s="562" t="s">
        <v>178</v>
      </c>
      <c r="C493" s="31">
        <f>SUM(C494:C495)</f>
        <v>71020</v>
      </c>
      <c r="E493" s="202"/>
      <c r="G493" s="221"/>
      <c r="H493" s="184"/>
      <c r="I493" s="184"/>
      <c r="J493" s="184"/>
      <c r="K493" s="184"/>
    </row>
    <row r="494" spans="1:11" s="217" customFormat="1" ht="13.5" customHeight="1" x14ac:dyDescent="0.2">
      <c r="A494" s="130" t="s">
        <v>175</v>
      </c>
      <c r="B494" s="130" t="s">
        <v>174</v>
      </c>
      <c r="C494" s="24">
        <v>40900</v>
      </c>
      <c r="E494" s="158"/>
      <c r="G494" s="135"/>
      <c r="H494" s="156"/>
      <c r="I494" s="156"/>
      <c r="J494" s="156"/>
      <c r="K494" s="156"/>
    </row>
    <row r="495" spans="1:11" s="217" customFormat="1" ht="13.5" customHeight="1" x14ac:dyDescent="0.2">
      <c r="A495" s="130" t="s">
        <v>173</v>
      </c>
      <c r="B495" s="130" t="s">
        <v>172</v>
      </c>
      <c r="C495" s="24">
        <v>30120</v>
      </c>
      <c r="E495" s="158"/>
      <c r="G495" s="135"/>
      <c r="H495" s="156"/>
      <c r="I495" s="156"/>
      <c r="J495" s="156"/>
      <c r="K495" s="156"/>
    </row>
    <row r="496" spans="1:11" s="214" customFormat="1" ht="13.5" customHeight="1" x14ac:dyDescent="0.25">
      <c r="A496" s="265" t="s">
        <v>116</v>
      </c>
      <c r="B496" s="211" t="s">
        <v>117</v>
      </c>
      <c r="C496" s="31">
        <f>SUM(C497:C499)</f>
        <v>132900</v>
      </c>
      <c r="D496" s="24"/>
      <c r="E496" s="24"/>
      <c r="F496" s="215"/>
      <c r="G496" s="177"/>
      <c r="H496" s="177"/>
      <c r="I496" s="177"/>
      <c r="J496" s="177"/>
      <c r="K496" s="177"/>
    </row>
    <row r="497" spans="1:11" s="203" customFormat="1" ht="13.5" customHeight="1" x14ac:dyDescent="0.2">
      <c r="A497" s="72" t="s">
        <v>91</v>
      </c>
      <c r="B497" s="130" t="s">
        <v>139</v>
      </c>
      <c r="C497" s="24">
        <v>21100</v>
      </c>
      <c r="D497" s="23"/>
      <c r="E497" s="23"/>
      <c r="F497" s="219"/>
      <c r="G497" s="152"/>
      <c r="H497" s="152"/>
      <c r="I497" s="152"/>
      <c r="J497" s="152"/>
      <c r="K497" s="152"/>
    </row>
    <row r="498" spans="1:11" s="203" customFormat="1" ht="13.5" customHeight="1" x14ac:dyDescent="0.25">
      <c r="A498" s="72" t="s">
        <v>162</v>
      </c>
      <c r="B498" s="43" t="s">
        <v>163</v>
      </c>
      <c r="C498" s="24">
        <v>81800</v>
      </c>
      <c r="D498" s="25"/>
      <c r="E498" s="23"/>
      <c r="F498" s="219"/>
      <c r="G498" s="152"/>
      <c r="H498" s="152"/>
      <c r="I498" s="152"/>
      <c r="J498" s="152"/>
      <c r="K498" s="152"/>
    </row>
    <row r="499" spans="1:11" s="8" customFormat="1" ht="13.5" customHeight="1" x14ac:dyDescent="0.25">
      <c r="A499" s="72" t="s">
        <v>814</v>
      </c>
      <c r="B499" s="23" t="s">
        <v>815</v>
      </c>
      <c r="C499" s="24">
        <v>30000</v>
      </c>
      <c r="D499" s="78"/>
      <c r="E499" s="25"/>
      <c r="F499" s="99"/>
      <c r="G499" s="55"/>
      <c r="H499" s="43"/>
    </row>
    <row r="500" spans="1:11" s="203" customFormat="1" ht="13.5" customHeight="1" x14ac:dyDescent="0.2">
      <c r="A500" s="265" t="s">
        <v>166</v>
      </c>
      <c r="B500" s="25" t="s">
        <v>134</v>
      </c>
      <c r="C500" s="31">
        <f>SUM(C501)</f>
        <v>10500</v>
      </c>
      <c r="D500" s="25"/>
      <c r="E500" s="23"/>
      <c r="F500" s="219"/>
      <c r="G500" s="152"/>
      <c r="H500" s="152"/>
      <c r="I500" s="152"/>
      <c r="J500" s="152"/>
      <c r="K500" s="152"/>
    </row>
    <row r="501" spans="1:11" s="203" customFormat="1" ht="13.5" customHeight="1" x14ac:dyDescent="0.25">
      <c r="A501" s="72" t="s">
        <v>167</v>
      </c>
      <c r="B501" s="43" t="s">
        <v>51</v>
      </c>
      <c r="C501" s="24">
        <v>10500</v>
      </c>
      <c r="D501" s="23"/>
      <c r="E501" s="23"/>
      <c r="F501" s="219"/>
      <c r="G501" s="152"/>
      <c r="H501" s="152"/>
      <c r="I501" s="152"/>
      <c r="J501" s="152"/>
      <c r="K501" s="152"/>
    </row>
    <row r="502" spans="1:11" s="203" customFormat="1" ht="13.5" customHeight="1" x14ac:dyDescent="0.25">
      <c r="A502" s="72"/>
      <c r="B502" s="43"/>
      <c r="C502" s="24"/>
      <c r="D502" s="23"/>
      <c r="E502" s="23"/>
      <c r="F502" s="219"/>
      <c r="G502" s="152"/>
      <c r="H502" s="152"/>
      <c r="I502" s="152"/>
      <c r="J502" s="152"/>
      <c r="K502" s="152"/>
    </row>
    <row r="503" spans="1:11" s="6" customFormat="1" ht="13.5" customHeight="1" thickBot="1" x14ac:dyDescent="0.3">
      <c r="A503" s="11"/>
      <c r="B503" s="175"/>
      <c r="C503" s="31"/>
      <c r="D503" s="222"/>
      <c r="E503" s="157"/>
      <c r="F503" s="223"/>
    </row>
    <row r="504" spans="1:11" s="225" customFormat="1" ht="13.5" customHeight="1" x14ac:dyDescent="0.3">
      <c r="A504" s="1117" t="s">
        <v>249</v>
      </c>
      <c r="B504" s="1118"/>
      <c r="C504" s="1119"/>
      <c r="D504" s="719" t="s">
        <v>6</v>
      </c>
      <c r="E504" s="927">
        <v>1207</v>
      </c>
      <c r="F504" s="224"/>
    </row>
    <row r="505" spans="1:11" s="225" customFormat="1" ht="13.5" customHeight="1" thickBot="1" x14ac:dyDescent="0.35">
      <c r="A505" s="1120"/>
      <c r="B505" s="1121"/>
      <c r="C505" s="1122"/>
      <c r="D505" s="736"/>
      <c r="E505" s="737"/>
      <c r="F505" s="224"/>
    </row>
    <row r="506" spans="1:11" s="225" customFormat="1" ht="13.5" customHeight="1" x14ac:dyDescent="0.3">
      <c r="A506" s="1123" t="s">
        <v>951</v>
      </c>
      <c r="B506" s="1124"/>
      <c r="C506" s="1124"/>
      <c r="D506" s="1124"/>
      <c r="E506" s="1125"/>
      <c r="F506" s="226"/>
    </row>
    <row r="507" spans="1:11" s="225" customFormat="1" ht="13.5" customHeight="1" x14ac:dyDescent="0.3">
      <c r="A507" s="1126"/>
      <c r="B507" s="1127"/>
      <c r="C507" s="1127"/>
      <c r="D507" s="1127"/>
      <c r="E507" s="1128"/>
      <c r="F507" s="226"/>
    </row>
    <row r="508" spans="1:11" s="225" customFormat="1" ht="13.5" customHeight="1" x14ac:dyDescent="0.3">
      <c r="A508" s="1126"/>
      <c r="B508" s="1127"/>
      <c r="C508" s="1127"/>
      <c r="D508" s="1127"/>
      <c r="E508" s="1128"/>
      <c r="F508" s="226"/>
    </row>
    <row r="509" spans="1:11" s="225" customFormat="1" ht="13.5" customHeight="1" x14ac:dyDescent="0.3">
      <c r="A509" s="1126"/>
      <c r="B509" s="1127"/>
      <c r="C509" s="1127"/>
      <c r="D509" s="1127"/>
      <c r="E509" s="1128"/>
      <c r="F509" s="226"/>
    </row>
    <row r="510" spans="1:11" s="225" customFormat="1" ht="13.5" customHeight="1" thickBot="1" x14ac:dyDescent="0.35">
      <c r="A510" s="1129"/>
      <c r="B510" s="1130"/>
      <c r="C510" s="1130"/>
      <c r="D510" s="1130"/>
      <c r="E510" s="1131"/>
      <c r="F510" s="226"/>
    </row>
    <row r="511" spans="1:11" s="13" customFormat="1" ht="13.5" customHeight="1" x14ac:dyDescent="0.25">
      <c r="A511" s="41" t="s">
        <v>1029</v>
      </c>
      <c r="B511" s="143"/>
      <c r="C511" s="24"/>
      <c r="D511" s="227"/>
      <c r="E511" s="141"/>
      <c r="F511" s="224"/>
    </row>
    <row r="512" spans="1:11" s="13" customFormat="1" ht="13.5" customHeight="1" x14ac:dyDescent="0.25">
      <c r="A512" s="41" t="s">
        <v>250</v>
      </c>
      <c r="B512" s="143"/>
      <c r="C512" s="24"/>
      <c r="D512" s="227"/>
      <c r="E512" s="141"/>
      <c r="F512" s="224"/>
    </row>
    <row r="513" spans="1:11" s="13" customFormat="1" ht="13.5" customHeight="1" x14ac:dyDescent="0.25">
      <c r="A513" s="41" t="s">
        <v>1040</v>
      </c>
      <c r="B513" s="143"/>
      <c r="C513" s="24"/>
      <c r="D513" s="227"/>
      <c r="E513" s="141"/>
      <c r="F513" s="224"/>
    </row>
    <row r="514" spans="1:11" s="13" customFormat="1" ht="13.5" customHeight="1" thickBot="1" x14ac:dyDescent="0.3">
      <c r="A514" s="41" t="s">
        <v>11</v>
      </c>
      <c r="B514" s="143"/>
      <c r="C514" s="24"/>
      <c r="D514" s="227"/>
      <c r="E514" s="137"/>
      <c r="F514" s="224"/>
    </row>
    <row r="515" spans="1:11" s="225" customFormat="1" ht="13.5" customHeight="1" thickBot="1" x14ac:dyDescent="0.35">
      <c r="A515" s="789" t="s">
        <v>0</v>
      </c>
      <c r="B515" s="790"/>
      <c r="C515" s="791"/>
      <c r="D515" s="792"/>
      <c r="E515" s="793">
        <f>SUM(C517+C535+C547)</f>
        <v>2189140</v>
      </c>
      <c r="F515" s="228"/>
      <c r="H515" s="952"/>
    </row>
    <row r="516" spans="1:11" s="6" customFormat="1" ht="13.5" customHeight="1" thickBot="1" x14ac:dyDescent="0.3">
      <c r="A516" s="12"/>
      <c r="B516" s="143"/>
      <c r="C516" s="24"/>
      <c r="D516" s="227"/>
      <c r="E516" s="45"/>
      <c r="F516" s="223"/>
    </row>
    <row r="517" spans="1:11" s="6" customFormat="1" ht="13.5" customHeight="1" thickBot="1" x14ac:dyDescent="0.35">
      <c r="A517" s="1104" t="s">
        <v>2</v>
      </c>
      <c r="B517" s="1105"/>
      <c r="C517" s="667">
        <f>C518+C520+C522+C530+C524</f>
        <v>979400</v>
      </c>
      <c r="D517" s="62"/>
      <c r="E517" s="229"/>
      <c r="F517" s="223"/>
    </row>
    <row r="518" spans="1:11" s="224" customFormat="1" ht="13.5" customHeight="1" x14ac:dyDescent="0.3">
      <c r="A518" s="11" t="s">
        <v>103</v>
      </c>
      <c r="B518" s="298" t="s">
        <v>104</v>
      </c>
      <c r="C518" s="32">
        <f>SUM(C519)</f>
        <v>92040</v>
      </c>
      <c r="D518" s="90"/>
      <c r="E518" s="230"/>
    </row>
    <row r="519" spans="1:11" s="43" customFormat="1" ht="13.5" customHeight="1" x14ac:dyDescent="0.25">
      <c r="A519" s="12" t="s">
        <v>46</v>
      </c>
      <c r="B519" s="43" t="s">
        <v>161</v>
      </c>
      <c r="C519" s="24">
        <v>92040</v>
      </c>
      <c r="F519" s="96"/>
      <c r="G519" s="31"/>
    </row>
    <row r="520" spans="1:11" s="43" customFormat="1" ht="13.5" customHeight="1" x14ac:dyDescent="0.25">
      <c r="A520" s="11" t="s">
        <v>105</v>
      </c>
      <c r="B520" s="556" t="s">
        <v>106</v>
      </c>
      <c r="C520" s="31">
        <f>SUM(C521)</f>
        <v>116640</v>
      </c>
      <c r="F520" s="96"/>
      <c r="G520" s="31"/>
    </row>
    <row r="521" spans="1:11" s="8" customFormat="1" ht="13.5" customHeight="1" x14ac:dyDescent="0.25">
      <c r="A521" s="12" t="s">
        <v>86</v>
      </c>
      <c r="B521" s="43" t="s">
        <v>66</v>
      </c>
      <c r="C521" s="24">
        <v>116640</v>
      </c>
      <c r="F521" s="101"/>
      <c r="G521" s="9"/>
    </row>
    <row r="522" spans="1:11" s="8" customFormat="1" ht="13.5" customHeight="1" x14ac:dyDescent="0.25">
      <c r="A522" s="11" t="s">
        <v>107</v>
      </c>
      <c r="B522" s="556" t="s">
        <v>108</v>
      </c>
      <c r="C522" s="31">
        <f>SUM(C523)</f>
        <v>515880</v>
      </c>
      <c r="F522" s="101"/>
      <c r="G522" s="9"/>
    </row>
    <row r="523" spans="1:11" s="8" customFormat="1" ht="13.5" customHeight="1" x14ac:dyDescent="0.25">
      <c r="A523" s="12" t="s">
        <v>47</v>
      </c>
      <c r="B523" s="43" t="s">
        <v>48</v>
      </c>
      <c r="C523" s="24">
        <v>515880</v>
      </c>
      <c r="F523" s="101"/>
      <c r="G523" s="9"/>
    </row>
    <row r="524" spans="1:11" x14ac:dyDescent="0.25">
      <c r="A524" s="265" t="s">
        <v>119</v>
      </c>
      <c r="B524" s="25" t="s">
        <v>109</v>
      </c>
      <c r="C524" s="31">
        <f>SUM(C525:C529)</f>
        <v>123280</v>
      </c>
      <c r="D524" s="23"/>
      <c r="E524" s="23"/>
      <c r="F524"/>
      <c r="G524"/>
      <c r="H524"/>
      <c r="I524"/>
      <c r="J524"/>
      <c r="K524"/>
    </row>
    <row r="525" spans="1:11" x14ac:dyDescent="0.25">
      <c r="A525" s="72" t="s">
        <v>150</v>
      </c>
      <c r="B525" s="43" t="s">
        <v>695</v>
      </c>
      <c r="C525" s="24">
        <v>14800</v>
      </c>
      <c r="D525" s="23"/>
      <c r="E525" s="23"/>
      <c r="F525"/>
      <c r="G525"/>
      <c r="H525"/>
      <c r="I525"/>
      <c r="J525"/>
      <c r="K525"/>
    </row>
    <row r="526" spans="1:11" x14ac:dyDescent="0.25">
      <c r="A526" s="72" t="s">
        <v>697</v>
      </c>
      <c r="B526" s="43" t="s">
        <v>696</v>
      </c>
      <c r="C526" s="24">
        <v>15480</v>
      </c>
      <c r="D526" s="23"/>
      <c r="E526" s="23"/>
      <c r="F526"/>
      <c r="G526"/>
      <c r="H526"/>
      <c r="I526"/>
      <c r="J526"/>
      <c r="K526"/>
    </row>
    <row r="527" spans="1:11" s="66" customFormat="1" ht="13" x14ac:dyDescent="0.3">
      <c r="A527" s="72" t="s">
        <v>816</v>
      </c>
      <c r="B527" s="24" t="s">
        <v>810</v>
      </c>
      <c r="C527" s="24">
        <v>23000</v>
      </c>
      <c r="D527" s="78"/>
      <c r="E527" s="25"/>
    </row>
    <row r="528" spans="1:11" s="66" customFormat="1" ht="13" x14ac:dyDescent="0.3">
      <c r="A528" s="72" t="s">
        <v>820</v>
      </c>
      <c r="B528" s="24" t="s">
        <v>821</v>
      </c>
      <c r="C528" s="24">
        <v>55000</v>
      </c>
      <c r="D528" s="78"/>
      <c r="E528" s="25"/>
    </row>
    <row r="529" spans="1:255" s="66" customFormat="1" ht="13" x14ac:dyDescent="0.3">
      <c r="A529" s="72" t="s">
        <v>811</v>
      </c>
      <c r="B529" s="24" t="s">
        <v>812</v>
      </c>
      <c r="C529" s="24">
        <v>15000</v>
      </c>
      <c r="D529" s="78"/>
      <c r="E529" s="25"/>
    </row>
    <row r="530" spans="1:255" s="8" customFormat="1" ht="13.5" customHeight="1" x14ac:dyDescent="0.25">
      <c r="A530" s="265" t="s">
        <v>151</v>
      </c>
      <c r="B530" s="25" t="s">
        <v>133</v>
      </c>
      <c r="C530" s="31">
        <f>SUM(C531:C533)</f>
        <v>131560</v>
      </c>
      <c r="F530" s="101"/>
      <c r="G530" s="9"/>
    </row>
    <row r="531" spans="1:255" s="8" customFormat="1" ht="13.5" customHeight="1" x14ac:dyDescent="0.25">
      <c r="A531" s="12" t="s">
        <v>152</v>
      </c>
      <c r="B531" s="43" t="s">
        <v>65</v>
      </c>
      <c r="C531" s="24">
        <v>17760</v>
      </c>
      <c r="F531" s="101"/>
      <c r="G531" s="9"/>
    </row>
    <row r="532" spans="1:255" s="8" customFormat="1" ht="13.5" customHeight="1" x14ac:dyDescent="0.25">
      <c r="A532" s="12" t="s">
        <v>154</v>
      </c>
      <c r="B532" s="43" t="s">
        <v>125</v>
      </c>
      <c r="C532" s="24">
        <v>46700</v>
      </c>
      <c r="F532" s="101"/>
      <c r="G532" s="9"/>
    </row>
    <row r="533" spans="1:255" s="8" customFormat="1" ht="13.5" customHeight="1" x14ac:dyDescent="0.25">
      <c r="A533" s="12" t="s">
        <v>699</v>
      </c>
      <c r="B533" s="43" t="s">
        <v>698</v>
      </c>
      <c r="C533" s="24">
        <v>67100</v>
      </c>
      <c r="F533" s="101"/>
      <c r="G533" s="9"/>
    </row>
    <row r="534" spans="1:255" s="8" customFormat="1" ht="13.5" customHeight="1" thickBot="1" x14ac:dyDescent="0.3">
      <c r="A534" s="72"/>
      <c r="B534" s="43"/>
      <c r="C534" s="23"/>
      <c r="F534" s="101"/>
      <c r="G534" s="9"/>
    </row>
    <row r="535" spans="1:255" s="8" customFormat="1" ht="13.5" customHeight="1" thickBot="1" x14ac:dyDescent="0.35">
      <c r="A535" s="1096" t="s">
        <v>3</v>
      </c>
      <c r="B535" s="1097"/>
      <c r="C535" s="668">
        <f>C536+C538+C541</f>
        <v>1152740</v>
      </c>
      <c r="F535" s="68"/>
      <c r="G535" s="9"/>
    </row>
    <row r="536" spans="1:255" s="99" customFormat="1" ht="13.5" customHeight="1" x14ac:dyDescent="0.3">
      <c r="A536" s="63" t="s">
        <v>110</v>
      </c>
      <c r="B536" s="298" t="s">
        <v>111</v>
      </c>
      <c r="C536" s="32">
        <f>SUM(C537)</f>
        <v>110680</v>
      </c>
      <c r="F536" s="95"/>
      <c r="G536" s="155"/>
    </row>
    <row r="537" spans="1:255" s="8" customFormat="1" ht="13.5" customHeight="1" x14ac:dyDescent="0.25">
      <c r="A537" s="59" t="s">
        <v>52</v>
      </c>
      <c r="B537" s="59" t="s">
        <v>15</v>
      </c>
      <c r="C537" s="24">
        <v>110680</v>
      </c>
      <c r="F537" s="231"/>
      <c r="G537" s="9"/>
    </row>
    <row r="538" spans="1:255" s="8" customFormat="1" ht="13.5" customHeight="1" x14ac:dyDescent="0.25">
      <c r="A538" s="63" t="s">
        <v>120</v>
      </c>
      <c r="B538" s="63" t="s">
        <v>121</v>
      </c>
      <c r="C538" s="31">
        <f>SUM(C539:C540)</f>
        <v>25900</v>
      </c>
      <c r="F538" s="231"/>
      <c r="G538" s="9"/>
    </row>
    <row r="539" spans="1:255" s="43" customFormat="1" ht="13.5" customHeight="1" x14ac:dyDescent="0.25">
      <c r="A539" s="59" t="s">
        <v>236</v>
      </c>
      <c r="B539" s="43" t="s">
        <v>237</v>
      </c>
      <c r="C539" s="24">
        <v>10000</v>
      </c>
      <c r="F539" s="101"/>
      <c r="G539" s="73"/>
    </row>
    <row r="540" spans="1:255" s="43" customFormat="1" ht="13.5" customHeight="1" x14ac:dyDescent="0.25">
      <c r="A540" s="59" t="s">
        <v>136</v>
      </c>
      <c r="B540" s="43" t="s">
        <v>206</v>
      </c>
      <c r="C540" s="24">
        <v>15900</v>
      </c>
      <c r="F540" s="101"/>
      <c r="G540" s="73"/>
    </row>
    <row r="541" spans="1:255" s="43" customFormat="1" ht="13.5" customHeight="1" x14ac:dyDescent="0.25">
      <c r="A541" s="11" t="s">
        <v>115</v>
      </c>
      <c r="B541" s="265" t="s">
        <v>8</v>
      </c>
      <c r="C541" s="31">
        <f>SUM(C542:C545)</f>
        <v>1016160</v>
      </c>
      <c r="F541" s="101"/>
      <c r="G541" s="73"/>
    </row>
    <row r="542" spans="1:255" s="43" customFormat="1" ht="13.5" customHeight="1" x14ac:dyDescent="0.25">
      <c r="A542" s="59" t="s">
        <v>89</v>
      </c>
      <c r="B542" s="72" t="s">
        <v>8</v>
      </c>
      <c r="C542" s="24">
        <v>941400</v>
      </c>
      <c r="F542" s="9"/>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c r="IE542" s="8"/>
      <c r="IF542" s="8"/>
      <c r="IG542" s="8"/>
      <c r="IH542" s="8"/>
      <c r="II542" s="8"/>
      <c r="IJ542" s="8"/>
      <c r="IK542" s="8"/>
      <c r="IL542" s="8"/>
      <c r="IM542" s="8"/>
      <c r="IN542" s="8"/>
      <c r="IO542" s="8"/>
      <c r="IP542" s="8"/>
      <c r="IQ542" s="8"/>
      <c r="IR542" s="8"/>
      <c r="IS542" s="8"/>
      <c r="IT542" s="8"/>
      <c r="IU542" s="8"/>
    </row>
    <row r="543" spans="1:255" s="8" customFormat="1" ht="13.5" customHeight="1" x14ac:dyDescent="0.25">
      <c r="A543" s="59" t="s">
        <v>181</v>
      </c>
      <c r="B543" s="43" t="s">
        <v>180</v>
      </c>
      <c r="C543" s="24">
        <v>21600</v>
      </c>
      <c r="D543" s="232"/>
      <c r="E543" s="9"/>
      <c r="F543" s="204"/>
    </row>
    <row r="544" spans="1:255" s="8" customFormat="1" ht="13.5" customHeight="1" x14ac:dyDescent="0.25">
      <c r="A544" s="12" t="s">
        <v>222</v>
      </c>
      <c r="B544" s="43" t="s">
        <v>221</v>
      </c>
      <c r="C544" s="24">
        <v>29520</v>
      </c>
      <c r="D544" s="232"/>
      <c r="E544" s="9"/>
      <c r="F544" s="204"/>
    </row>
    <row r="545" spans="1:255" s="8" customFormat="1" ht="13.5" customHeight="1" x14ac:dyDescent="0.25">
      <c r="A545" s="59" t="s">
        <v>90</v>
      </c>
      <c r="B545" s="12" t="s">
        <v>7</v>
      </c>
      <c r="C545" s="24">
        <v>23640</v>
      </c>
      <c r="D545" s="101"/>
      <c r="E545" s="73"/>
      <c r="F545" s="99"/>
      <c r="G545" s="43"/>
      <c r="H545" s="43"/>
      <c r="I545" s="43"/>
      <c r="J545" s="43"/>
      <c r="K545" s="43"/>
      <c r="L545" s="43"/>
      <c r="M545" s="43"/>
      <c r="N545" s="43"/>
      <c r="O545" s="43"/>
      <c r="P545" s="43"/>
      <c r="Q545" s="43"/>
      <c r="R545" s="43"/>
      <c r="S545" s="43"/>
      <c r="T545" s="43"/>
      <c r="U545" s="43"/>
      <c r="V545" s="43"/>
      <c r="W545" s="43"/>
      <c r="X545" s="43"/>
      <c r="Y545" s="43"/>
      <c r="Z545" s="43"/>
      <c r="AA545" s="43"/>
      <c r="AB545" s="43"/>
      <c r="AC545" s="43"/>
      <c r="AD545" s="43"/>
      <c r="AE545" s="43"/>
      <c r="AF545" s="43"/>
      <c r="AG545" s="43"/>
      <c r="AH545" s="43"/>
      <c r="AI545" s="43"/>
      <c r="AJ545" s="43"/>
      <c r="AK545" s="43"/>
      <c r="AL545" s="43"/>
      <c r="AM545" s="43"/>
      <c r="AN545" s="43"/>
      <c r="AO545" s="43"/>
      <c r="AP545" s="43"/>
      <c r="AQ545" s="43"/>
      <c r="AR545" s="43"/>
      <c r="AS545" s="43"/>
      <c r="AT545" s="43"/>
      <c r="AU545" s="43"/>
      <c r="AV545" s="43"/>
      <c r="AW545" s="43"/>
      <c r="AX545" s="43"/>
      <c r="AY545" s="43"/>
      <c r="AZ545" s="43"/>
      <c r="BA545" s="43"/>
      <c r="BB545" s="43"/>
      <c r="BC545" s="43"/>
      <c r="BD545" s="43"/>
      <c r="BE545" s="43"/>
      <c r="BF545" s="43"/>
      <c r="BG545" s="43"/>
      <c r="BH545" s="43"/>
      <c r="BI545" s="43"/>
      <c r="BJ545" s="43"/>
      <c r="BK545" s="43"/>
      <c r="BL545" s="43"/>
      <c r="BM545" s="43"/>
      <c r="BN545" s="43"/>
      <c r="BO545" s="43"/>
      <c r="BP545" s="43"/>
      <c r="BQ545" s="43"/>
      <c r="BR545" s="43"/>
      <c r="BS545" s="43"/>
      <c r="BT545" s="43"/>
      <c r="BU545" s="43"/>
      <c r="BV545" s="43"/>
      <c r="BW545" s="43"/>
      <c r="BX545" s="43"/>
      <c r="BY545" s="43"/>
      <c r="BZ545" s="43"/>
      <c r="CA545" s="43"/>
      <c r="CB545" s="43"/>
      <c r="CC545" s="43"/>
      <c r="CD545" s="43"/>
      <c r="CE545" s="43"/>
      <c r="CF545" s="43"/>
      <c r="CG545" s="43"/>
      <c r="CH545" s="43"/>
      <c r="CI545" s="43"/>
      <c r="CJ545" s="43"/>
      <c r="CK545" s="43"/>
      <c r="CL545" s="43"/>
      <c r="CM545" s="43"/>
      <c r="CN545" s="43"/>
      <c r="CO545" s="43"/>
      <c r="CP545" s="43"/>
      <c r="CQ545" s="43"/>
      <c r="CR545" s="43"/>
      <c r="CS545" s="43"/>
      <c r="CT545" s="43"/>
      <c r="CU545" s="43"/>
      <c r="CV545" s="43"/>
      <c r="CW545" s="43"/>
      <c r="CX545" s="43"/>
      <c r="CY545" s="43"/>
      <c r="CZ545" s="43"/>
      <c r="DA545" s="43"/>
      <c r="DB545" s="43"/>
      <c r="DC545" s="43"/>
      <c r="DD545" s="43"/>
      <c r="DE545" s="43"/>
      <c r="DF545" s="43"/>
      <c r="DG545" s="43"/>
      <c r="DH545" s="43"/>
      <c r="DI545" s="43"/>
      <c r="DJ545" s="43"/>
      <c r="DK545" s="43"/>
      <c r="DL545" s="43"/>
      <c r="DM545" s="43"/>
      <c r="DN545" s="43"/>
      <c r="DO545" s="43"/>
      <c r="DP545" s="43"/>
      <c r="DQ545" s="43"/>
      <c r="DR545" s="43"/>
      <c r="DS545" s="43"/>
      <c r="DT545" s="43"/>
      <c r="DU545" s="43"/>
      <c r="DV545" s="43"/>
      <c r="DW545" s="43"/>
      <c r="DX545" s="43"/>
      <c r="DY545" s="43"/>
      <c r="DZ545" s="43"/>
      <c r="EA545" s="43"/>
      <c r="EB545" s="43"/>
      <c r="EC545" s="43"/>
      <c r="ED545" s="43"/>
      <c r="EE545" s="43"/>
      <c r="EF545" s="43"/>
      <c r="EG545" s="43"/>
      <c r="EH545" s="43"/>
      <c r="EI545" s="43"/>
      <c r="EJ545" s="43"/>
      <c r="EK545" s="43"/>
      <c r="EL545" s="43"/>
      <c r="EM545" s="43"/>
      <c r="EN545" s="43"/>
      <c r="EO545" s="43"/>
      <c r="EP545" s="43"/>
      <c r="EQ545" s="43"/>
      <c r="ER545" s="43"/>
      <c r="ES545" s="43"/>
      <c r="ET545" s="43"/>
      <c r="EU545" s="43"/>
      <c r="EV545" s="43"/>
      <c r="EW545" s="43"/>
      <c r="EX545" s="43"/>
      <c r="EY545" s="43"/>
      <c r="EZ545" s="43"/>
      <c r="FA545" s="43"/>
      <c r="FB545" s="43"/>
      <c r="FC545" s="43"/>
      <c r="FD545" s="43"/>
      <c r="FE545" s="43"/>
      <c r="FF545" s="43"/>
      <c r="FG545" s="43"/>
      <c r="FH545" s="43"/>
      <c r="FI545" s="43"/>
      <c r="FJ545" s="43"/>
      <c r="FK545" s="43"/>
      <c r="FL545" s="43"/>
      <c r="FM545" s="43"/>
      <c r="FN545" s="43"/>
      <c r="FO545" s="43"/>
      <c r="FP545" s="43"/>
      <c r="FQ545" s="43"/>
      <c r="FR545" s="43"/>
      <c r="FS545" s="43"/>
      <c r="FT545" s="43"/>
      <c r="FU545" s="43"/>
      <c r="FV545" s="43"/>
      <c r="FW545" s="43"/>
      <c r="FX545" s="43"/>
      <c r="FY545" s="43"/>
      <c r="FZ545" s="43"/>
      <c r="GA545" s="43"/>
      <c r="GB545" s="43"/>
      <c r="GC545" s="43"/>
      <c r="GD545" s="43"/>
      <c r="GE545" s="43"/>
      <c r="GF545" s="43"/>
      <c r="GG545" s="43"/>
      <c r="GH545" s="43"/>
      <c r="GI545" s="43"/>
      <c r="GJ545" s="43"/>
      <c r="GK545" s="43"/>
      <c r="GL545" s="43"/>
      <c r="GM545" s="43"/>
      <c r="GN545" s="43"/>
      <c r="GO545" s="43"/>
      <c r="GP545" s="43"/>
      <c r="GQ545" s="43"/>
      <c r="GR545" s="43"/>
      <c r="GS545" s="43"/>
      <c r="GT545" s="43"/>
      <c r="GU545" s="43"/>
      <c r="GV545" s="43"/>
      <c r="GW545" s="43"/>
      <c r="GX545" s="43"/>
      <c r="GY545" s="43"/>
      <c r="GZ545" s="43"/>
      <c r="HA545" s="43"/>
      <c r="HB545" s="43"/>
      <c r="HC545" s="43"/>
      <c r="HD545" s="43"/>
      <c r="HE545" s="43"/>
      <c r="HF545" s="43"/>
      <c r="HG545" s="43"/>
      <c r="HH545" s="43"/>
      <c r="HI545" s="43"/>
      <c r="HJ545" s="43"/>
      <c r="HK545" s="43"/>
      <c r="HL545" s="43"/>
      <c r="HM545" s="43"/>
      <c r="HN545" s="43"/>
      <c r="HO545" s="43"/>
      <c r="HP545" s="43"/>
      <c r="HQ545" s="43"/>
      <c r="HR545" s="43"/>
      <c r="HS545" s="43"/>
      <c r="HT545" s="43"/>
      <c r="HU545" s="43"/>
      <c r="HV545" s="43"/>
      <c r="HW545" s="43"/>
      <c r="HX545" s="43"/>
      <c r="HY545" s="43"/>
      <c r="HZ545" s="43"/>
      <c r="IA545" s="43"/>
      <c r="IB545" s="43"/>
      <c r="IC545" s="43"/>
      <c r="ID545" s="43"/>
      <c r="IE545" s="43"/>
      <c r="IF545" s="43"/>
      <c r="IG545" s="43"/>
      <c r="IH545" s="43"/>
      <c r="II545" s="43"/>
      <c r="IJ545" s="43"/>
      <c r="IK545" s="43"/>
      <c r="IL545" s="43"/>
      <c r="IM545" s="43"/>
      <c r="IN545" s="43"/>
      <c r="IO545" s="43"/>
      <c r="IP545" s="43"/>
      <c r="IQ545" s="43"/>
      <c r="IR545" s="43"/>
      <c r="IS545" s="43"/>
      <c r="IT545" s="43"/>
      <c r="IU545" s="43"/>
    </row>
    <row r="546" spans="1:255" s="8" customFormat="1" ht="13.5" customHeight="1" thickBot="1" x14ac:dyDescent="0.3">
      <c r="A546" s="72"/>
      <c r="B546" s="72"/>
      <c r="C546" s="23"/>
      <c r="D546" s="231"/>
      <c r="E546" s="9"/>
      <c r="F546" s="204"/>
    </row>
    <row r="547" spans="1:255" s="8" customFormat="1" ht="13.5" customHeight="1" thickBot="1" x14ac:dyDescent="0.35">
      <c r="A547" s="1100" t="s">
        <v>4</v>
      </c>
      <c r="B547" s="1101"/>
      <c r="C547" s="670">
        <f>C548+C550</f>
        <v>57000</v>
      </c>
      <c r="D547" s="68"/>
      <c r="E547" s="9"/>
      <c r="F547" s="204"/>
    </row>
    <row r="548" spans="1:255" s="99" customFormat="1" ht="13.5" customHeight="1" x14ac:dyDescent="0.3">
      <c r="A548" s="265" t="s">
        <v>116</v>
      </c>
      <c r="B548" s="298" t="s">
        <v>117</v>
      </c>
      <c r="C548" s="32">
        <f>SUM(C549:C549)</f>
        <v>42000</v>
      </c>
      <c r="D548" s="95"/>
      <c r="E548" s="155"/>
    </row>
    <row r="549" spans="1:255" s="8" customFormat="1" ht="13.5" customHeight="1" x14ac:dyDescent="0.25">
      <c r="A549" s="72" t="s">
        <v>91</v>
      </c>
      <c r="B549" s="43" t="s">
        <v>139</v>
      </c>
      <c r="C549" s="24">
        <v>42000</v>
      </c>
      <c r="D549" s="231"/>
      <c r="E549" s="9"/>
      <c r="F549" s="204"/>
    </row>
    <row r="550" spans="1:255" s="8" customFormat="1" ht="13.5" customHeight="1" x14ac:dyDescent="0.25">
      <c r="A550" s="265" t="s">
        <v>166</v>
      </c>
      <c r="B550" s="25" t="s">
        <v>135</v>
      </c>
      <c r="C550" s="31">
        <f>SUM(C551)</f>
        <v>15000</v>
      </c>
      <c r="D550" s="231"/>
      <c r="E550" s="9"/>
      <c r="F550" s="204"/>
    </row>
    <row r="551" spans="1:255" s="8" customFormat="1" ht="13.5" customHeight="1" x14ac:dyDescent="0.25">
      <c r="A551" s="72" t="s">
        <v>167</v>
      </c>
      <c r="B551" s="43" t="s">
        <v>51</v>
      </c>
      <c r="C551" s="24">
        <v>15000</v>
      </c>
      <c r="D551" s="232"/>
      <c r="E551" s="9"/>
      <c r="F551" s="204"/>
    </row>
    <row r="552" spans="1:255" s="6" customFormat="1" ht="13.5" customHeight="1" x14ac:dyDescent="0.25">
      <c r="A552" s="10"/>
      <c r="B552" s="176"/>
      <c r="C552" s="28"/>
      <c r="D552" s="233"/>
      <c r="E552" s="157"/>
      <c r="F552" s="223"/>
    </row>
    <row r="553" spans="1:255" s="151" customFormat="1" ht="13.5" customHeight="1" thickBot="1" x14ac:dyDescent="0.3">
      <c r="C553" s="23"/>
      <c r="D553" s="23"/>
      <c r="E553" s="23"/>
      <c r="F553" s="9"/>
      <c r="G553" s="152"/>
      <c r="H553" s="152"/>
      <c r="I553" s="152"/>
      <c r="J553" s="152"/>
      <c r="K553" s="152"/>
    </row>
    <row r="554" spans="1:255" s="3" customFormat="1" ht="13" x14ac:dyDescent="0.25">
      <c r="A554" s="648" t="s">
        <v>676</v>
      </c>
      <c r="B554" s="649"/>
      <c r="C554" s="690"/>
      <c r="D554" s="692" t="s">
        <v>6</v>
      </c>
      <c r="E554" s="913" t="s">
        <v>642</v>
      </c>
      <c r="F554" s="469"/>
      <c r="G554" s="1"/>
      <c r="H554" s="1"/>
      <c r="I554" s="1"/>
    </row>
    <row r="555" spans="1:255" s="3" customFormat="1" ht="13.5" thickBot="1" x14ac:dyDescent="0.3">
      <c r="A555" s="652"/>
      <c r="B555" s="653"/>
      <c r="C555" s="693"/>
      <c r="D555" s="695"/>
      <c r="E555" s="718"/>
      <c r="F555" s="469"/>
      <c r="G555" s="1"/>
      <c r="H555" s="1"/>
      <c r="I555" s="1"/>
    </row>
    <row r="556" spans="1:255" s="3" customFormat="1" ht="13" x14ac:dyDescent="0.25">
      <c r="A556" s="1123" t="s">
        <v>952</v>
      </c>
      <c r="B556" s="1124"/>
      <c r="C556" s="1124"/>
      <c r="D556" s="1124"/>
      <c r="E556" s="1125"/>
      <c r="F556" s="474"/>
      <c r="G556" s="147"/>
      <c r="H556" s="147"/>
      <c r="I556" s="147"/>
    </row>
    <row r="557" spans="1:255" s="3" customFormat="1" ht="13" x14ac:dyDescent="0.25">
      <c r="A557" s="1126"/>
      <c r="B557" s="1127"/>
      <c r="C557" s="1127"/>
      <c r="D557" s="1127"/>
      <c r="E557" s="1128"/>
      <c r="F557" s="474"/>
      <c r="G557" s="147"/>
      <c r="H557" s="147"/>
      <c r="I557" s="147"/>
    </row>
    <row r="558" spans="1:255" s="3" customFormat="1" ht="13" x14ac:dyDescent="0.25">
      <c r="A558" s="1126"/>
      <c r="B558" s="1127"/>
      <c r="C558" s="1127"/>
      <c r="D558" s="1127"/>
      <c r="E558" s="1128"/>
      <c r="F558" s="474"/>
      <c r="G558" s="147"/>
      <c r="H558" s="147"/>
      <c r="I558" s="147"/>
    </row>
    <row r="559" spans="1:255" s="3" customFormat="1" ht="13" x14ac:dyDescent="0.25">
      <c r="A559" s="1126"/>
      <c r="B559" s="1127"/>
      <c r="C559" s="1127"/>
      <c r="D559" s="1127"/>
      <c r="E559" s="1128"/>
      <c r="F559" s="474"/>
      <c r="G559" s="147"/>
      <c r="H559" s="147"/>
      <c r="I559" s="147"/>
    </row>
    <row r="560" spans="1:255" s="3" customFormat="1" ht="13" x14ac:dyDescent="0.25">
      <c r="A560" s="1126"/>
      <c r="B560" s="1127"/>
      <c r="C560" s="1127"/>
      <c r="D560" s="1127"/>
      <c r="E560" s="1128"/>
      <c r="F560" s="474"/>
      <c r="G560" s="147"/>
      <c r="H560" s="147"/>
      <c r="I560" s="147"/>
    </row>
    <row r="561" spans="1:9" s="3" customFormat="1" ht="13" x14ac:dyDescent="0.25">
      <c r="A561" s="1126"/>
      <c r="B561" s="1127"/>
      <c r="C561" s="1127"/>
      <c r="D561" s="1127"/>
      <c r="E561" s="1128"/>
      <c r="F561" s="474"/>
      <c r="G561" s="147"/>
      <c r="H561" s="147"/>
      <c r="I561" s="147"/>
    </row>
    <row r="562" spans="1:9" s="3" customFormat="1" ht="13" x14ac:dyDescent="0.25">
      <c r="A562" s="1126"/>
      <c r="B562" s="1127"/>
      <c r="C562" s="1127"/>
      <c r="D562" s="1127"/>
      <c r="E562" s="1128"/>
      <c r="F562" s="474"/>
      <c r="G562" s="147"/>
      <c r="H562" s="147"/>
      <c r="I562" s="147"/>
    </row>
    <row r="563" spans="1:9" s="3" customFormat="1" ht="13" x14ac:dyDescent="0.25">
      <c r="A563" s="1126"/>
      <c r="B563" s="1127"/>
      <c r="C563" s="1127"/>
      <c r="D563" s="1127"/>
      <c r="E563" s="1128"/>
      <c r="F563" s="474"/>
      <c r="G563" s="147"/>
      <c r="H563" s="147"/>
      <c r="I563" s="147"/>
    </row>
    <row r="564" spans="1:9" s="3" customFormat="1" ht="13" x14ac:dyDescent="0.25">
      <c r="A564" s="1126"/>
      <c r="B564" s="1127"/>
      <c r="C564" s="1127"/>
      <c r="D564" s="1127"/>
      <c r="E564" s="1128"/>
      <c r="F564" s="474"/>
      <c r="G564" s="147"/>
      <c r="H564" s="147"/>
      <c r="I564" s="147"/>
    </row>
    <row r="565" spans="1:9" s="3" customFormat="1" ht="13" x14ac:dyDescent="0.25">
      <c r="A565" s="1126"/>
      <c r="B565" s="1127"/>
      <c r="C565" s="1127"/>
      <c r="D565" s="1127"/>
      <c r="E565" s="1128"/>
      <c r="F565" s="474"/>
      <c r="G565" s="147"/>
      <c r="H565" s="147"/>
      <c r="I565" s="147"/>
    </row>
    <row r="566" spans="1:9" s="3" customFormat="1" ht="13" x14ac:dyDescent="0.25">
      <c r="A566" s="1126"/>
      <c r="B566" s="1127"/>
      <c r="C566" s="1127"/>
      <c r="D566" s="1127"/>
      <c r="E566" s="1128"/>
      <c r="F566" s="474"/>
      <c r="G566" s="147"/>
      <c r="H566" s="147"/>
      <c r="I566" s="147"/>
    </row>
    <row r="567" spans="1:9" s="3" customFormat="1" ht="13" x14ac:dyDescent="0.25">
      <c r="A567" s="1126"/>
      <c r="B567" s="1127"/>
      <c r="C567" s="1127"/>
      <c r="D567" s="1127"/>
      <c r="E567" s="1128"/>
      <c r="F567" s="474"/>
      <c r="G567" s="147"/>
      <c r="H567" s="147"/>
      <c r="I567" s="147"/>
    </row>
    <row r="568" spans="1:9" s="3" customFormat="1" ht="13" x14ac:dyDescent="0.25">
      <c r="A568" s="1126"/>
      <c r="B568" s="1127"/>
      <c r="C568" s="1127"/>
      <c r="D568" s="1127"/>
      <c r="E568" s="1128"/>
      <c r="F568" s="474"/>
      <c r="G568" s="147"/>
      <c r="H568" s="147"/>
      <c r="I568" s="147"/>
    </row>
    <row r="569" spans="1:9" s="3" customFormat="1" ht="13" x14ac:dyDescent="0.25">
      <c r="A569" s="1126"/>
      <c r="B569" s="1127"/>
      <c r="C569" s="1127"/>
      <c r="D569" s="1127"/>
      <c r="E569" s="1128"/>
      <c r="F569" s="474"/>
      <c r="G569" s="147"/>
      <c r="H569" s="147"/>
      <c r="I569" s="147"/>
    </row>
    <row r="570" spans="1:9" s="3" customFormat="1" ht="13" x14ac:dyDescent="0.25">
      <c r="A570" s="1126"/>
      <c r="B570" s="1127"/>
      <c r="C570" s="1127"/>
      <c r="D570" s="1127"/>
      <c r="E570" s="1128"/>
      <c r="F570" s="474"/>
      <c r="G570" s="147"/>
      <c r="H570" s="147"/>
      <c r="I570" s="147"/>
    </row>
    <row r="571" spans="1:9" s="3" customFormat="1" ht="13" x14ac:dyDescent="0.25">
      <c r="A571" s="1126"/>
      <c r="B571" s="1127"/>
      <c r="C571" s="1127"/>
      <c r="D571" s="1127"/>
      <c r="E571" s="1128"/>
      <c r="F571" s="474"/>
      <c r="G571" s="147"/>
      <c r="H571" s="147"/>
      <c r="I571" s="147"/>
    </row>
    <row r="572" spans="1:9" s="3" customFormat="1" ht="13" x14ac:dyDescent="0.25">
      <c r="A572" s="1126"/>
      <c r="B572" s="1127"/>
      <c r="C572" s="1127"/>
      <c r="D572" s="1127"/>
      <c r="E572" s="1128"/>
      <c r="F572" s="474"/>
      <c r="G572" s="147"/>
      <c r="H572" s="147"/>
      <c r="I572" s="147"/>
    </row>
    <row r="573" spans="1:9" s="3" customFormat="1" ht="6.75" customHeight="1" thickBot="1" x14ac:dyDescent="0.3">
      <c r="A573" s="1126"/>
      <c r="B573" s="1127"/>
      <c r="C573" s="1127"/>
      <c r="D573" s="1127"/>
      <c r="E573" s="1128"/>
      <c r="F573" s="474"/>
      <c r="G573" s="147"/>
      <c r="H573" s="147"/>
      <c r="I573" s="147"/>
    </row>
    <row r="574" spans="1:9" s="3" customFormat="1" ht="13" x14ac:dyDescent="0.25">
      <c r="A574" s="119" t="s">
        <v>1029</v>
      </c>
      <c r="B574" s="174"/>
      <c r="C574" s="420"/>
      <c r="D574" s="420"/>
      <c r="E574" s="422"/>
      <c r="F574" s="1"/>
      <c r="G574" s="12"/>
      <c r="H574" s="1"/>
      <c r="I574" s="1"/>
    </row>
    <row r="575" spans="1:9" s="3" customFormat="1" ht="13" x14ac:dyDescent="0.25">
      <c r="A575" s="41" t="s">
        <v>650</v>
      </c>
      <c r="B575" s="12"/>
      <c r="C575" s="24"/>
      <c r="D575" s="24"/>
      <c r="E575" s="320"/>
      <c r="F575" s="469"/>
      <c r="G575" s="1"/>
      <c r="H575" s="1"/>
      <c r="I575" s="1"/>
    </row>
    <row r="576" spans="1:9" s="3" customFormat="1" ht="13" x14ac:dyDescent="0.25">
      <c r="A576" s="41" t="s">
        <v>1040</v>
      </c>
      <c r="B576" s="11"/>
      <c r="C576" s="31"/>
      <c r="D576" s="31"/>
      <c r="E576" s="149"/>
      <c r="F576" s="469"/>
      <c r="G576" s="14"/>
      <c r="H576" s="1"/>
      <c r="I576" s="1"/>
    </row>
    <row r="577" spans="1:9" s="3" customFormat="1" ht="13.5" thickBot="1" x14ac:dyDescent="0.3">
      <c r="A577" s="76" t="s">
        <v>13</v>
      </c>
      <c r="B577" s="466"/>
      <c r="C577" s="48"/>
      <c r="D577" s="48"/>
      <c r="E577" s="159"/>
      <c r="F577" s="469"/>
      <c r="G577" s="14"/>
      <c r="H577" s="1"/>
      <c r="I577" s="1"/>
    </row>
    <row r="578" spans="1:9" s="3" customFormat="1" ht="13.5" thickBot="1" x14ac:dyDescent="0.3">
      <c r="A578" s="762" t="s">
        <v>14</v>
      </c>
      <c r="B578" s="794"/>
      <c r="C578" s="764"/>
      <c r="D578" s="766"/>
      <c r="E578" s="772">
        <f>+C580+C607+C626+C631</f>
        <v>7472140</v>
      </c>
      <c r="F578" s="469"/>
      <c r="G578" s="1"/>
      <c r="H578" s="14"/>
      <c r="I578" s="1"/>
    </row>
    <row r="579" spans="1:9" s="3" customFormat="1" ht="13.5" thickBot="1" x14ac:dyDescent="0.3">
      <c r="A579" s="11"/>
      <c r="B579" s="12"/>
      <c r="C579" s="31"/>
      <c r="D579" s="14"/>
      <c r="E579" s="1"/>
      <c r="F579" s="368"/>
      <c r="G579" s="1"/>
      <c r="H579" s="1"/>
      <c r="I579" s="1"/>
    </row>
    <row r="580" spans="1:9" s="3" customFormat="1" ht="13.5" thickBot="1" x14ac:dyDescent="0.3">
      <c r="A580" s="1104" t="s">
        <v>2</v>
      </c>
      <c r="B580" s="1105"/>
      <c r="C580" s="667">
        <f>C581+C588+C583+C585+C591+C601+C598</f>
        <v>1785530</v>
      </c>
      <c r="D580" s="472"/>
      <c r="E580" s="18"/>
      <c r="F580" s="206"/>
    </row>
    <row r="581" spans="1:9" s="3" customFormat="1" ht="13" x14ac:dyDescent="0.25">
      <c r="A581" s="11" t="s">
        <v>103</v>
      </c>
      <c r="B581" s="298" t="s">
        <v>104</v>
      </c>
      <c r="C581" s="32">
        <f>SUM(C582)</f>
        <v>168000</v>
      </c>
      <c r="D581" s="348"/>
      <c r="E581" s="348"/>
      <c r="F581" s="406"/>
      <c r="G581" s="349"/>
      <c r="H581" s="349"/>
      <c r="I581" s="349"/>
    </row>
    <row r="582" spans="1:9" s="3" customFormat="1" ht="13" x14ac:dyDescent="0.25">
      <c r="A582" s="12" t="s">
        <v>46</v>
      </c>
      <c r="B582" s="12" t="s">
        <v>45</v>
      </c>
      <c r="C582" s="24">
        <v>168000</v>
      </c>
      <c r="D582" s="403"/>
      <c r="E582" s="353"/>
      <c r="F582" s="474"/>
      <c r="G582" s="394"/>
      <c r="H582" s="12"/>
      <c r="I582" s="12"/>
    </row>
    <row r="583" spans="1:9" s="3" customFormat="1" ht="13" x14ac:dyDescent="0.25">
      <c r="A583" s="11" t="s">
        <v>105</v>
      </c>
      <c r="B583" s="11" t="s">
        <v>106</v>
      </c>
      <c r="C583" s="31">
        <f>SUM(C584)</f>
        <v>177840</v>
      </c>
      <c r="D583" s="403"/>
      <c r="E583" s="12"/>
      <c r="F583" s="435"/>
      <c r="G583" s="394"/>
      <c r="H583" s="12"/>
      <c r="I583" s="12"/>
    </row>
    <row r="584" spans="1:9" s="3" customFormat="1" ht="13" x14ac:dyDescent="0.25">
      <c r="A584" s="12" t="s">
        <v>86</v>
      </c>
      <c r="B584" s="72" t="s">
        <v>66</v>
      </c>
      <c r="C584" s="24">
        <v>177840</v>
      </c>
      <c r="D584" s="481"/>
      <c r="E584" s="353"/>
      <c r="F584" s="475"/>
      <c r="G584" s="5"/>
      <c r="H584" s="5"/>
      <c r="I584" s="5"/>
    </row>
    <row r="585" spans="1:9" s="3" customFormat="1" ht="13" x14ac:dyDescent="0.3">
      <c r="A585" s="11" t="s">
        <v>107</v>
      </c>
      <c r="B585" s="265" t="s">
        <v>108</v>
      </c>
      <c r="C585" s="31">
        <f>SUM(C586:C587)</f>
        <v>186840</v>
      </c>
      <c r="D585" s="478"/>
      <c r="E585" s="484"/>
      <c r="F585" s="475"/>
      <c r="G585" s="5"/>
      <c r="H585" s="5"/>
      <c r="I585" s="5"/>
    </row>
    <row r="586" spans="1:9" s="3" customFormat="1" ht="13" x14ac:dyDescent="0.3">
      <c r="A586" s="12" t="s">
        <v>47</v>
      </c>
      <c r="B586" s="23" t="s">
        <v>48</v>
      </c>
      <c r="C586" s="24">
        <v>62240</v>
      </c>
      <c r="D586" s="478"/>
      <c r="E586" s="484"/>
      <c r="F586" s="475"/>
      <c r="G586" s="410"/>
      <c r="H586" s="5"/>
      <c r="I586" s="5"/>
    </row>
    <row r="587" spans="1:9" s="3" customFormat="1" ht="13" x14ac:dyDescent="0.3">
      <c r="A587" s="12" t="s">
        <v>460</v>
      </c>
      <c r="B587" s="43" t="s">
        <v>461</v>
      </c>
      <c r="C587" s="24">
        <v>124600</v>
      </c>
      <c r="D587" s="478"/>
      <c r="E587" s="484"/>
      <c r="F587" s="475"/>
      <c r="G587" s="410"/>
      <c r="H587" s="5"/>
      <c r="I587" s="5"/>
    </row>
    <row r="588" spans="1:9" s="3" customFormat="1" ht="13" x14ac:dyDescent="0.25">
      <c r="A588" s="11" t="s">
        <v>195</v>
      </c>
      <c r="B588" s="25" t="s">
        <v>194</v>
      </c>
      <c r="C588" s="31">
        <f>SUM(C589:C590)</f>
        <v>34240</v>
      </c>
      <c r="D588" s="78"/>
      <c r="E588" s="25"/>
      <c r="F588" s="101"/>
      <c r="G588" s="24"/>
      <c r="H588" s="12"/>
      <c r="I588" s="282"/>
    </row>
    <row r="589" spans="1:9" s="3" customFormat="1" ht="13" x14ac:dyDescent="0.25">
      <c r="A589" s="12" t="s">
        <v>193</v>
      </c>
      <c r="B589" s="72" t="s">
        <v>215</v>
      </c>
      <c r="C589" s="24">
        <v>12240</v>
      </c>
      <c r="D589" s="22"/>
      <c r="E589" s="25"/>
      <c r="F589" s="130"/>
      <c r="G589" s="130"/>
      <c r="H589" s="130"/>
      <c r="I589" s="282"/>
    </row>
    <row r="590" spans="1:9" s="3" customFormat="1" ht="13" x14ac:dyDescent="0.25">
      <c r="A590" s="12" t="s">
        <v>214</v>
      </c>
      <c r="B590" s="72" t="s">
        <v>213</v>
      </c>
      <c r="C590" s="24">
        <v>22000</v>
      </c>
      <c r="D590" s="22"/>
      <c r="E590" s="25"/>
      <c r="F590" s="130"/>
      <c r="G590" s="130"/>
      <c r="H590" s="130"/>
      <c r="I590" s="282"/>
    </row>
    <row r="591" spans="1:9" s="3" customFormat="1" ht="13" x14ac:dyDescent="0.3">
      <c r="A591" s="265" t="s">
        <v>119</v>
      </c>
      <c r="B591" s="25" t="s">
        <v>109</v>
      </c>
      <c r="C591" s="31">
        <f>SUM(C592:C597)</f>
        <v>226300</v>
      </c>
      <c r="D591" s="478"/>
      <c r="E591" s="484"/>
      <c r="F591" s="475"/>
      <c r="G591" s="410"/>
      <c r="H591" s="5"/>
      <c r="I591" s="5"/>
    </row>
    <row r="592" spans="1:9" s="3" customFormat="1" ht="13" x14ac:dyDescent="0.3">
      <c r="A592" s="72" t="s">
        <v>150</v>
      </c>
      <c r="B592" s="24" t="s">
        <v>340</v>
      </c>
      <c r="C592" s="24">
        <v>67800</v>
      </c>
      <c r="D592" s="478"/>
      <c r="E592" s="484"/>
      <c r="F592" s="475"/>
      <c r="G592" s="410"/>
      <c r="H592" s="5"/>
      <c r="I592" s="5"/>
    </row>
    <row r="593" spans="1:9" s="3" customFormat="1" ht="13" x14ac:dyDescent="0.25">
      <c r="A593" s="72" t="s">
        <v>600</v>
      </c>
      <c r="B593" s="43" t="s">
        <v>706</v>
      </c>
      <c r="C593" s="24">
        <v>41100</v>
      </c>
      <c r="D593" s="5"/>
      <c r="E593" s="353"/>
      <c r="F593" s="475"/>
      <c r="G593" s="410"/>
      <c r="H593" s="5"/>
      <c r="I593" s="5"/>
    </row>
    <row r="594" spans="1:9" s="3" customFormat="1" ht="13" x14ac:dyDescent="0.25">
      <c r="A594" s="72" t="s">
        <v>697</v>
      </c>
      <c r="B594" s="43" t="s">
        <v>696</v>
      </c>
      <c r="C594" s="24">
        <v>16800</v>
      </c>
      <c r="D594" s="5"/>
      <c r="E594" s="353"/>
      <c r="F594" s="475"/>
      <c r="G594" s="410"/>
      <c r="H594" s="5"/>
      <c r="I594" s="5"/>
    </row>
    <row r="595" spans="1:9" s="66" customFormat="1" ht="13" x14ac:dyDescent="0.3">
      <c r="A595" s="72" t="s">
        <v>816</v>
      </c>
      <c r="B595" s="24" t="s">
        <v>810</v>
      </c>
      <c r="C595" s="24">
        <v>27600</v>
      </c>
      <c r="D595" s="78"/>
      <c r="E595" s="25"/>
    </row>
    <row r="596" spans="1:9" s="66" customFormat="1" ht="13" x14ac:dyDescent="0.3">
      <c r="A596" s="72" t="s">
        <v>820</v>
      </c>
      <c r="B596" s="24" t="s">
        <v>821</v>
      </c>
      <c r="C596" s="24">
        <v>55000</v>
      </c>
      <c r="D596" s="78"/>
      <c r="E596" s="25"/>
    </row>
    <row r="597" spans="1:9" s="66" customFormat="1" ht="13" x14ac:dyDescent="0.3">
      <c r="A597" s="72" t="s">
        <v>811</v>
      </c>
      <c r="B597" s="24" t="s">
        <v>812</v>
      </c>
      <c r="C597" s="24">
        <v>18000</v>
      </c>
      <c r="D597" s="78"/>
      <c r="E597" s="25"/>
    </row>
    <row r="598" spans="1:9" s="72" customFormat="1" ht="13.5" customHeight="1" x14ac:dyDescent="0.25">
      <c r="A598" s="265" t="s">
        <v>124</v>
      </c>
      <c r="B598" s="25" t="s">
        <v>123</v>
      </c>
      <c r="C598" s="31">
        <f>SUM(C599:C600)</f>
        <v>102550</v>
      </c>
      <c r="D598" s="21"/>
      <c r="E598" s="21"/>
      <c r="F598" s="5"/>
      <c r="G598" s="350"/>
      <c r="H598" s="122"/>
    </row>
    <row r="599" spans="1:9" s="66" customFormat="1" ht="13" x14ac:dyDescent="0.3">
      <c r="A599" s="12" t="s">
        <v>230</v>
      </c>
      <c r="B599" s="43" t="s">
        <v>229</v>
      </c>
      <c r="C599" s="24">
        <v>40800</v>
      </c>
      <c r="D599" s="57"/>
      <c r="E599" s="57"/>
    </row>
    <row r="600" spans="1:9" s="72" customFormat="1" ht="13.5" customHeight="1" x14ac:dyDescent="0.25">
      <c r="A600" s="72" t="s">
        <v>93</v>
      </c>
      <c r="B600" s="23" t="s">
        <v>72</v>
      </c>
      <c r="C600" s="24">
        <v>61750</v>
      </c>
      <c r="D600" s="21"/>
      <c r="E600" s="21"/>
      <c r="F600" s="5"/>
      <c r="G600" s="350"/>
      <c r="H600" s="122"/>
    </row>
    <row r="601" spans="1:9" s="3" customFormat="1" ht="13" x14ac:dyDescent="0.25">
      <c r="A601" s="265" t="s">
        <v>151</v>
      </c>
      <c r="B601" s="25" t="s">
        <v>125</v>
      </c>
      <c r="C601" s="31">
        <f>SUM(C602:C605)</f>
        <v>889760</v>
      </c>
      <c r="D601" s="352"/>
      <c r="E601" s="352"/>
      <c r="F601" s="475"/>
      <c r="G601" s="410"/>
      <c r="H601" s="5"/>
      <c r="I601" s="5"/>
    </row>
    <row r="602" spans="1:9" s="8" customFormat="1" ht="13.5" customHeight="1" x14ac:dyDescent="0.25">
      <c r="A602" s="12" t="s">
        <v>152</v>
      </c>
      <c r="B602" s="43" t="s">
        <v>65</v>
      </c>
      <c r="C602" s="24">
        <v>27760</v>
      </c>
      <c r="F602" s="101"/>
      <c r="G602" s="9"/>
    </row>
    <row r="603" spans="1:9" s="3" customFormat="1" ht="13" x14ac:dyDescent="0.25">
      <c r="A603" s="72" t="s">
        <v>153</v>
      </c>
      <c r="B603" s="24" t="s">
        <v>70</v>
      </c>
      <c r="C603" s="24">
        <v>17620</v>
      </c>
      <c r="D603" s="353"/>
      <c r="E603" s="353"/>
      <c r="F603" s="475"/>
      <c r="G603" s="410"/>
      <c r="H603" s="5"/>
      <c r="I603" s="5"/>
    </row>
    <row r="604" spans="1:9" s="3" customFormat="1" ht="13" x14ac:dyDescent="0.25">
      <c r="A604" s="72" t="s">
        <v>155</v>
      </c>
      <c r="B604" s="23" t="s">
        <v>125</v>
      </c>
      <c r="C604" s="24">
        <v>64380</v>
      </c>
      <c r="D604" s="353"/>
      <c r="E604" s="353"/>
      <c r="F604" s="475"/>
      <c r="G604" s="410"/>
      <c r="H604" s="5"/>
      <c r="I604" s="5"/>
    </row>
    <row r="605" spans="1:9" s="3" customFormat="1" ht="13" x14ac:dyDescent="0.25">
      <c r="A605" s="72" t="s">
        <v>699</v>
      </c>
      <c r="B605" s="43" t="s">
        <v>698</v>
      </c>
      <c r="C605" s="24">
        <v>780000</v>
      </c>
      <c r="D605" s="353"/>
      <c r="E605" s="353"/>
      <c r="F605" s="475"/>
      <c r="G605" s="410"/>
      <c r="H605" s="5"/>
      <c r="I605" s="5"/>
    </row>
    <row r="606" spans="1:9" s="3" customFormat="1" ht="13.5" thickBot="1" x14ac:dyDescent="0.3">
      <c r="A606" s="72"/>
      <c r="B606" s="24"/>
      <c r="C606" s="23"/>
      <c r="D606" s="352"/>
      <c r="E606" s="352"/>
      <c r="F606" s="475"/>
      <c r="G606" s="410"/>
      <c r="H606" s="5"/>
      <c r="I606" s="5"/>
    </row>
    <row r="607" spans="1:9" s="3" customFormat="1" ht="13.5" thickBot="1" x14ac:dyDescent="0.3">
      <c r="A607" s="1096" t="s">
        <v>3</v>
      </c>
      <c r="B607" s="1097"/>
      <c r="C607" s="668">
        <f>+C613+C610+C617+C619+C608</f>
        <v>5464710</v>
      </c>
      <c r="D607" s="18"/>
      <c r="E607" s="18"/>
      <c r="F607" s="473"/>
    </row>
    <row r="608" spans="1:9" s="3" customFormat="1" ht="13" x14ac:dyDescent="0.25">
      <c r="A608" s="265" t="s">
        <v>110</v>
      </c>
      <c r="B608" s="298" t="s">
        <v>111</v>
      </c>
      <c r="C608" s="32">
        <f>SUM(C609:C609)</f>
        <v>408600</v>
      </c>
      <c r="D608" s="348"/>
      <c r="E608" s="348"/>
      <c r="F608" s="406"/>
      <c r="G608" s="349"/>
      <c r="H608" s="349"/>
      <c r="I608" s="349"/>
    </row>
    <row r="609" spans="1:10" s="3" customFormat="1" ht="13" x14ac:dyDescent="0.25">
      <c r="A609" s="72" t="s">
        <v>52</v>
      </c>
      <c r="B609" s="24" t="s">
        <v>15</v>
      </c>
      <c r="C609" s="24">
        <v>408600</v>
      </c>
      <c r="D609" s="72"/>
      <c r="E609" s="72"/>
      <c r="F609" s="356"/>
      <c r="G609" s="361"/>
      <c r="H609" s="24"/>
      <c r="I609" s="72"/>
    </row>
    <row r="610" spans="1:10" s="3" customFormat="1" ht="13" x14ac:dyDescent="0.25">
      <c r="A610" s="11" t="s">
        <v>120</v>
      </c>
      <c r="B610" s="31" t="s">
        <v>121</v>
      </c>
      <c r="C610" s="31">
        <f>SUM(C611:C612)</f>
        <v>71160</v>
      </c>
      <c r="D610" s="72"/>
      <c r="E610" s="352"/>
      <c r="F610" s="353"/>
      <c r="G610" s="361"/>
      <c r="H610" s="24"/>
      <c r="I610" s="72"/>
    </row>
    <row r="611" spans="1:10" s="3" customFormat="1" ht="13.5" customHeight="1" x14ac:dyDescent="0.25">
      <c r="A611" s="12" t="s">
        <v>246</v>
      </c>
      <c r="B611" s="12" t="s">
        <v>247</v>
      </c>
      <c r="C611" s="24">
        <v>59930</v>
      </c>
      <c r="D611" s="72"/>
      <c r="E611" s="352"/>
      <c r="F611" s="403"/>
      <c r="G611" s="361"/>
      <c r="H611" s="24"/>
      <c r="I611" s="72"/>
    </row>
    <row r="612" spans="1:10" s="3" customFormat="1" ht="13.5" customHeight="1" x14ac:dyDescent="0.25">
      <c r="A612" s="12" t="s">
        <v>136</v>
      </c>
      <c r="B612" s="12" t="s">
        <v>71</v>
      </c>
      <c r="C612" s="24">
        <v>11230</v>
      </c>
      <c r="D612" s="72"/>
      <c r="E612" s="352"/>
      <c r="F612" s="353"/>
      <c r="G612" s="361"/>
      <c r="H612" s="24"/>
      <c r="I612" s="72"/>
    </row>
    <row r="613" spans="1:10" s="3" customFormat="1" ht="13" x14ac:dyDescent="0.25">
      <c r="A613" s="265" t="s">
        <v>112</v>
      </c>
      <c r="B613" s="31" t="s">
        <v>157</v>
      </c>
      <c r="C613" s="31">
        <f>SUM(C614:C616)</f>
        <v>935500</v>
      </c>
      <c r="D613" s="72"/>
      <c r="E613" s="357"/>
      <c r="F613" s="356"/>
      <c r="G613" s="361"/>
      <c r="H613" s="24"/>
      <c r="I613" s="72"/>
    </row>
    <row r="614" spans="1:10" s="3" customFormat="1" ht="13" x14ac:dyDescent="0.25">
      <c r="A614" s="72" t="s">
        <v>138</v>
      </c>
      <c r="B614" s="59" t="s">
        <v>878</v>
      </c>
      <c r="C614" s="24">
        <v>7150</v>
      </c>
      <c r="D614" s="72"/>
      <c r="E614" s="352"/>
      <c r="F614" s="353"/>
      <c r="G614" s="361"/>
      <c r="H614" s="24"/>
      <c r="I614" s="72"/>
    </row>
    <row r="615" spans="1:10" s="3" customFormat="1" ht="13" x14ac:dyDescent="0.25">
      <c r="A615" s="72" t="s">
        <v>156</v>
      </c>
      <c r="B615" s="12" t="s">
        <v>87</v>
      </c>
      <c r="C615" s="24">
        <v>348350</v>
      </c>
      <c r="D615" s="72"/>
      <c r="E615" s="352"/>
      <c r="F615" s="353"/>
      <c r="G615" s="361"/>
      <c r="H615" s="24"/>
      <c r="I615" s="72"/>
    </row>
    <row r="616" spans="1:10" s="72" customFormat="1" ht="13.5" customHeight="1" x14ac:dyDescent="0.25">
      <c r="A616" s="72" t="s">
        <v>889</v>
      </c>
      <c r="B616" s="43" t="s">
        <v>877</v>
      </c>
      <c r="C616" s="24">
        <v>580000</v>
      </c>
      <c r="D616" s="363"/>
      <c r="E616" s="427"/>
      <c r="F616" s="352"/>
      <c r="G616" s="363"/>
      <c r="H616" s="12"/>
      <c r="J616" s="23"/>
    </row>
    <row r="617" spans="1:10" s="3" customFormat="1" ht="13" x14ac:dyDescent="0.25">
      <c r="A617" s="11" t="s">
        <v>113</v>
      </c>
      <c r="B617" s="11" t="s">
        <v>114</v>
      </c>
      <c r="C617" s="31">
        <f>SUM(C618:C618)</f>
        <v>24000</v>
      </c>
      <c r="D617" s="72"/>
      <c r="E617" s="352"/>
      <c r="F617" s="353"/>
      <c r="G617" s="361"/>
      <c r="H617" s="24"/>
      <c r="I617" s="72"/>
    </row>
    <row r="618" spans="1:10" s="3" customFormat="1" ht="13" x14ac:dyDescent="0.25">
      <c r="A618" s="12" t="s">
        <v>164</v>
      </c>
      <c r="B618" s="12" t="s">
        <v>74</v>
      </c>
      <c r="C618" s="24">
        <v>24000</v>
      </c>
      <c r="D618" s="72"/>
      <c r="E618" s="352"/>
      <c r="F618" s="353"/>
      <c r="G618" s="361"/>
      <c r="H618" s="12"/>
      <c r="I618" s="72"/>
    </row>
    <row r="619" spans="1:10" s="3" customFormat="1" ht="13" x14ac:dyDescent="0.25">
      <c r="A619" s="265" t="s">
        <v>115</v>
      </c>
      <c r="B619" s="31" t="s">
        <v>8</v>
      </c>
      <c r="C619" s="31">
        <f>SUM(C620:C624)</f>
        <v>4025450</v>
      </c>
      <c r="D619" s="72"/>
      <c r="E619" s="352"/>
      <c r="F619" s="356"/>
      <c r="G619" s="361"/>
      <c r="H619" s="12"/>
      <c r="I619" s="72"/>
    </row>
    <row r="620" spans="1:10" s="3" customFormat="1" ht="13" x14ac:dyDescent="0.25">
      <c r="A620" s="72" t="s">
        <v>92</v>
      </c>
      <c r="B620" s="24" t="s">
        <v>8</v>
      </c>
      <c r="C620" s="24">
        <v>1408700</v>
      </c>
      <c r="D620" s="72"/>
      <c r="E620" s="72"/>
      <c r="F620" s="357"/>
      <c r="G620" s="485"/>
      <c r="H620" s="72"/>
      <c r="I620" s="72"/>
    </row>
    <row r="621" spans="1:10" s="3" customFormat="1" ht="13" x14ac:dyDescent="0.25">
      <c r="A621" s="72" t="s">
        <v>181</v>
      </c>
      <c r="B621" s="24" t="s">
        <v>50</v>
      </c>
      <c r="C621" s="24">
        <v>17020</v>
      </c>
      <c r="D621" s="11"/>
      <c r="E621" s="353"/>
      <c r="F621" s="353"/>
      <c r="G621" s="544"/>
      <c r="H621" s="72"/>
      <c r="I621" s="72"/>
    </row>
    <row r="622" spans="1:10" s="3" customFormat="1" ht="13" x14ac:dyDescent="0.25">
      <c r="A622" s="72" t="s">
        <v>224</v>
      </c>
      <c r="B622" s="43" t="s">
        <v>223</v>
      </c>
      <c r="C622" s="24">
        <v>191580</v>
      </c>
      <c r="D622" s="11"/>
      <c r="E622" s="353"/>
      <c r="F622" s="11"/>
      <c r="G622" s="352"/>
      <c r="H622" s="511"/>
      <c r="I622" s="72"/>
    </row>
    <row r="623" spans="1:10" s="3" customFormat="1" ht="13" x14ac:dyDescent="0.25">
      <c r="A623" s="72" t="s">
        <v>222</v>
      </c>
      <c r="B623" s="12" t="s">
        <v>221</v>
      </c>
      <c r="C623" s="24">
        <v>1597000</v>
      </c>
      <c r="D623" s="72"/>
      <c r="E623" s="353"/>
      <c r="F623" s="72"/>
      <c r="G623" s="544"/>
      <c r="H623" s="72"/>
      <c r="I623" s="72"/>
    </row>
    <row r="624" spans="1:10" s="3" customFormat="1" ht="13" x14ac:dyDescent="0.25">
      <c r="A624" s="72" t="s">
        <v>90</v>
      </c>
      <c r="B624" s="24" t="s">
        <v>7</v>
      </c>
      <c r="C624" s="24">
        <v>811150</v>
      </c>
      <c r="D624" s="72"/>
      <c r="E624" s="352"/>
      <c r="F624" s="356"/>
      <c r="G624" s="545"/>
      <c r="H624" s="12"/>
      <c r="I624" s="72"/>
    </row>
    <row r="625" spans="1:9" s="3" customFormat="1" ht="13.5" thickBot="1" x14ac:dyDescent="0.3">
      <c r="A625" s="72"/>
      <c r="B625" s="24"/>
      <c r="C625" s="23"/>
      <c r="D625" s="72"/>
      <c r="E625" s="353"/>
      <c r="F625" s="485"/>
      <c r="G625" s="544"/>
      <c r="H625" s="72"/>
      <c r="I625" s="72"/>
    </row>
    <row r="626" spans="1:9" s="3" customFormat="1" ht="13.5" thickBot="1" x14ac:dyDescent="0.3">
      <c r="A626" s="1115" t="s">
        <v>5</v>
      </c>
      <c r="B626" s="1116"/>
      <c r="C626" s="669">
        <f>C627</f>
        <v>69500</v>
      </c>
      <c r="D626" s="18"/>
      <c r="E626" s="18"/>
      <c r="F626" s="473"/>
      <c r="G626" s="546"/>
    </row>
    <row r="627" spans="1:9" s="3" customFormat="1" ht="13" x14ac:dyDescent="0.25">
      <c r="A627" s="265" t="s">
        <v>128</v>
      </c>
      <c r="B627" s="298" t="s">
        <v>129</v>
      </c>
      <c r="C627" s="32">
        <f>SUM(C628:C629)</f>
        <v>69500</v>
      </c>
      <c r="D627" s="348"/>
      <c r="E627" s="348"/>
      <c r="F627" s="406"/>
      <c r="G627" s="547"/>
      <c r="H627" s="349"/>
      <c r="I627" s="349"/>
    </row>
    <row r="628" spans="1:9" s="3" customFormat="1" ht="13" x14ac:dyDescent="0.25">
      <c r="A628" s="72" t="s">
        <v>516</v>
      </c>
      <c r="B628" s="72" t="s">
        <v>517</v>
      </c>
      <c r="C628" s="24">
        <v>50000</v>
      </c>
      <c r="D628" s="18"/>
      <c r="E628" s="18"/>
      <c r="F628" s="473"/>
      <c r="G628" s="546"/>
    </row>
    <row r="629" spans="1:9" s="3" customFormat="1" ht="13" x14ac:dyDescent="0.25">
      <c r="A629" s="72" t="s">
        <v>144</v>
      </c>
      <c r="B629" s="72" t="s">
        <v>12</v>
      </c>
      <c r="C629" s="24">
        <v>19500</v>
      </c>
      <c r="D629" s="18"/>
      <c r="E629" s="18"/>
      <c r="F629" s="473"/>
      <c r="G629" s="546"/>
    </row>
    <row r="630" spans="1:9" s="3" customFormat="1" ht="13.5" thickBot="1" x14ac:dyDescent="0.3">
      <c r="A630" s="72"/>
      <c r="B630" s="72"/>
      <c r="C630" s="23"/>
      <c r="D630" s="18"/>
      <c r="E630" s="18"/>
      <c r="F630" s="473"/>
      <c r="G630" s="546"/>
    </row>
    <row r="631" spans="1:9" s="3" customFormat="1" ht="13.5" thickBot="1" x14ac:dyDescent="0.3">
      <c r="A631" s="1100" t="s">
        <v>4</v>
      </c>
      <c r="B631" s="1101"/>
      <c r="C631" s="725">
        <f>C632+C637</f>
        <v>152400</v>
      </c>
      <c r="D631" s="18"/>
      <c r="E631" s="18"/>
      <c r="F631" s="473"/>
      <c r="G631" s="546"/>
    </row>
    <row r="632" spans="1:9" s="3" customFormat="1" ht="13" x14ac:dyDescent="0.25">
      <c r="A632" s="265" t="s">
        <v>116</v>
      </c>
      <c r="B632" s="298" t="s">
        <v>117</v>
      </c>
      <c r="C632" s="32">
        <f>SUM(C633:C636)</f>
        <v>142800</v>
      </c>
      <c r="D632" s="348"/>
      <c r="E632" s="348"/>
      <c r="F632" s="406"/>
      <c r="G632" s="547"/>
      <c r="H632" s="349"/>
      <c r="I632" s="349"/>
    </row>
    <row r="633" spans="1:9" s="3" customFormat="1" ht="13" x14ac:dyDescent="0.25">
      <c r="A633" s="72" t="s">
        <v>91</v>
      </c>
      <c r="B633" s="72" t="s">
        <v>139</v>
      </c>
      <c r="C633" s="24">
        <v>38400</v>
      </c>
      <c r="D633" s="352"/>
      <c r="E633" s="352"/>
      <c r="F633" s="475"/>
      <c r="G633" s="548"/>
      <c r="H633" s="5"/>
      <c r="I633" s="5"/>
    </row>
    <row r="634" spans="1:9" s="3" customFormat="1" ht="13" x14ac:dyDescent="0.25">
      <c r="A634" s="72" t="s">
        <v>57</v>
      </c>
      <c r="B634" s="12" t="s">
        <v>58</v>
      </c>
      <c r="C634" s="221">
        <v>35400</v>
      </c>
      <c r="D634" s="18"/>
      <c r="E634" s="18"/>
      <c r="F634" s="469"/>
      <c r="G634" s="549"/>
      <c r="H634" s="1"/>
      <c r="I634" s="1"/>
    </row>
    <row r="635" spans="1:9" s="3" customFormat="1" ht="13" x14ac:dyDescent="0.25">
      <c r="A635" s="72" t="s">
        <v>527</v>
      </c>
      <c r="B635" s="12" t="s">
        <v>528</v>
      </c>
      <c r="C635" s="221">
        <v>39000</v>
      </c>
      <c r="D635" s="18"/>
      <c r="E635" s="18"/>
      <c r="F635" s="473"/>
      <c r="G635" s="549"/>
      <c r="H635" s="1"/>
      <c r="I635" s="1"/>
    </row>
    <row r="636" spans="1:9" s="8" customFormat="1" ht="13.5" customHeight="1" x14ac:dyDescent="0.25">
      <c r="A636" s="72" t="s">
        <v>814</v>
      </c>
      <c r="B636" s="23" t="s">
        <v>815</v>
      </c>
      <c r="C636" s="24">
        <v>30000</v>
      </c>
      <c r="D636" s="78"/>
      <c r="E636" s="25"/>
      <c r="F636" s="99"/>
      <c r="G636" s="55"/>
      <c r="H636" s="43"/>
    </row>
    <row r="637" spans="1:9" s="3" customFormat="1" ht="13" x14ac:dyDescent="0.25">
      <c r="A637" s="265" t="s">
        <v>166</v>
      </c>
      <c r="B637" s="25" t="s">
        <v>134</v>
      </c>
      <c r="C637" s="31">
        <f>SUM(C638)</f>
        <v>9600</v>
      </c>
      <c r="D637" s="352"/>
      <c r="E637" s="352"/>
      <c r="F637" s="475"/>
      <c r="G637" s="548"/>
      <c r="H637" s="5"/>
      <c r="I637" s="5"/>
    </row>
    <row r="638" spans="1:9" s="3" customFormat="1" ht="13" x14ac:dyDescent="0.25">
      <c r="A638" s="72" t="s">
        <v>167</v>
      </c>
      <c r="B638" s="23" t="s">
        <v>51</v>
      </c>
      <c r="C638" s="24">
        <v>9600</v>
      </c>
      <c r="D638" s="352"/>
      <c r="E638" s="352"/>
      <c r="F638" s="475"/>
      <c r="G638" s="548"/>
      <c r="H638" s="5"/>
      <c r="I638" s="5"/>
    </row>
    <row r="639" spans="1:9" s="3" customFormat="1" ht="13" x14ac:dyDescent="0.25">
      <c r="A639" s="72"/>
      <c r="B639" s="23"/>
      <c r="C639" s="24"/>
      <c r="D639" s="352"/>
      <c r="E639" s="352"/>
      <c r="F639" s="475"/>
      <c r="G639" s="548"/>
      <c r="H639" s="5"/>
      <c r="I639" s="5"/>
    </row>
    <row r="640" spans="1:9" s="3" customFormat="1" ht="13.5" thickBot="1" x14ac:dyDescent="0.3">
      <c r="A640" s="72"/>
      <c r="B640" s="72"/>
      <c r="C640" s="23"/>
      <c r="D640" s="18"/>
      <c r="E640" s="18"/>
      <c r="F640" s="473"/>
      <c r="G640" s="546"/>
    </row>
    <row r="641" spans="1:8" s="1" customFormat="1" ht="12.75" customHeight="1" x14ac:dyDescent="0.25">
      <c r="A641" s="1117" t="s">
        <v>953</v>
      </c>
      <c r="B641" s="1118"/>
      <c r="C641" s="1119"/>
      <c r="D641" s="692" t="s">
        <v>6</v>
      </c>
      <c r="E641" s="913" t="s">
        <v>762</v>
      </c>
      <c r="F641" s="588"/>
    </row>
    <row r="642" spans="1:8" s="1" customFormat="1" ht="13.5" thickBot="1" x14ac:dyDescent="0.3">
      <c r="A642" s="1120"/>
      <c r="B642" s="1121"/>
      <c r="C642" s="1122"/>
      <c r="D642" s="734"/>
      <c r="E642" s="735"/>
      <c r="F642" s="469"/>
    </row>
    <row r="643" spans="1:8" s="1" customFormat="1" ht="13" x14ac:dyDescent="0.25">
      <c r="A643" s="1123" t="s">
        <v>954</v>
      </c>
      <c r="B643" s="1124"/>
      <c r="C643" s="1124"/>
      <c r="D643" s="1124"/>
      <c r="E643" s="1125"/>
      <c r="F643" s="469"/>
    </row>
    <row r="644" spans="1:8" s="1" customFormat="1" ht="13" x14ac:dyDescent="0.25">
      <c r="A644" s="1126"/>
      <c r="B644" s="1127"/>
      <c r="C644" s="1127"/>
      <c r="D644" s="1127"/>
      <c r="E644" s="1128"/>
      <c r="F644" s="469"/>
    </row>
    <row r="645" spans="1:8" s="1" customFormat="1" ht="13" x14ac:dyDescent="0.25">
      <c r="A645" s="1126"/>
      <c r="B645" s="1127"/>
      <c r="C645" s="1127"/>
      <c r="D645" s="1127"/>
      <c r="E645" s="1128"/>
      <c r="F645" s="469"/>
    </row>
    <row r="646" spans="1:8" s="1" customFormat="1" ht="13" x14ac:dyDescent="0.25">
      <c r="A646" s="1126"/>
      <c r="B646" s="1127"/>
      <c r="C646" s="1127"/>
      <c r="D646" s="1127"/>
      <c r="E646" s="1128"/>
    </row>
    <row r="647" spans="1:8" s="1" customFormat="1" ht="13.5" thickBot="1" x14ac:dyDescent="0.3">
      <c r="A647" s="1129"/>
      <c r="B647" s="1130"/>
      <c r="C647" s="1130"/>
      <c r="D647" s="1130"/>
      <c r="E647" s="1131"/>
    </row>
    <row r="648" spans="1:8" s="1" customFormat="1" ht="13" x14ac:dyDescent="0.25">
      <c r="A648" s="41" t="s">
        <v>1029</v>
      </c>
      <c r="B648" s="12"/>
      <c r="C648" s="24"/>
      <c r="D648" s="24"/>
      <c r="E648" s="320"/>
      <c r="F648" s="469"/>
    </row>
    <row r="649" spans="1:8" s="1" customFormat="1" ht="14.25" customHeight="1" x14ac:dyDescent="0.25">
      <c r="A649" s="41" t="s">
        <v>650</v>
      </c>
      <c r="B649" s="12"/>
      <c r="C649" s="24"/>
      <c r="D649" s="24"/>
      <c r="E649" s="320"/>
      <c r="F649" s="469"/>
    </row>
    <row r="650" spans="1:8" s="1" customFormat="1" ht="13" x14ac:dyDescent="0.25">
      <c r="A650" s="41" t="s">
        <v>1040</v>
      </c>
      <c r="B650" s="12"/>
      <c r="C650" s="24"/>
      <c r="D650" s="24"/>
      <c r="E650" s="320"/>
      <c r="F650" s="469"/>
    </row>
    <row r="651" spans="1:8" s="1" customFormat="1" ht="13.5" thickBot="1" x14ac:dyDescent="0.3">
      <c r="A651" s="76" t="s">
        <v>13</v>
      </c>
      <c r="B651" s="140"/>
      <c r="C651" s="377"/>
      <c r="D651" s="377"/>
      <c r="E651" s="378"/>
      <c r="F651" s="469"/>
    </row>
    <row r="652" spans="1:8" s="1" customFormat="1" ht="13.5" thickBot="1" x14ac:dyDescent="0.3">
      <c r="A652" s="762" t="s">
        <v>14</v>
      </c>
      <c r="B652" s="763"/>
      <c r="C652" s="764"/>
      <c r="D652" s="766"/>
      <c r="E652" s="772">
        <f>(D668+D744+D829)</f>
        <v>18145930</v>
      </c>
      <c r="F652" s="469"/>
      <c r="G652" s="14"/>
      <c r="H652" s="14"/>
    </row>
    <row r="653" spans="1:8" s="3" customFormat="1" ht="13.5" thickBot="1" x14ac:dyDescent="0.3">
      <c r="A653" s="72"/>
      <c r="B653" s="72"/>
      <c r="C653" s="28"/>
      <c r="D653" s="18"/>
      <c r="E653" s="18"/>
      <c r="F653" s="473"/>
    </row>
    <row r="654" spans="1:8" s="1" customFormat="1" ht="13" x14ac:dyDescent="0.25">
      <c r="A654" s="1117" t="s">
        <v>955</v>
      </c>
      <c r="B654" s="1119"/>
      <c r="C654" s="692" t="s">
        <v>6</v>
      </c>
      <c r="D654" s="913" t="s">
        <v>707</v>
      </c>
      <c r="F654" s="588"/>
    </row>
    <row r="655" spans="1:8" s="1" customFormat="1" ht="13.5" thickBot="1" x14ac:dyDescent="0.3">
      <c r="A655" s="1120"/>
      <c r="B655" s="1122"/>
      <c r="C655" s="695"/>
      <c r="D655" s="718"/>
      <c r="F655" s="469"/>
    </row>
    <row r="656" spans="1:8" s="1" customFormat="1" ht="12.75" customHeight="1" x14ac:dyDescent="0.25">
      <c r="A656" s="1123" t="s">
        <v>956</v>
      </c>
      <c r="B656" s="1124"/>
      <c r="C656" s="1124"/>
      <c r="D656" s="1125"/>
      <c r="F656" s="469"/>
    </row>
    <row r="657" spans="1:11" s="1" customFormat="1" ht="13" x14ac:dyDescent="0.25">
      <c r="A657" s="1126"/>
      <c r="B657" s="1127"/>
      <c r="C657" s="1127"/>
      <c r="D657" s="1128"/>
      <c r="F657" s="469"/>
    </row>
    <row r="658" spans="1:11" s="4" customFormat="1" ht="13" x14ac:dyDescent="0.3">
      <c r="A658" s="1126"/>
      <c r="B658" s="1127"/>
      <c r="C658" s="1127"/>
      <c r="D658" s="1128"/>
      <c r="E658" s="928"/>
      <c r="F658" s="157"/>
      <c r="G658" s="516"/>
      <c r="H658" s="516"/>
      <c r="I658" s="516"/>
      <c r="J658" s="516"/>
      <c r="K658" s="516"/>
    </row>
    <row r="659" spans="1:11" s="1" customFormat="1" ht="13" x14ac:dyDescent="0.25">
      <c r="A659" s="1126"/>
      <c r="B659" s="1127"/>
      <c r="C659" s="1127"/>
      <c r="D659" s="1128"/>
      <c r="F659" s="469"/>
    </row>
    <row r="660" spans="1:11" s="1" customFormat="1" ht="13" x14ac:dyDescent="0.25">
      <c r="A660" s="1126"/>
      <c r="B660" s="1127"/>
      <c r="C660" s="1127"/>
      <c r="D660" s="1128"/>
    </row>
    <row r="661" spans="1:11" s="1" customFormat="1" ht="13" x14ac:dyDescent="0.25">
      <c r="A661" s="1126"/>
      <c r="B661" s="1127"/>
      <c r="C661" s="1127"/>
      <c r="D661" s="1128"/>
    </row>
    <row r="662" spans="1:11" s="1" customFormat="1" ht="13" x14ac:dyDescent="0.25">
      <c r="A662" s="1126"/>
      <c r="B662" s="1127"/>
      <c r="C662" s="1127"/>
      <c r="D662" s="1128"/>
    </row>
    <row r="663" spans="1:11" s="1" customFormat="1" ht="13.5" thickBot="1" x14ac:dyDescent="0.3">
      <c r="A663" s="1126"/>
      <c r="B663" s="1127"/>
      <c r="C663" s="1127"/>
      <c r="D663" s="1128"/>
    </row>
    <row r="664" spans="1:11" s="1" customFormat="1" ht="13" x14ac:dyDescent="0.25">
      <c r="A664" s="119" t="s">
        <v>1029</v>
      </c>
      <c r="B664" s="174"/>
      <c r="C664" s="420"/>
      <c r="D664" s="422"/>
      <c r="F664" s="469"/>
    </row>
    <row r="665" spans="1:11" s="1" customFormat="1" ht="13" x14ac:dyDescent="0.25">
      <c r="A665" s="41" t="s">
        <v>674</v>
      </c>
      <c r="B665" s="12"/>
      <c r="C665" s="24"/>
      <c r="D665" s="320"/>
      <c r="F665" s="469"/>
    </row>
    <row r="666" spans="1:11" s="1" customFormat="1" ht="13" x14ac:dyDescent="0.25">
      <c r="A666" s="41" t="s">
        <v>1064</v>
      </c>
      <c r="B666" s="12"/>
      <c r="C666" s="24"/>
      <c r="D666" s="320"/>
      <c r="F666" s="469"/>
    </row>
    <row r="667" spans="1:11" s="1" customFormat="1" ht="13.5" thickBot="1" x14ac:dyDescent="0.3">
      <c r="A667" s="76" t="s">
        <v>13</v>
      </c>
      <c r="B667" s="140"/>
      <c r="C667" s="377"/>
      <c r="D667" s="378"/>
      <c r="F667" s="469"/>
    </row>
    <row r="668" spans="1:11" s="1" customFormat="1" ht="13.5" thickBot="1" x14ac:dyDescent="0.3">
      <c r="A668" s="762" t="s">
        <v>587</v>
      </c>
      <c r="B668" s="763"/>
      <c r="C668" s="766"/>
      <c r="D668" s="772">
        <f>+C670+C699+C719</f>
        <v>5286400</v>
      </c>
      <c r="F668" s="469"/>
      <c r="G668" s="14"/>
    </row>
    <row r="669" spans="1:11" s="3" customFormat="1" ht="13.5" thickBot="1" x14ac:dyDescent="0.3">
      <c r="A669" s="75"/>
      <c r="C669" s="18"/>
      <c r="D669" s="18"/>
      <c r="E669" s="18"/>
      <c r="F669" s="368"/>
    </row>
    <row r="670" spans="1:11" s="3" customFormat="1" ht="13.5" thickBot="1" x14ac:dyDescent="0.3">
      <c r="A670" s="1104" t="s">
        <v>2</v>
      </c>
      <c r="B670" s="1105"/>
      <c r="C670" s="667">
        <f>C671+C673+C676+C678+C681+C688+C692</f>
        <v>909430</v>
      </c>
      <c r="D670" s="18"/>
      <c r="E670" s="18"/>
      <c r="F670" s="206"/>
    </row>
    <row r="671" spans="1:11" s="349" customFormat="1" ht="13" x14ac:dyDescent="0.25">
      <c r="A671" s="11" t="s">
        <v>103</v>
      </c>
      <c r="B671" s="298" t="s">
        <v>104</v>
      </c>
      <c r="C671" s="32">
        <f>SUM(C672)</f>
        <v>64510</v>
      </c>
      <c r="D671" s="348"/>
      <c r="E671" s="348"/>
      <c r="F671" s="406"/>
    </row>
    <row r="672" spans="1:11" s="12" customFormat="1" ht="13.5" customHeight="1" x14ac:dyDescent="0.25">
      <c r="A672" s="12" t="s">
        <v>46</v>
      </c>
      <c r="B672" s="12" t="s">
        <v>45</v>
      </c>
      <c r="C672" s="24">
        <v>64510</v>
      </c>
      <c r="D672" s="403"/>
      <c r="E672" s="353"/>
      <c r="F672" s="474"/>
      <c r="G672" s="394"/>
    </row>
    <row r="673" spans="1:256" s="12" customFormat="1" ht="13.5" customHeight="1" x14ac:dyDescent="0.25">
      <c r="A673" s="11" t="s">
        <v>199</v>
      </c>
      <c r="B673" s="559" t="s">
        <v>198</v>
      </c>
      <c r="C673" s="31">
        <f>SUM(C674:C675)</f>
        <v>34200</v>
      </c>
      <c r="D673" s="403"/>
      <c r="E673" s="353"/>
      <c r="F673" s="406"/>
      <c r="G673" s="394"/>
    </row>
    <row r="674" spans="1:256" s="12" customFormat="1" ht="13.5" customHeight="1" x14ac:dyDescent="0.25">
      <c r="A674" s="12" t="s">
        <v>197</v>
      </c>
      <c r="B674" s="43" t="s">
        <v>196</v>
      </c>
      <c r="C674" s="24">
        <v>12600</v>
      </c>
      <c r="D674" s="403"/>
      <c r="E674" s="353"/>
      <c r="F674" s="406"/>
      <c r="G674" s="394"/>
    </row>
    <row r="675" spans="1:256" s="12" customFormat="1" ht="13.5" customHeight="1" x14ac:dyDescent="0.25">
      <c r="A675" s="12" t="s">
        <v>227</v>
      </c>
      <c r="B675" s="43" t="s">
        <v>226</v>
      </c>
      <c r="C675" s="24">
        <v>21600</v>
      </c>
      <c r="D675" s="403"/>
      <c r="E675" s="585"/>
      <c r="F675" s="586"/>
      <c r="G675" s="587"/>
    </row>
    <row r="676" spans="1:256" s="349" customFormat="1" ht="13" x14ac:dyDescent="0.25">
      <c r="A676" s="11" t="s">
        <v>105</v>
      </c>
      <c r="B676" s="11" t="s">
        <v>106</v>
      </c>
      <c r="C676" s="32">
        <f>SUM(C677)</f>
        <v>67650</v>
      </c>
      <c r="D676" s="348"/>
      <c r="F676" s="405"/>
    </row>
    <row r="677" spans="1:256" s="5" customFormat="1" ht="13" x14ac:dyDescent="0.25">
      <c r="A677" s="12" t="s">
        <v>86</v>
      </c>
      <c r="B677" s="72" t="s">
        <v>66</v>
      </c>
      <c r="C677" s="24">
        <v>67650</v>
      </c>
      <c r="D677" s="353"/>
      <c r="F677" s="353"/>
    </row>
    <row r="678" spans="1:256" s="5" customFormat="1" ht="13" x14ac:dyDescent="0.25">
      <c r="A678" s="11" t="s">
        <v>107</v>
      </c>
      <c r="B678" s="265" t="s">
        <v>108</v>
      </c>
      <c r="C678" s="31">
        <f>SUM(C679:C680)</f>
        <v>168640</v>
      </c>
      <c r="D678" s="353"/>
      <c r="E678" s="353"/>
      <c r="F678" s="475"/>
    </row>
    <row r="679" spans="1:256" s="5" customFormat="1" ht="13" x14ac:dyDescent="0.25">
      <c r="A679" s="12" t="s">
        <v>47</v>
      </c>
      <c r="B679" s="23" t="s">
        <v>48</v>
      </c>
      <c r="C679" s="24">
        <v>75100</v>
      </c>
      <c r="D679" s="353"/>
      <c r="E679" s="353"/>
      <c r="F679" s="475"/>
      <c r="G679" s="410"/>
    </row>
    <row r="680" spans="1:256" s="5" customFormat="1" ht="13" x14ac:dyDescent="0.25">
      <c r="A680" s="12" t="s">
        <v>462</v>
      </c>
      <c r="B680" s="43" t="s">
        <v>463</v>
      </c>
      <c r="C680" s="24">
        <v>93540</v>
      </c>
      <c r="D680" s="353"/>
      <c r="E680" s="353"/>
      <c r="F680" s="475"/>
      <c r="G680" s="410"/>
    </row>
    <row r="681" spans="1:256" s="5" customFormat="1" ht="13" x14ac:dyDescent="0.25">
      <c r="A681" s="265" t="s">
        <v>119</v>
      </c>
      <c r="B681" s="25" t="s">
        <v>109</v>
      </c>
      <c r="C681" s="31">
        <f>SUM(C682:C687)</f>
        <v>283120</v>
      </c>
      <c r="D681" s="353"/>
      <c r="E681" s="353"/>
      <c r="F681" s="475"/>
      <c r="G681" s="410"/>
    </row>
    <row r="682" spans="1:256" s="5" customFormat="1" ht="13" x14ac:dyDescent="0.25">
      <c r="A682" s="72" t="s">
        <v>150</v>
      </c>
      <c r="B682" s="24" t="s">
        <v>340</v>
      </c>
      <c r="C682" s="24">
        <v>66540</v>
      </c>
      <c r="D682" s="353"/>
      <c r="E682" s="353"/>
      <c r="F682" s="475"/>
      <c r="G682" s="410"/>
    </row>
    <row r="683" spans="1:256" s="5" customFormat="1" ht="13" x14ac:dyDescent="0.25">
      <c r="A683" s="72" t="s">
        <v>186</v>
      </c>
      <c r="B683" s="43" t="s">
        <v>599</v>
      </c>
      <c r="C683" s="24">
        <v>11040</v>
      </c>
      <c r="E683" s="353"/>
      <c r="F683" s="475"/>
      <c r="G683" s="410"/>
    </row>
    <row r="684" spans="1:256" s="5" customFormat="1" ht="13" x14ac:dyDescent="0.25">
      <c r="A684" s="72" t="s">
        <v>600</v>
      </c>
      <c r="B684" s="43" t="s">
        <v>613</v>
      </c>
      <c r="C684" s="24">
        <v>57240</v>
      </c>
      <c r="D684" s="43"/>
      <c r="E684" s="43"/>
      <c r="F684" s="43"/>
      <c r="G684" s="43"/>
      <c r="H684" s="43"/>
      <c r="I684" s="43"/>
      <c r="J684" s="43"/>
      <c r="K684" s="43"/>
      <c r="L684" s="43"/>
      <c r="M684" s="43"/>
      <c r="N684" s="43"/>
      <c r="O684" s="43"/>
      <c r="P684" s="43"/>
      <c r="Q684" s="43"/>
      <c r="R684" s="43"/>
      <c r="S684" s="43"/>
      <c r="T684" s="43"/>
      <c r="U684" s="43"/>
      <c r="V684" s="43"/>
      <c r="W684" s="43"/>
      <c r="X684" s="43"/>
      <c r="Y684" s="43"/>
      <c r="Z684" s="43"/>
      <c r="AA684" s="43"/>
      <c r="AB684" s="43"/>
      <c r="AC684" s="43"/>
      <c r="AD684" s="43"/>
      <c r="AE684" s="43"/>
      <c r="AF684" s="43"/>
      <c r="AG684" s="43"/>
      <c r="AH684" s="43"/>
      <c r="AI684" s="43"/>
      <c r="AJ684" s="43"/>
      <c r="AK684" s="43"/>
      <c r="AL684" s="43"/>
      <c r="AM684" s="43"/>
      <c r="AN684" s="43"/>
      <c r="AO684" s="43"/>
      <c r="AP684" s="43"/>
      <c r="AQ684" s="43"/>
      <c r="AR684" s="43"/>
      <c r="AS684" s="43"/>
      <c r="AT684" s="43"/>
      <c r="AU684" s="43"/>
      <c r="AV684" s="43"/>
      <c r="AW684" s="43"/>
      <c r="AX684" s="43"/>
      <c r="AY684" s="43"/>
      <c r="AZ684" s="43"/>
      <c r="BA684" s="43"/>
      <c r="BB684" s="43"/>
      <c r="BC684" s="43"/>
      <c r="BD684" s="43"/>
      <c r="BE684" s="43"/>
      <c r="BF684" s="43"/>
      <c r="BG684" s="43"/>
      <c r="BH684" s="43"/>
      <c r="BI684" s="43"/>
      <c r="BJ684" s="43"/>
      <c r="BK684" s="43"/>
      <c r="BL684" s="43"/>
      <c r="BM684" s="43"/>
      <c r="BN684" s="43"/>
      <c r="BO684" s="43"/>
      <c r="BP684" s="43"/>
      <c r="BQ684" s="43"/>
      <c r="BR684" s="43"/>
      <c r="BS684" s="43"/>
      <c r="BT684" s="43"/>
      <c r="BU684" s="43"/>
      <c r="BV684" s="43"/>
      <c r="BW684" s="43"/>
      <c r="BX684" s="43"/>
      <c r="BY684" s="43"/>
      <c r="BZ684" s="43"/>
      <c r="CA684" s="43"/>
      <c r="CB684" s="43"/>
      <c r="CC684" s="43"/>
      <c r="CD684" s="43"/>
      <c r="CE684" s="43"/>
      <c r="CF684" s="43"/>
      <c r="CG684" s="43"/>
      <c r="CH684" s="43"/>
      <c r="CI684" s="43"/>
      <c r="CJ684" s="43"/>
      <c r="CK684" s="43"/>
      <c r="CL684" s="43"/>
      <c r="CM684" s="43"/>
      <c r="CN684" s="43"/>
      <c r="CO684" s="43"/>
      <c r="CP684" s="43"/>
      <c r="CQ684" s="43"/>
      <c r="CR684" s="43"/>
      <c r="CS684" s="43"/>
      <c r="CT684" s="43"/>
      <c r="CU684" s="43"/>
      <c r="CV684" s="43"/>
      <c r="CW684" s="43"/>
      <c r="CX684" s="43"/>
      <c r="CY684" s="43"/>
      <c r="CZ684" s="43"/>
      <c r="DA684" s="43"/>
      <c r="DB684" s="43"/>
      <c r="DC684" s="43"/>
      <c r="DD684" s="43"/>
      <c r="DE684" s="43"/>
      <c r="DF684" s="43"/>
      <c r="DG684" s="43"/>
      <c r="DH684" s="43"/>
      <c r="DI684" s="43"/>
      <c r="DJ684" s="43"/>
      <c r="DK684" s="43"/>
      <c r="DL684" s="43"/>
      <c r="DM684" s="43"/>
      <c r="DN684" s="43"/>
      <c r="DO684" s="43"/>
      <c r="DP684" s="43"/>
      <c r="DQ684" s="43"/>
      <c r="DR684" s="43"/>
      <c r="DS684" s="43"/>
      <c r="DT684" s="43"/>
      <c r="DU684" s="43"/>
      <c r="DV684" s="43"/>
      <c r="DW684" s="43"/>
      <c r="DX684" s="43"/>
      <c r="DY684" s="43"/>
      <c r="DZ684" s="43"/>
      <c r="EA684" s="43"/>
      <c r="EB684" s="43"/>
      <c r="EC684" s="43"/>
      <c r="ED684" s="43"/>
      <c r="EE684" s="43"/>
      <c r="EF684" s="43"/>
      <c r="EG684" s="43"/>
      <c r="EH684" s="43"/>
      <c r="EI684" s="43"/>
      <c r="EJ684" s="43"/>
      <c r="EK684" s="43"/>
      <c r="EL684" s="43"/>
      <c r="EM684" s="43"/>
      <c r="EN684" s="43"/>
      <c r="EO684" s="43"/>
      <c r="EP684" s="43"/>
      <c r="EQ684" s="43"/>
      <c r="ER684" s="43"/>
      <c r="ES684" s="43"/>
      <c r="ET684" s="43"/>
      <c r="EU684" s="43"/>
      <c r="EV684" s="43"/>
      <c r="EW684" s="43"/>
      <c r="EX684" s="43"/>
      <c r="EY684" s="43"/>
      <c r="EZ684" s="43"/>
      <c r="FA684" s="43"/>
      <c r="FB684" s="43"/>
      <c r="FC684" s="43"/>
      <c r="FD684" s="43"/>
      <c r="FE684" s="43"/>
      <c r="FF684" s="43"/>
      <c r="FG684" s="43"/>
      <c r="FH684" s="43"/>
      <c r="FI684" s="43"/>
      <c r="FJ684" s="43"/>
      <c r="FK684" s="43"/>
      <c r="FL684" s="43"/>
      <c r="FM684" s="43"/>
      <c r="FN684" s="43"/>
      <c r="FO684" s="43"/>
      <c r="FP684" s="43"/>
      <c r="FQ684" s="43"/>
      <c r="FR684" s="43"/>
      <c r="FS684" s="43"/>
      <c r="FT684" s="43"/>
      <c r="FU684" s="43"/>
      <c r="FV684" s="43"/>
      <c r="FW684" s="43"/>
      <c r="FX684" s="43"/>
      <c r="FY684" s="43"/>
      <c r="FZ684" s="43"/>
      <c r="GA684" s="43"/>
      <c r="GB684" s="43"/>
      <c r="GC684" s="43"/>
      <c r="GD684" s="43"/>
      <c r="GE684" s="43"/>
      <c r="GF684" s="43"/>
      <c r="GG684" s="43"/>
      <c r="GH684" s="43"/>
      <c r="GI684" s="43"/>
      <c r="GJ684" s="43"/>
      <c r="GK684" s="43"/>
      <c r="GL684" s="43"/>
      <c r="GM684" s="43"/>
      <c r="GN684" s="43"/>
      <c r="GO684" s="43"/>
      <c r="GP684" s="43"/>
      <c r="GQ684" s="43"/>
      <c r="GR684" s="43"/>
      <c r="GS684" s="43"/>
      <c r="GT684" s="43"/>
      <c r="GU684" s="43"/>
      <c r="GV684" s="43"/>
      <c r="GW684" s="43"/>
      <c r="GX684" s="43"/>
      <c r="GY684" s="43"/>
      <c r="GZ684" s="43"/>
      <c r="HA684" s="43"/>
      <c r="HB684" s="43"/>
      <c r="HC684" s="43"/>
      <c r="HD684" s="43"/>
      <c r="HE684" s="43"/>
      <c r="HF684" s="43"/>
      <c r="HG684" s="43"/>
      <c r="HH684" s="43"/>
      <c r="HI684" s="43"/>
      <c r="HJ684" s="43"/>
      <c r="HK684" s="43"/>
      <c r="HL684" s="43"/>
      <c r="HM684" s="43"/>
      <c r="HN684" s="43"/>
      <c r="HO684" s="43"/>
      <c r="HP684" s="43"/>
      <c r="HQ684" s="43"/>
      <c r="HR684" s="43"/>
      <c r="HS684" s="43"/>
      <c r="HT684" s="43"/>
      <c r="HU684" s="43"/>
      <c r="HV684" s="43"/>
      <c r="HW684" s="43"/>
      <c r="HX684" s="43"/>
      <c r="HY684" s="43"/>
      <c r="HZ684" s="43"/>
      <c r="IA684" s="43"/>
      <c r="IB684" s="43"/>
      <c r="IC684" s="43"/>
      <c r="ID684" s="43"/>
      <c r="IE684" s="43"/>
      <c r="IF684" s="43"/>
      <c r="IG684" s="43"/>
      <c r="IH684" s="43"/>
      <c r="II684" s="43"/>
      <c r="IJ684" s="43"/>
      <c r="IK684" s="43"/>
      <c r="IL684" s="43"/>
      <c r="IM684" s="43"/>
      <c r="IN684" s="43"/>
      <c r="IO684" s="43"/>
      <c r="IP684" s="43"/>
      <c r="IQ684" s="43"/>
      <c r="IR684" s="43"/>
      <c r="IS684" s="43"/>
      <c r="IT684" s="43"/>
      <c r="IU684" s="43"/>
      <c r="IV684" s="43"/>
    </row>
    <row r="685" spans="1:256" s="3" customFormat="1" ht="13" x14ac:dyDescent="0.25">
      <c r="A685" s="72" t="s">
        <v>697</v>
      </c>
      <c r="B685" s="43" t="s">
        <v>696</v>
      </c>
      <c r="C685" s="24">
        <v>70300</v>
      </c>
      <c r="D685" s="5"/>
      <c r="E685" s="353"/>
      <c r="F685" s="475"/>
      <c r="G685" s="410"/>
      <c r="H685" s="5"/>
      <c r="I685" s="5"/>
    </row>
    <row r="686" spans="1:256" s="66" customFormat="1" ht="13" x14ac:dyDescent="0.3">
      <c r="A686" s="72" t="s">
        <v>816</v>
      </c>
      <c r="B686" s="24" t="s">
        <v>810</v>
      </c>
      <c r="C686" s="24">
        <v>23000</v>
      </c>
      <c r="D686" s="78"/>
      <c r="E686" s="25"/>
    </row>
    <row r="687" spans="1:256" s="66" customFormat="1" ht="13" x14ac:dyDescent="0.3">
      <c r="A687" s="72" t="s">
        <v>820</v>
      </c>
      <c r="B687" s="24" t="s">
        <v>821</v>
      </c>
      <c r="C687" s="24">
        <v>55000</v>
      </c>
      <c r="D687" s="78"/>
      <c r="E687" s="25"/>
    </row>
    <row r="688" spans="1:256" s="5" customFormat="1" ht="13" x14ac:dyDescent="0.25">
      <c r="A688" s="265" t="s">
        <v>124</v>
      </c>
      <c r="B688" s="31" t="s">
        <v>123</v>
      </c>
      <c r="C688" s="31">
        <f>SUM(C689:C691)</f>
        <v>174420</v>
      </c>
      <c r="D688" s="353"/>
      <c r="E688" s="353"/>
      <c r="F688" s="475"/>
      <c r="G688" s="410"/>
    </row>
    <row r="689" spans="1:9" s="5" customFormat="1" ht="13" x14ac:dyDescent="0.25">
      <c r="A689" s="72" t="s">
        <v>230</v>
      </c>
      <c r="B689" s="23" t="s">
        <v>229</v>
      </c>
      <c r="C689" s="24">
        <v>45760</v>
      </c>
      <c r="D689" s="353"/>
      <c r="E689" s="353"/>
      <c r="F689" s="475"/>
      <c r="G689" s="410"/>
    </row>
    <row r="690" spans="1:9" s="5" customFormat="1" ht="13" x14ac:dyDescent="0.25">
      <c r="A690" s="12" t="s">
        <v>242</v>
      </c>
      <c r="B690" s="24" t="s">
        <v>243</v>
      </c>
      <c r="C690" s="24">
        <v>99100</v>
      </c>
      <c r="D690" s="353"/>
      <c r="E690" s="353"/>
      <c r="F690" s="475"/>
      <c r="G690" s="410"/>
    </row>
    <row r="691" spans="1:9" s="5" customFormat="1" ht="13" x14ac:dyDescent="0.25">
      <c r="A691" s="72" t="s">
        <v>93</v>
      </c>
      <c r="B691" s="23" t="s">
        <v>72</v>
      </c>
      <c r="C691" s="24">
        <v>29560</v>
      </c>
      <c r="D691" s="353"/>
      <c r="E691" s="353"/>
      <c r="F691" s="475"/>
      <c r="G691" s="410"/>
    </row>
    <row r="692" spans="1:9" s="5" customFormat="1" ht="13" x14ac:dyDescent="0.25">
      <c r="A692" s="265" t="s">
        <v>151</v>
      </c>
      <c r="B692" s="25" t="s">
        <v>125</v>
      </c>
      <c r="C692" s="31">
        <f>SUM(C693:C697)</f>
        <v>116890</v>
      </c>
      <c r="D692" s="352"/>
      <c r="E692" s="352"/>
      <c r="F692" s="475"/>
      <c r="G692" s="410"/>
    </row>
    <row r="693" spans="1:9" s="5" customFormat="1" ht="13" x14ac:dyDescent="0.25">
      <c r="A693" s="72" t="s">
        <v>152</v>
      </c>
      <c r="B693" s="23" t="s">
        <v>65</v>
      </c>
      <c r="C693" s="24">
        <v>13400</v>
      </c>
      <c r="D693" s="352"/>
      <c r="E693" s="352"/>
      <c r="F693" s="475"/>
      <c r="G693" s="410"/>
    </row>
    <row r="694" spans="1:9" s="5" customFormat="1" ht="13" x14ac:dyDescent="0.25">
      <c r="A694" s="72" t="s">
        <v>210</v>
      </c>
      <c r="B694" s="23" t="s">
        <v>209</v>
      </c>
      <c r="C694" s="24">
        <v>18600</v>
      </c>
      <c r="D694" s="352"/>
      <c r="E694" s="352"/>
      <c r="F694" s="475"/>
      <c r="G694" s="410"/>
    </row>
    <row r="695" spans="1:9" s="5" customFormat="1" ht="13" x14ac:dyDescent="0.25">
      <c r="A695" s="72" t="s">
        <v>153</v>
      </c>
      <c r="B695" s="24" t="s">
        <v>70</v>
      </c>
      <c r="C695" s="24">
        <v>10260</v>
      </c>
      <c r="D695" s="353"/>
      <c r="E695" s="353"/>
      <c r="F695" s="475"/>
      <c r="G695" s="410"/>
    </row>
    <row r="696" spans="1:9" s="5" customFormat="1" ht="13" x14ac:dyDescent="0.25">
      <c r="A696" s="72" t="s">
        <v>155</v>
      </c>
      <c r="B696" s="23" t="s">
        <v>125</v>
      </c>
      <c r="C696" s="24">
        <v>18730</v>
      </c>
      <c r="D696" s="353"/>
      <c r="E696" s="353"/>
      <c r="F696" s="475"/>
      <c r="G696" s="410"/>
    </row>
    <row r="697" spans="1:9" s="3" customFormat="1" ht="13" x14ac:dyDescent="0.25">
      <c r="A697" s="72" t="s">
        <v>699</v>
      </c>
      <c r="B697" s="43" t="s">
        <v>698</v>
      </c>
      <c r="C697" s="24">
        <v>55900</v>
      </c>
      <c r="D697" s="353"/>
      <c r="E697" s="353"/>
      <c r="F697" s="475"/>
      <c r="G697" s="410"/>
      <c r="H697" s="5"/>
      <c r="I697" s="5"/>
    </row>
    <row r="698" spans="1:9" s="5" customFormat="1" ht="13.5" thickBot="1" x14ac:dyDescent="0.3">
      <c r="A698" s="72"/>
      <c r="B698" s="24"/>
      <c r="C698" s="23"/>
      <c r="D698" s="352"/>
      <c r="E698" s="352"/>
      <c r="F698" s="475"/>
      <c r="G698" s="410"/>
    </row>
    <row r="699" spans="1:9" s="3" customFormat="1" ht="13.5" thickBot="1" x14ac:dyDescent="0.3">
      <c r="A699" s="1096" t="s">
        <v>3</v>
      </c>
      <c r="B699" s="1097"/>
      <c r="C699" s="668">
        <f>C700+C702+C706+C710+C712</f>
        <v>3796330</v>
      </c>
      <c r="D699" s="18"/>
      <c r="E699" s="18"/>
      <c r="F699" s="473"/>
    </row>
    <row r="700" spans="1:9" s="349" customFormat="1" ht="13" x14ac:dyDescent="0.25">
      <c r="A700" s="265" t="s">
        <v>110</v>
      </c>
      <c r="B700" s="298" t="s">
        <v>111</v>
      </c>
      <c r="C700" s="32">
        <f>SUM(C701)</f>
        <v>104930</v>
      </c>
      <c r="D700" s="348"/>
      <c r="E700" s="348"/>
      <c r="F700" s="406"/>
    </row>
    <row r="701" spans="1:9" s="72" customFormat="1" ht="13.5" customHeight="1" x14ac:dyDescent="0.25">
      <c r="A701" s="72" t="s">
        <v>52</v>
      </c>
      <c r="B701" s="24" t="s">
        <v>15</v>
      </c>
      <c r="C701" s="24">
        <v>104930</v>
      </c>
      <c r="D701" s="353"/>
      <c r="E701" s="352"/>
      <c r="F701" s="475"/>
      <c r="G701" s="361"/>
      <c r="H701" s="24"/>
    </row>
    <row r="702" spans="1:9" s="72" customFormat="1" ht="13.5" customHeight="1" x14ac:dyDescent="0.25">
      <c r="A702" s="11" t="s">
        <v>120</v>
      </c>
      <c r="B702" s="31" t="s">
        <v>121</v>
      </c>
      <c r="C702" s="31">
        <f>SUM(C703:C705)</f>
        <v>704400</v>
      </c>
      <c r="D702" s="353"/>
      <c r="E702" s="352"/>
      <c r="F702" s="475"/>
      <c r="G702" s="361"/>
      <c r="H702" s="24"/>
    </row>
    <row r="703" spans="1:9" s="72" customFormat="1" ht="13.5" customHeight="1" x14ac:dyDescent="0.25">
      <c r="A703" s="12" t="s">
        <v>246</v>
      </c>
      <c r="B703" s="12" t="s">
        <v>247</v>
      </c>
      <c r="C703" s="24">
        <v>310000</v>
      </c>
      <c r="E703" s="352"/>
      <c r="F703" s="403"/>
      <c r="G703" s="361"/>
      <c r="H703" s="24"/>
    </row>
    <row r="704" spans="1:9" s="128" customFormat="1" ht="13.5" customHeight="1" x14ac:dyDescent="0.25">
      <c r="A704" s="12" t="s">
        <v>140</v>
      </c>
      <c r="B704" s="12" t="s">
        <v>595</v>
      </c>
      <c r="C704" s="303">
        <v>304900</v>
      </c>
      <c r="E704" s="303"/>
      <c r="F704" s="293"/>
      <c r="G704" s="122"/>
      <c r="H704" s="122"/>
      <c r="I704" s="276"/>
    </row>
    <row r="705" spans="1:10" s="72" customFormat="1" ht="13.5" customHeight="1" x14ac:dyDescent="0.25">
      <c r="A705" s="12" t="s">
        <v>136</v>
      </c>
      <c r="B705" s="12" t="s">
        <v>71</v>
      </c>
      <c r="C705" s="24">
        <v>89500</v>
      </c>
      <c r="E705" s="352"/>
      <c r="F705" s="353"/>
      <c r="G705" s="361"/>
      <c r="H705" s="24"/>
    </row>
    <row r="706" spans="1:10" s="72" customFormat="1" ht="13.5" customHeight="1" x14ac:dyDescent="0.25">
      <c r="A706" s="265" t="s">
        <v>112</v>
      </c>
      <c r="B706" s="31" t="s">
        <v>157</v>
      </c>
      <c r="C706" s="31">
        <f>SUM(C707:C709)</f>
        <v>1685000</v>
      </c>
      <c r="E706" s="352"/>
      <c r="F706" s="353"/>
      <c r="G706" s="361"/>
      <c r="H706" s="24"/>
    </row>
    <row r="707" spans="1:10" s="72" customFormat="1" ht="13.5" customHeight="1" x14ac:dyDescent="0.25">
      <c r="A707" s="72" t="s">
        <v>138</v>
      </c>
      <c r="B707" s="59" t="s">
        <v>878</v>
      </c>
      <c r="C707" s="24">
        <v>18000</v>
      </c>
      <c r="E707" s="352"/>
      <c r="F707" s="353"/>
      <c r="G707" s="361"/>
      <c r="H707" s="24"/>
    </row>
    <row r="708" spans="1:10" s="72" customFormat="1" ht="13.5" customHeight="1" x14ac:dyDescent="0.25">
      <c r="A708" s="72" t="s">
        <v>156</v>
      </c>
      <c r="B708" s="12" t="s">
        <v>87</v>
      </c>
      <c r="C708" s="24">
        <v>1287000</v>
      </c>
      <c r="E708" s="353"/>
      <c r="F708" s="356"/>
      <c r="G708" s="361"/>
      <c r="H708" s="24"/>
    </row>
    <row r="709" spans="1:10" s="72" customFormat="1" ht="13.5" customHeight="1" x14ac:dyDescent="0.25">
      <c r="A709" s="72" t="s">
        <v>889</v>
      </c>
      <c r="B709" s="43" t="s">
        <v>877</v>
      </c>
      <c r="C709" s="24">
        <v>380000</v>
      </c>
      <c r="D709" s="363"/>
      <c r="E709" s="427"/>
      <c r="F709" s="352"/>
      <c r="G709" s="363"/>
      <c r="H709" s="12"/>
      <c r="J709" s="23"/>
    </row>
    <row r="710" spans="1:10" s="72" customFormat="1" ht="13.5" customHeight="1" x14ac:dyDescent="0.25">
      <c r="A710" s="11" t="s">
        <v>113</v>
      </c>
      <c r="B710" s="11" t="s">
        <v>114</v>
      </c>
      <c r="C710" s="31">
        <f>SUM(C711:C711)</f>
        <v>33780</v>
      </c>
      <c r="F710" s="356"/>
      <c r="G710" s="361"/>
      <c r="H710" s="24"/>
    </row>
    <row r="711" spans="1:10" s="72" customFormat="1" ht="13.5" customHeight="1" x14ac:dyDescent="0.25">
      <c r="A711" s="12" t="s">
        <v>164</v>
      </c>
      <c r="B711" s="12" t="s">
        <v>74</v>
      </c>
      <c r="C711" s="24">
        <v>33780</v>
      </c>
      <c r="E711" s="352"/>
      <c r="F711" s="353"/>
      <c r="G711" s="361"/>
      <c r="H711" s="12"/>
    </row>
    <row r="712" spans="1:10" s="72" customFormat="1" ht="13.5" customHeight="1" x14ac:dyDescent="0.25">
      <c r="A712" s="265" t="s">
        <v>115</v>
      </c>
      <c r="B712" s="31" t="s">
        <v>8</v>
      </c>
      <c r="C712" s="31">
        <f>SUM(C713:C717)</f>
        <v>1268220</v>
      </c>
      <c r="E712" s="352"/>
      <c r="F712" s="353"/>
      <c r="G712" s="361"/>
      <c r="H712" s="12"/>
    </row>
    <row r="713" spans="1:10" s="72" customFormat="1" ht="13.5" customHeight="1" x14ac:dyDescent="0.25">
      <c r="A713" s="72" t="s">
        <v>92</v>
      </c>
      <c r="B713" s="24" t="s">
        <v>8</v>
      </c>
      <c r="C713" s="24">
        <v>879840</v>
      </c>
      <c r="E713" s="353"/>
      <c r="F713" s="356"/>
      <c r="G713" s="361"/>
      <c r="H713" s="12"/>
    </row>
    <row r="714" spans="1:10" s="11" customFormat="1" ht="13.5" customHeight="1" x14ac:dyDescent="0.25">
      <c r="A714" s="72" t="s">
        <v>181</v>
      </c>
      <c r="B714" s="24" t="s">
        <v>50</v>
      </c>
      <c r="C714" s="24">
        <v>25020</v>
      </c>
      <c r="E714" s="353"/>
      <c r="F714" s="353"/>
      <c r="G714" s="361"/>
      <c r="H714" s="12"/>
      <c r="I714" s="72"/>
      <c r="J714" s="72"/>
    </row>
    <row r="715" spans="1:10" s="72" customFormat="1" ht="13.5" customHeight="1" x14ac:dyDescent="0.25">
      <c r="A715" s="72" t="s">
        <v>222</v>
      </c>
      <c r="B715" s="12" t="s">
        <v>221</v>
      </c>
      <c r="C715" s="24">
        <v>108120</v>
      </c>
      <c r="E715" s="353"/>
      <c r="F715" s="353"/>
      <c r="G715" s="361"/>
      <c r="H715" s="11"/>
      <c r="I715" s="11"/>
      <c r="J715" s="11"/>
    </row>
    <row r="716" spans="1:10" s="72" customFormat="1" ht="13.5" hidden="1" customHeight="1" x14ac:dyDescent="0.25">
      <c r="A716" s="12" t="s">
        <v>205</v>
      </c>
      <c r="B716" s="24" t="s">
        <v>466</v>
      </c>
      <c r="C716" s="24">
        <v>0</v>
      </c>
      <c r="E716" s="353"/>
      <c r="F716" s="357"/>
      <c r="G716" s="361"/>
      <c r="H716" s="11"/>
      <c r="I716" s="11"/>
      <c r="J716" s="11"/>
    </row>
    <row r="717" spans="1:10" s="72" customFormat="1" ht="13.5" customHeight="1" x14ac:dyDescent="0.25">
      <c r="A717" s="72" t="s">
        <v>90</v>
      </c>
      <c r="B717" s="24" t="s">
        <v>7</v>
      </c>
      <c r="C717" s="24">
        <v>255240</v>
      </c>
      <c r="E717" s="352"/>
      <c r="F717" s="474"/>
      <c r="G717" s="361"/>
      <c r="H717" s="12"/>
      <c r="J717" s="23"/>
    </row>
    <row r="718" spans="1:10" s="72" customFormat="1" ht="13.5" customHeight="1" thickBot="1" x14ac:dyDescent="0.3">
      <c r="B718" s="24"/>
      <c r="C718" s="23"/>
      <c r="D718" s="477"/>
      <c r="E718" s="353"/>
      <c r="F718" s="474"/>
      <c r="G718" s="361"/>
      <c r="H718" s="12"/>
    </row>
    <row r="719" spans="1:10" s="3" customFormat="1" ht="13.5" thickBot="1" x14ac:dyDescent="0.3">
      <c r="A719" s="1100" t="s">
        <v>4</v>
      </c>
      <c r="B719" s="1101"/>
      <c r="C719" s="725">
        <f>C720+C726</f>
        <v>580640</v>
      </c>
      <c r="D719" s="18"/>
      <c r="E719" s="18"/>
      <c r="F719" s="469"/>
      <c r="G719" s="1"/>
      <c r="H719" s="1"/>
    </row>
    <row r="720" spans="1:10" s="349" customFormat="1" ht="13" x14ac:dyDescent="0.25">
      <c r="A720" s="265" t="s">
        <v>116</v>
      </c>
      <c r="B720" s="298" t="s">
        <v>117</v>
      </c>
      <c r="C720" s="32">
        <f>SUM(C721:C725)</f>
        <v>550640</v>
      </c>
      <c r="D720" s="348"/>
      <c r="E720" s="348"/>
      <c r="F720" s="406"/>
    </row>
    <row r="721" spans="1:8" s="349" customFormat="1" ht="13" x14ac:dyDescent="0.25">
      <c r="A721" s="72" t="s">
        <v>91</v>
      </c>
      <c r="B721" s="72" t="s">
        <v>139</v>
      </c>
      <c r="C721" s="22">
        <v>34200</v>
      </c>
      <c r="D721" s="348"/>
      <c r="F721" s="348"/>
    </row>
    <row r="722" spans="1:8" s="5" customFormat="1" ht="13" x14ac:dyDescent="0.25">
      <c r="A722" s="72" t="s">
        <v>203</v>
      </c>
      <c r="B722" s="43" t="s">
        <v>612</v>
      </c>
      <c r="C722" s="24">
        <v>98400</v>
      </c>
      <c r="D722" s="352"/>
      <c r="F722" s="357"/>
      <c r="G722" s="394"/>
      <c r="H722" s="147"/>
    </row>
    <row r="723" spans="1:8" s="5" customFormat="1" ht="13" x14ac:dyDescent="0.25">
      <c r="A723" s="72" t="s">
        <v>57</v>
      </c>
      <c r="B723" s="12" t="s">
        <v>58</v>
      </c>
      <c r="C723" s="24">
        <v>206040</v>
      </c>
      <c r="D723" s="352"/>
      <c r="E723" s="591"/>
      <c r="F723" s="586"/>
      <c r="G723" s="587"/>
      <c r="H723" s="147"/>
    </row>
    <row r="724" spans="1:8" s="5" customFormat="1" ht="13" x14ac:dyDescent="0.25">
      <c r="A724" s="72" t="s">
        <v>162</v>
      </c>
      <c r="B724" s="43" t="s">
        <v>163</v>
      </c>
      <c r="C724" s="24">
        <v>147000</v>
      </c>
      <c r="D724" s="352"/>
      <c r="E724" s="352"/>
      <c r="F724" s="475"/>
      <c r="G724" s="410"/>
    </row>
    <row r="725" spans="1:8" s="8" customFormat="1" ht="13.5" customHeight="1" x14ac:dyDescent="0.25">
      <c r="A725" s="72" t="s">
        <v>814</v>
      </c>
      <c r="B725" s="23" t="s">
        <v>815</v>
      </c>
      <c r="C725" s="24">
        <v>65000</v>
      </c>
      <c r="D725" s="78"/>
      <c r="E725" s="25"/>
      <c r="F725" s="99"/>
      <c r="G725" s="55"/>
      <c r="H725" s="43"/>
    </row>
    <row r="726" spans="1:8" s="5" customFormat="1" ht="13" x14ac:dyDescent="0.25">
      <c r="A726" s="265" t="s">
        <v>166</v>
      </c>
      <c r="B726" s="25" t="s">
        <v>134</v>
      </c>
      <c r="C726" s="31">
        <f>SUM(C727)</f>
        <v>30000</v>
      </c>
      <c r="D726" s="352"/>
      <c r="E726" s="352"/>
      <c r="F726" s="475"/>
      <c r="G726" s="410"/>
    </row>
    <row r="727" spans="1:8" s="5" customFormat="1" ht="13" x14ac:dyDescent="0.25">
      <c r="A727" s="72" t="s">
        <v>167</v>
      </c>
      <c r="B727" s="23" t="s">
        <v>51</v>
      </c>
      <c r="C727" s="24">
        <v>30000</v>
      </c>
      <c r="D727" s="352"/>
      <c r="E727" s="352"/>
      <c r="F727" s="475"/>
      <c r="G727" s="410"/>
    </row>
    <row r="728" spans="1:8" s="5" customFormat="1" ht="13" x14ac:dyDescent="0.25">
      <c r="A728" s="72"/>
      <c r="B728" s="23"/>
      <c r="C728" s="24"/>
      <c r="D728" s="352"/>
      <c r="E728" s="352"/>
      <c r="F728" s="475"/>
      <c r="G728" s="410"/>
    </row>
    <row r="729" spans="1:8" s="3" customFormat="1" ht="13.5" thickBot="1" x14ac:dyDescent="0.3">
      <c r="C729" s="18"/>
      <c r="D729" s="18"/>
      <c r="E729" s="18"/>
      <c r="F729" s="473"/>
    </row>
    <row r="730" spans="1:8" s="1" customFormat="1" ht="13" x14ac:dyDescent="0.25">
      <c r="A730" s="1117" t="s">
        <v>767</v>
      </c>
      <c r="B730" s="1119"/>
      <c r="C730" s="692" t="s">
        <v>6</v>
      </c>
      <c r="D730" s="913" t="s">
        <v>708</v>
      </c>
      <c r="F730" s="469"/>
    </row>
    <row r="731" spans="1:8" s="1" customFormat="1" ht="13.5" thickBot="1" x14ac:dyDescent="0.3">
      <c r="A731" s="1120"/>
      <c r="B731" s="1122"/>
      <c r="C731" s="734"/>
      <c r="D731" s="735"/>
      <c r="F731" s="469"/>
    </row>
    <row r="732" spans="1:8" s="1" customFormat="1" ht="13" x14ac:dyDescent="0.25">
      <c r="A732" s="1123" t="s">
        <v>957</v>
      </c>
      <c r="B732" s="1124"/>
      <c r="C732" s="1124"/>
      <c r="D732" s="1125"/>
      <c r="F732" s="469"/>
    </row>
    <row r="733" spans="1:8" s="1" customFormat="1" ht="13" x14ac:dyDescent="0.25">
      <c r="A733" s="1126"/>
      <c r="B733" s="1127"/>
      <c r="C733" s="1127"/>
      <c r="D733" s="1128"/>
      <c r="F733" s="469"/>
    </row>
    <row r="734" spans="1:8" s="1" customFormat="1" ht="13" x14ac:dyDescent="0.25">
      <c r="A734" s="1126"/>
      <c r="B734" s="1127"/>
      <c r="C734" s="1127"/>
      <c r="D734" s="1128"/>
      <c r="F734" s="469"/>
    </row>
    <row r="735" spans="1:8" s="1" customFormat="1" ht="13" x14ac:dyDescent="0.25">
      <c r="A735" s="1126"/>
      <c r="B735" s="1127"/>
      <c r="C735" s="1127"/>
      <c r="D735" s="1128"/>
      <c r="F735" s="469"/>
    </row>
    <row r="736" spans="1:8" s="1" customFormat="1" ht="13" x14ac:dyDescent="0.25">
      <c r="A736" s="1126"/>
      <c r="B736" s="1127"/>
      <c r="C736" s="1127"/>
      <c r="D736" s="1128"/>
      <c r="F736" s="469"/>
    </row>
    <row r="737" spans="1:7" s="196" customFormat="1" ht="13" x14ac:dyDescent="0.25">
      <c r="A737" s="1126"/>
      <c r="B737" s="1127"/>
      <c r="C737" s="1127"/>
      <c r="D737" s="1128"/>
      <c r="F737" s="469"/>
    </row>
    <row r="738" spans="1:7" s="1" customFormat="1" ht="13" x14ac:dyDescent="0.25">
      <c r="A738" s="1126"/>
      <c r="B738" s="1127"/>
      <c r="C738" s="1127"/>
      <c r="D738" s="1128"/>
      <c r="F738" s="469"/>
    </row>
    <row r="739" spans="1:7" s="1" customFormat="1" ht="13.5" thickBot="1" x14ac:dyDescent="0.3">
      <c r="A739" s="1129"/>
      <c r="B739" s="1130"/>
      <c r="C739" s="1130"/>
      <c r="D739" s="1131"/>
      <c r="F739" s="469"/>
    </row>
    <row r="740" spans="1:7" s="196" customFormat="1" ht="11.5" x14ac:dyDescent="0.25">
      <c r="A740" s="41" t="s">
        <v>1029</v>
      </c>
      <c r="B740" s="12"/>
      <c r="C740" s="24"/>
      <c r="D740" s="320"/>
      <c r="F740" s="480"/>
    </row>
    <row r="741" spans="1:7" s="196" customFormat="1" ht="11.5" x14ac:dyDescent="0.25">
      <c r="A741" s="41" t="s">
        <v>675</v>
      </c>
      <c r="B741" s="12"/>
      <c r="C741" s="24"/>
      <c r="D741" s="320"/>
      <c r="F741" s="480"/>
      <c r="G741" s="221"/>
    </row>
    <row r="742" spans="1:7" s="196" customFormat="1" ht="11.5" x14ac:dyDescent="0.25">
      <c r="A742" s="41" t="s">
        <v>1064</v>
      </c>
      <c r="B742" s="12"/>
      <c r="C742" s="24"/>
      <c r="D742" s="320"/>
      <c r="F742" s="480"/>
      <c r="G742" s="221"/>
    </row>
    <row r="743" spans="1:7" s="196" customFormat="1" ht="12" thickBot="1" x14ac:dyDescent="0.3">
      <c r="A743" s="76" t="s">
        <v>13</v>
      </c>
      <c r="B743" s="140"/>
      <c r="C743" s="377"/>
      <c r="D743" s="378"/>
      <c r="F743" s="480"/>
    </row>
    <row r="744" spans="1:7" s="196" customFormat="1" ht="12" thickBot="1" x14ac:dyDescent="0.3">
      <c r="A744" s="762" t="s">
        <v>587</v>
      </c>
      <c r="B744" s="763"/>
      <c r="C744" s="766"/>
      <c r="D744" s="772">
        <f>+C746+C773+C797</f>
        <v>4537400</v>
      </c>
      <c r="F744" s="480"/>
    </row>
    <row r="745" spans="1:7" s="196" customFormat="1" ht="12" thickBot="1" x14ac:dyDescent="0.3">
      <c r="A745" s="11"/>
      <c r="B745" s="11"/>
      <c r="C745" s="31"/>
      <c r="D745" s="31"/>
      <c r="F745" s="368"/>
    </row>
    <row r="746" spans="1:7" s="3" customFormat="1" ht="13.5" thickBot="1" x14ac:dyDescent="0.3">
      <c r="A746" s="1104" t="s">
        <v>2</v>
      </c>
      <c r="B746" s="1105"/>
      <c r="C746" s="667">
        <f>C747+C749+C751+C754+C756+C763+C766</f>
        <v>989940</v>
      </c>
      <c r="D746" s="472"/>
      <c r="E746" s="18"/>
      <c r="F746" s="206"/>
    </row>
    <row r="747" spans="1:7" s="349" customFormat="1" ht="13" x14ac:dyDescent="0.25">
      <c r="A747" s="11" t="s">
        <v>103</v>
      </c>
      <c r="B747" s="298" t="s">
        <v>104</v>
      </c>
      <c r="C747" s="32">
        <f>SUM(C748)</f>
        <v>83800</v>
      </c>
      <c r="D747" s="348"/>
      <c r="E747" s="348"/>
      <c r="F747" s="406"/>
    </row>
    <row r="748" spans="1:7" s="12" customFormat="1" ht="13.5" customHeight="1" x14ac:dyDescent="0.25">
      <c r="A748" s="12" t="s">
        <v>46</v>
      </c>
      <c r="B748" s="12" t="s">
        <v>45</v>
      </c>
      <c r="C748" s="24">
        <v>83800</v>
      </c>
      <c r="D748" s="403"/>
      <c r="E748" s="353"/>
      <c r="F748" s="474"/>
      <c r="G748" s="394"/>
    </row>
    <row r="749" spans="1:7" s="349" customFormat="1" ht="13" x14ac:dyDescent="0.25">
      <c r="A749" s="11" t="s">
        <v>105</v>
      </c>
      <c r="B749" s="11" t="s">
        <v>106</v>
      </c>
      <c r="C749" s="32">
        <f>SUM(C750)</f>
        <v>31000</v>
      </c>
      <c r="D749" s="403"/>
      <c r="F749" s="405"/>
    </row>
    <row r="750" spans="1:7" s="5" customFormat="1" ht="13" x14ac:dyDescent="0.25">
      <c r="A750" s="12" t="s">
        <v>86</v>
      </c>
      <c r="B750" s="72" t="s">
        <v>66</v>
      </c>
      <c r="C750" s="24">
        <v>31000</v>
      </c>
      <c r="E750" s="353"/>
      <c r="F750" s="475"/>
    </row>
    <row r="751" spans="1:7" s="5" customFormat="1" ht="13" x14ac:dyDescent="0.25">
      <c r="A751" s="11" t="s">
        <v>107</v>
      </c>
      <c r="B751" s="265" t="s">
        <v>108</v>
      </c>
      <c r="C751" s="31">
        <f>SUM(C752:C753)</f>
        <v>185820</v>
      </c>
      <c r="D751" s="481"/>
      <c r="E751" s="353"/>
      <c r="F751" s="475"/>
    </row>
    <row r="752" spans="1:7" s="5" customFormat="1" ht="13" x14ac:dyDescent="0.25">
      <c r="A752" s="12" t="s">
        <v>47</v>
      </c>
      <c r="B752" s="23" t="s">
        <v>48</v>
      </c>
      <c r="C752" s="24">
        <v>148800</v>
      </c>
      <c r="D752" s="478"/>
      <c r="E752" s="353"/>
      <c r="F752" s="475"/>
      <c r="G752" s="410"/>
    </row>
    <row r="753" spans="1:9" s="5" customFormat="1" ht="13" x14ac:dyDescent="0.25">
      <c r="A753" s="12" t="s">
        <v>460</v>
      </c>
      <c r="B753" s="43" t="s">
        <v>461</v>
      </c>
      <c r="C753" s="24">
        <v>37020</v>
      </c>
      <c r="D753" s="478"/>
      <c r="E753" s="353"/>
      <c r="F753" s="475"/>
      <c r="G753" s="410"/>
    </row>
    <row r="754" spans="1:9" s="5" customFormat="1" ht="13" x14ac:dyDescent="0.25">
      <c r="A754" s="11" t="s">
        <v>195</v>
      </c>
      <c r="B754" s="25" t="s">
        <v>194</v>
      </c>
      <c r="C754" s="31">
        <f>SUM(C755)</f>
        <v>225000</v>
      </c>
      <c r="D754" s="478"/>
      <c r="E754" s="353"/>
      <c r="F754" s="475"/>
      <c r="G754" s="410"/>
    </row>
    <row r="755" spans="1:9" s="5" customFormat="1" ht="13" x14ac:dyDescent="0.25">
      <c r="A755" s="12" t="s">
        <v>193</v>
      </c>
      <c r="B755" s="72" t="s">
        <v>215</v>
      </c>
      <c r="C755" s="24">
        <v>225000</v>
      </c>
      <c r="D755" s="478"/>
      <c r="E755" s="353"/>
      <c r="F755" s="475"/>
      <c r="G755" s="410"/>
    </row>
    <row r="756" spans="1:9" s="5" customFormat="1" ht="13" x14ac:dyDescent="0.25">
      <c r="A756" s="265" t="s">
        <v>119</v>
      </c>
      <c r="B756" s="25" t="s">
        <v>109</v>
      </c>
      <c r="C756" s="31">
        <f>SUM(C757:C762)</f>
        <v>209250</v>
      </c>
      <c r="D756" s="472"/>
      <c r="E756" s="353"/>
      <c r="F756" s="475"/>
      <c r="G756" s="410"/>
    </row>
    <row r="757" spans="1:9" s="5" customFormat="1" ht="13" x14ac:dyDescent="0.25">
      <c r="A757" s="72" t="s">
        <v>190</v>
      </c>
      <c r="B757" s="24" t="s">
        <v>263</v>
      </c>
      <c r="C757" s="24">
        <v>12000</v>
      </c>
      <c r="D757" s="472"/>
      <c r="E757" s="353"/>
      <c r="F757" s="475"/>
      <c r="G757" s="410"/>
    </row>
    <row r="758" spans="1:9" s="5" customFormat="1" ht="13" x14ac:dyDescent="0.25">
      <c r="A758" s="72" t="s">
        <v>150</v>
      </c>
      <c r="B758" s="24" t="s">
        <v>340</v>
      </c>
      <c r="C758" s="24">
        <v>30900</v>
      </c>
      <c r="D758" s="353"/>
      <c r="E758" s="353"/>
      <c r="F758" s="475"/>
      <c r="G758" s="410"/>
    </row>
    <row r="759" spans="1:9" s="5" customFormat="1" ht="13" x14ac:dyDescent="0.25">
      <c r="A759" s="72" t="s">
        <v>188</v>
      </c>
      <c r="B759" s="72" t="s">
        <v>187</v>
      </c>
      <c r="C759" s="24">
        <v>7050</v>
      </c>
      <c r="D759" s="353"/>
      <c r="E759" s="353"/>
      <c r="F759" s="475"/>
      <c r="G759" s="410"/>
    </row>
    <row r="760" spans="1:9" s="3" customFormat="1" ht="13" x14ac:dyDescent="0.25">
      <c r="A760" s="72" t="s">
        <v>697</v>
      </c>
      <c r="B760" s="43" t="s">
        <v>696</v>
      </c>
      <c r="C760" s="24">
        <v>70300</v>
      </c>
      <c r="D760" s="5"/>
      <c r="E760" s="353"/>
      <c r="F760" s="475"/>
      <c r="G760" s="410"/>
      <c r="H760" s="5"/>
      <c r="I760" s="5"/>
    </row>
    <row r="761" spans="1:9" s="66" customFormat="1" ht="13" x14ac:dyDescent="0.3">
      <c r="A761" s="72" t="s">
        <v>816</v>
      </c>
      <c r="B761" s="24" t="s">
        <v>810</v>
      </c>
      <c r="C761" s="24">
        <v>23000</v>
      </c>
      <c r="D761" s="78"/>
      <c r="E761" s="25"/>
    </row>
    <row r="762" spans="1:9" s="66" customFormat="1" ht="13" x14ac:dyDescent="0.3">
      <c r="A762" s="72" t="s">
        <v>820</v>
      </c>
      <c r="B762" s="24" t="s">
        <v>821</v>
      </c>
      <c r="C762" s="24">
        <v>66000</v>
      </c>
      <c r="D762" s="78"/>
      <c r="E762" s="25"/>
    </row>
    <row r="763" spans="1:9" s="5" customFormat="1" ht="13" x14ac:dyDescent="0.25">
      <c r="A763" s="265" t="s">
        <v>124</v>
      </c>
      <c r="B763" s="31" t="s">
        <v>123</v>
      </c>
      <c r="C763" s="31">
        <f>SUM(C764:C765)</f>
        <v>69710</v>
      </c>
      <c r="D763" s="353"/>
      <c r="E763" s="353"/>
      <c r="F763" s="475"/>
      <c r="G763" s="410"/>
    </row>
    <row r="764" spans="1:9" s="5" customFormat="1" ht="13" x14ac:dyDescent="0.25">
      <c r="A764" s="72" t="s">
        <v>230</v>
      </c>
      <c r="B764" s="23" t="s">
        <v>229</v>
      </c>
      <c r="C764" s="24">
        <v>45760</v>
      </c>
      <c r="D764" s="353"/>
      <c r="E764" s="353"/>
      <c r="F764" s="475"/>
      <c r="G764" s="410"/>
    </row>
    <row r="765" spans="1:9" s="5" customFormat="1" ht="13" x14ac:dyDescent="0.25">
      <c r="A765" s="72" t="s">
        <v>93</v>
      </c>
      <c r="B765" s="24" t="s">
        <v>72</v>
      </c>
      <c r="C765" s="24">
        <v>23950</v>
      </c>
      <c r="D765" s="352"/>
      <c r="E765" s="352"/>
      <c r="F765" s="475"/>
      <c r="G765" s="410"/>
    </row>
    <row r="766" spans="1:9" s="5" customFormat="1" ht="13" x14ac:dyDescent="0.25">
      <c r="A766" s="265" t="s">
        <v>151</v>
      </c>
      <c r="B766" s="25" t="s">
        <v>125</v>
      </c>
      <c r="C766" s="31">
        <f>SUM(C767:C771)</f>
        <v>185360</v>
      </c>
      <c r="D766" s="352"/>
      <c r="E766" s="352"/>
      <c r="F766" s="475"/>
      <c r="G766" s="410"/>
    </row>
    <row r="767" spans="1:9" s="5" customFormat="1" ht="13" x14ac:dyDescent="0.25">
      <c r="A767" s="72" t="s">
        <v>152</v>
      </c>
      <c r="B767" s="23" t="s">
        <v>65</v>
      </c>
      <c r="C767" s="24">
        <v>65440</v>
      </c>
      <c r="D767" s="352"/>
      <c r="E767" s="352"/>
      <c r="F767" s="475"/>
      <c r="G767" s="410"/>
    </row>
    <row r="768" spans="1:9" s="5" customFormat="1" ht="13" x14ac:dyDescent="0.25">
      <c r="A768" s="72" t="s">
        <v>210</v>
      </c>
      <c r="B768" s="23" t="s">
        <v>209</v>
      </c>
      <c r="C768" s="24">
        <v>21000</v>
      </c>
      <c r="D768" s="352"/>
      <c r="E768" s="352"/>
      <c r="F768" s="475"/>
      <c r="G768" s="410"/>
    </row>
    <row r="769" spans="1:9" s="5" customFormat="1" ht="13" x14ac:dyDescent="0.25">
      <c r="A769" s="72" t="s">
        <v>153</v>
      </c>
      <c r="B769" s="24" t="s">
        <v>70</v>
      </c>
      <c r="C769" s="24">
        <v>18300</v>
      </c>
      <c r="D769" s="353"/>
      <c r="E769" s="353"/>
      <c r="F769" s="475"/>
      <c r="G769" s="410"/>
    </row>
    <row r="770" spans="1:9" s="5" customFormat="1" ht="13" x14ac:dyDescent="0.25">
      <c r="A770" s="72" t="s">
        <v>155</v>
      </c>
      <c r="B770" s="23" t="s">
        <v>125</v>
      </c>
      <c r="C770" s="24">
        <v>23620</v>
      </c>
      <c r="D770" s="353"/>
      <c r="E770" s="353"/>
      <c r="F770" s="475"/>
      <c r="G770" s="410"/>
    </row>
    <row r="771" spans="1:9" s="3" customFormat="1" ht="13" x14ac:dyDescent="0.25">
      <c r="A771" s="72" t="s">
        <v>699</v>
      </c>
      <c r="B771" s="43" t="s">
        <v>698</v>
      </c>
      <c r="C771" s="24">
        <v>57000</v>
      </c>
      <c r="D771" s="353"/>
      <c r="E771" s="353"/>
      <c r="F771" s="475"/>
      <c r="G771" s="410"/>
      <c r="H771" s="5"/>
      <c r="I771" s="5"/>
    </row>
    <row r="772" spans="1:9" s="5" customFormat="1" ht="13.5" thickBot="1" x14ac:dyDescent="0.3">
      <c r="A772" s="72"/>
      <c r="B772" s="24"/>
      <c r="C772" s="23"/>
      <c r="D772" s="352"/>
      <c r="E772" s="352"/>
      <c r="F772" s="475"/>
      <c r="G772" s="410"/>
    </row>
    <row r="773" spans="1:9" s="3" customFormat="1" ht="13.5" thickBot="1" x14ac:dyDescent="0.3">
      <c r="A773" s="1096" t="s">
        <v>3</v>
      </c>
      <c r="B773" s="1097"/>
      <c r="C773" s="668">
        <f>+C776+C782+C786+C789+C774</f>
        <v>2699860</v>
      </c>
      <c r="D773" s="18"/>
      <c r="E773" s="18"/>
      <c r="F773" s="473"/>
      <c r="G773" s="18"/>
    </row>
    <row r="774" spans="1:9" s="349" customFormat="1" ht="13" x14ac:dyDescent="0.25">
      <c r="A774" s="265" t="s">
        <v>110</v>
      </c>
      <c r="B774" s="298" t="s">
        <v>111</v>
      </c>
      <c r="C774" s="32">
        <f>SUM(C775:C775)</f>
        <v>60000</v>
      </c>
      <c r="D774" s="348"/>
      <c r="F774" s="406"/>
      <c r="G774" s="348"/>
    </row>
    <row r="775" spans="1:9" s="72" customFormat="1" ht="13.5" customHeight="1" x14ac:dyDescent="0.25">
      <c r="A775" s="72" t="s">
        <v>52</v>
      </c>
      <c r="B775" s="24" t="s">
        <v>15</v>
      </c>
      <c r="C775" s="24">
        <v>60000</v>
      </c>
      <c r="D775" s="353"/>
      <c r="E775" s="352"/>
      <c r="F775" s="475"/>
      <c r="G775" s="361"/>
      <c r="H775" s="24"/>
    </row>
    <row r="776" spans="1:9" s="72" customFormat="1" ht="13.5" customHeight="1" x14ac:dyDescent="0.25">
      <c r="A776" s="11" t="s">
        <v>120</v>
      </c>
      <c r="B776" s="31" t="s">
        <v>121</v>
      </c>
      <c r="C776" s="31">
        <f>SUM(C777:C781)</f>
        <v>426840</v>
      </c>
      <c r="D776" s="353"/>
      <c r="E776" s="352"/>
      <c r="F776" s="475"/>
      <c r="G776" s="361"/>
      <c r="H776" s="24"/>
    </row>
    <row r="777" spans="1:9" s="72" customFormat="1" ht="13.5" customHeight="1" x14ac:dyDescent="0.25">
      <c r="A777" s="12" t="s">
        <v>246</v>
      </c>
      <c r="B777" s="12" t="s">
        <v>247</v>
      </c>
      <c r="C777" s="24">
        <v>146400</v>
      </c>
      <c r="E777" s="352"/>
      <c r="F777" s="403"/>
      <c r="G777" s="361"/>
      <c r="H777" s="24"/>
    </row>
    <row r="778" spans="1:9" s="72" customFormat="1" ht="13.5" customHeight="1" x14ac:dyDescent="0.25">
      <c r="A778" s="12" t="s">
        <v>236</v>
      </c>
      <c r="B778" s="43" t="s">
        <v>237</v>
      </c>
      <c r="C778" s="24">
        <v>8800</v>
      </c>
      <c r="E778" s="352"/>
      <c r="F778" s="403"/>
      <c r="G778" s="361"/>
      <c r="H778" s="24"/>
    </row>
    <row r="779" spans="1:9" s="72" customFormat="1" ht="13.5" customHeight="1" x14ac:dyDescent="0.25">
      <c r="A779" s="12" t="s">
        <v>183</v>
      </c>
      <c r="B779" s="12" t="s">
        <v>273</v>
      </c>
      <c r="C779" s="24">
        <v>33000</v>
      </c>
      <c r="E779" s="352"/>
      <c r="F779" s="403"/>
      <c r="G779" s="361"/>
      <c r="H779" s="24"/>
    </row>
    <row r="780" spans="1:9" s="72" customFormat="1" ht="13.5" customHeight="1" x14ac:dyDescent="0.25">
      <c r="A780" s="12" t="s">
        <v>140</v>
      </c>
      <c r="B780" s="12" t="s">
        <v>595</v>
      </c>
      <c r="C780" s="24">
        <f>105000-10000</f>
        <v>95000</v>
      </c>
      <c r="E780" s="352"/>
      <c r="F780" s="403"/>
      <c r="G780" s="361"/>
      <c r="H780" s="24"/>
    </row>
    <row r="781" spans="1:9" s="72" customFormat="1" ht="13.5" customHeight="1" x14ac:dyDescent="0.25">
      <c r="A781" s="12" t="s">
        <v>136</v>
      </c>
      <c r="B781" s="12" t="s">
        <v>71</v>
      </c>
      <c r="C781" s="24">
        <v>143640</v>
      </c>
      <c r="E781" s="352"/>
      <c r="F781" s="357"/>
      <c r="G781" s="361"/>
      <c r="H781" s="24"/>
    </row>
    <row r="782" spans="1:9" s="72" customFormat="1" ht="13.5" customHeight="1" x14ac:dyDescent="0.25">
      <c r="A782" s="265" t="s">
        <v>112</v>
      </c>
      <c r="B782" s="31" t="s">
        <v>157</v>
      </c>
      <c r="C782" s="31">
        <f>SUM(C783:C785)</f>
        <v>714620</v>
      </c>
      <c r="E782" s="352"/>
      <c r="F782" s="353"/>
      <c r="G782" s="361"/>
      <c r="H782" s="24"/>
    </row>
    <row r="783" spans="1:9" s="72" customFormat="1" ht="13.5" customHeight="1" x14ac:dyDescent="0.25">
      <c r="A783" s="72" t="s">
        <v>138</v>
      </c>
      <c r="B783" s="59" t="s">
        <v>878</v>
      </c>
      <c r="C783" s="24">
        <v>7200</v>
      </c>
      <c r="E783" s="352"/>
      <c r="F783" s="353"/>
      <c r="G783" s="361"/>
      <c r="H783" s="24"/>
    </row>
    <row r="784" spans="1:9" s="72" customFormat="1" ht="13.5" customHeight="1" x14ac:dyDescent="0.25">
      <c r="A784" s="72" t="s">
        <v>156</v>
      </c>
      <c r="B784" s="12" t="s">
        <v>87</v>
      </c>
      <c r="C784" s="24">
        <v>371420</v>
      </c>
      <c r="E784" s="352"/>
      <c r="F784" s="353"/>
      <c r="G784" s="361"/>
      <c r="H784" s="24"/>
    </row>
    <row r="785" spans="1:10" s="72" customFormat="1" ht="13.5" customHeight="1" x14ac:dyDescent="0.25">
      <c r="A785" s="72" t="s">
        <v>889</v>
      </c>
      <c r="B785" s="43" t="s">
        <v>877</v>
      </c>
      <c r="C785" s="24">
        <v>336000</v>
      </c>
      <c r="D785" s="363"/>
      <c r="E785" s="427"/>
      <c r="F785" s="352"/>
      <c r="G785" s="363"/>
      <c r="H785" s="12"/>
      <c r="J785" s="23"/>
    </row>
    <row r="786" spans="1:10" s="72" customFormat="1" ht="13.5" customHeight="1" x14ac:dyDescent="0.25">
      <c r="A786" s="11" t="s">
        <v>113</v>
      </c>
      <c r="B786" s="11" t="s">
        <v>114</v>
      </c>
      <c r="C786" s="31">
        <f>SUM(C787:C788)</f>
        <v>99140</v>
      </c>
      <c r="E786" s="352"/>
      <c r="F786" s="353"/>
      <c r="G786" s="361"/>
      <c r="H786" s="24"/>
    </row>
    <row r="787" spans="1:10" s="72" customFormat="1" ht="13.5" customHeight="1" x14ac:dyDescent="0.25">
      <c r="A787" s="12" t="s">
        <v>53</v>
      </c>
      <c r="B787" s="12" t="s">
        <v>54</v>
      </c>
      <c r="C787" s="24">
        <v>17000</v>
      </c>
      <c r="E787" s="352"/>
      <c r="F787" s="353"/>
      <c r="G787" s="361"/>
      <c r="H787" s="12"/>
    </row>
    <row r="788" spans="1:10" s="72" customFormat="1" ht="13.5" customHeight="1" x14ac:dyDescent="0.25">
      <c r="A788" s="12" t="s">
        <v>164</v>
      </c>
      <c r="B788" s="12" t="s">
        <v>74</v>
      </c>
      <c r="C788" s="24">
        <v>82140</v>
      </c>
      <c r="E788" s="352"/>
      <c r="F788" s="357"/>
      <c r="G788" s="361"/>
      <c r="H788" s="12"/>
    </row>
    <row r="789" spans="1:10" s="72" customFormat="1" ht="13.5" customHeight="1" x14ac:dyDescent="0.25">
      <c r="A789" s="265" t="s">
        <v>115</v>
      </c>
      <c r="B789" s="31" t="s">
        <v>8</v>
      </c>
      <c r="C789" s="31">
        <f>SUM(C790:C795)</f>
        <v>1399260</v>
      </c>
      <c r="E789" s="352"/>
      <c r="F789" s="353"/>
      <c r="G789" s="361"/>
      <c r="H789" s="12"/>
    </row>
    <row r="790" spans="1:10" s="72" customFormat="1" ht="13.5" customHeight="1" x14ac:dyDescent="0.25">
      <c r="A790" s="72" t="s">
        <v>92</v>
      </c>
      <c r="B790" s="24" t="s">
        <v>8</v>
      </c>
      <c r="C790" s="24">
        <v>857900</v>
      </c>
      <c r="E790" s="353"/>
      <c r="F790" s="477"/>
      <c r="G790" s="363"/>
    </row>
    <row r="791" spans="1:10" s="72" customFormat="1" ht="13.5" customHeight="1" x14ac:dyDescent="0.25">
      <c r="A791" s="72" t="s">
        <v>94</v>
      </c>
      <c r="B791" s="24" t="s">
        <v>50</v>
      </c>
      <c r="C791" s="24">
        <v>55860</v>
      </c>
      <c r="E791" s="353"/>
      <c r="G791" s="363"/>
    </row>
    <row r="792" spans="1:10" s="72" customFormat="1" ht="13.5" customHeight="1" x14ac:dyDescent="0.25">
      <c r="A792" s="72" t="s">
        <v>224</v>
      </c>
      <c r="B792" s="43" t="s">
        <v>223</v>
      </c>
      <c r="C792" s="24">
        <v>46900</v>
      </c>
      <c r="E792" s="353"/>
      <c r="G792" s="363"/>
    </row>
    <row r="793" spans="1:10" s="72" customFormat="1" ht="13.5" customHeight="1" x14ac:dyDescent="0.25">
      <c r="A793" s="72" t="s">
        <v>222</v>
      </c>
      <c r="B793" s="12" t="s">
        <v>221</v>
      </c>
      <c r="C793" s="24">
        <v>378200</v>
      </c>
      <c r="E793" s="353"/>
      <c r="G793" s="363"/>
    </row>
    <row r="794" spans="1:10" s="72" customFormat="1" ht="13.5" hidden="1" customHeight="1" x14ac:dyDescent="0.25">
      <c r="A794" s="12" t="s">
        <v>205</v>
      </c>
      <c r="B794" s="24" t="s">
        <v>466</v>
      </c>
      <c r="C794" s="24">
        <v>0</v>
      </c>
      <c r="E794" s="353"/>
      <c r="G794" s="363"/>
    </row>
    <row r="795" spans="1:10" s="72" customFormat="1" ht="13.5" customHeight="1" x14ac:dyDescent="0.25">
      <c r="A795" s="72" t="s">
        <v>90</v>
      </c>
      <c r="B795" s="24" t="s">
        <v>7</v>
      </c>
      <c r="C795" s="24">
        <v>60400</v>
      </c>
      <c r="D795" s="353"/>
      <c r="E795" s="352"/>
      <c r="F795" s="474"/>
      <c r="G795" s="361"/>
      <c r="H795" s="12"/>
      <c r="J795" s="23"/>
    </row>
    <row r="796" spans="1:10" s="72" customFormat="1" ht="13.5" customHeight="1" thickBot="1" x14ac:dyDescent="0.3">
      <c r="B796" s="24"/>
      <c r="C796" s="23"/>
      <c r="D796" s="477"/>
      <c r="E796" s="353"/>
      <c r="F796" s="475"/>
      <c r="G796" s="363"/>
    </row>
    <row r="797" spans="1:10" s="3" customFormat="1" ht="13.5" thickBot="1" x14ac:dyDescent="0.3">
      <c r="A797" s="1100" t="s">
        <v>4</v>
      </c>
      <c r="B797" s="1101"/>
      <c r="C797" s="725">
        <f>C798+C802+C805</f>
        <v>847600</v>
      </c>
      <c r="D797" s="18"/>
      <c r="E797" s="18"/>
      <c r="F797" s="473"/>
    </row>
    <row r="798" spans="1:10" s="349" customFormat="1" ht="13" x14ac:dyDescent="0.25">
      <c r="A798" s="265" t="s">
        <v>116</v>
      </c>
      <c r="B798" s="298" t="s">
        <v>117</v>
      </c>
      <c r="C798" s="32">
        <f>SUM(C799:C801)</f>
        <v>102400</v>
      </c>
      <c r="D798" s="348"/>
      <c r="E798" s="348"/>
      <c r="F798" s="406"/>
    </row>
    <row r="799" spans="1:10" s="5" customFormat="1" ht="13" x14ac:dyDescent="0.25">
      <c r="A799" s="72" t="s">
        <v>91</v>
      </c>
      <c r="B799" s="72" t="s">
        <v>139</v>
      </c>
      <c r="C799" s="24">
        <v>36900</v>
      </c>
      <c r="D799" s="352"/>
      <c r="E799" s="352"/>
      <c r="F799" s="475"/>
      <c r="G799" s="410"/>
    </row>
    <row r="800" spans="1:10" s="3" customFormat="1" ht="13" x14ac:dyDescent="0.25">
      <c r="A800" s="72" t="s">
        <v>57</v>
      </c>
      <c r="B800" s="12" t="s">
        <v>58</v>
      </c>
      <c r="C800" s="221">
        <f>65500-10000-20000</f>
        <v>35500</v>
      </c>
      <c r="D800" s="18"/>
      <c r="E800" s="18"/>
      <c r="F800" s="473"/>
    </row>
    <row r="801" spans="1:10" s="8" customFormat="1" ht="13.5" customHeight="1" x14ac:dyDescent="0.25">
      <c r="A801" s="72" t="s">
        <v>814</v>
      </c>
      <c r="B801" s="23" t="s">
        <v>815</v>
      </c>
      <c r="C801" s="24">
        <v>30000</v>
      </c>
      <c r="D801" s="78"/>
      <c r="E801" s="25"/>
      <c r="F801" s="99"/>
      <c r="G801" s="55"/>
      <c r="H801" s="43"/>
    </row>
    <row r="802" spans="1:10" s="3" customFormat="1" ht="13" x14ac:dyDescent="0.25">
      <c r="A802" s="265" t="s">
        <v>118</v>
      </c>
      <c r="B802" s="11" t="s">
        <v>130</v>
      </c>
      <c r="C802" s="633">
        <f>SUM(C803:C804)</f>
        <v>734400</v>
      </c>
      <c r="D802" s="18"/>
      <c r="E802" s="18"/>
      <c r="F802" s="473"/>
    </row>
    <row r="803" spans="1:10" s="3" customFormat="1" ht="13" x14ac:dyDescent="0.25">
      <c r="A803" s="72" t="s">
        <v>524</v>
      </c>
      <c r="B803" s="12" t="s">
        <v>525</v>
      </c>
      <c r="C803" s="221">
        <v>711600</v>
      </c>
      <c r="D803" s="18"/>
      <c r="E803" s="18"/>
      <c r="F803" s="473"/>
    </row>
    <row r="804" spans="1:10" s="3" customFormat="1" ht="13" x14ac:dyDescent="0.25">
      <c r="A804" s="72" t="s">
        <v>202</v>
      </c>
      <c r="B804" s="12" t="s">
        <v>526</v>
      </c>
      <c r="C804" s="221">
        <v>22800</v>
      </c>
      <c r="D804" s="18"/>
      <c r="E804" s="18"/>
      <c r="F804" s="473"/>
      <c r="J804" s="3" t="s">
        <v>200</v>
      </c>
    </row>
    <row r="805" spans="1:10" s="3" customFormat="1" ht="13" x14ac:dyDescent="0.25">
      <c r="A805" s="265" t="s">
        <v>166</v>
      </c>
      <c r="B805" s="25" t="s">
        <v>134</v>
      </c>
      <c r="C805" s="633">
        <f>SUM(C806)</f>
        <v>10800</v>
      </c>
      <c r="D805" s="18"/>
      <c r="E805" s="18"/>
      <c r="F805" s="473"/>
    </row>
    <row r="806" spans="1:10" s="5" customFormat="1" ht="13" x14ac:dyDescent="0.25">
      <c r="A806" s="72" t="s">
        <v>167</v>
      </c>
      <c r="B806" s="23" t="s">
        <v>51</v>
      </c>
      <c r="C806" s="24">
        <v>10800</v>
      </c>
      <c r="D806" s="352"/>
      <c r="E806" s="352"/>
      <c r="F806" s="475"/>
      <c r="G806" s="410"/>
    </row>
    <row r="807" spans="1:10" s="5" customFormat="1" ht="13" x14ac:dyDescent="0.25">
      <c r="A807" s="72"/>
      <c r="B807" s="23"/>
      <c r="C807" s="24"/>
      <c r="D807" s="352"/>
      <c r="E807" s="352"/>
      <c r="F807" s="475"/>
      <c r="G807" s="410"/>
    </row>
    <row r="808" spans="1:10" s="5" customFormat="1" ht="13.5" thickBot="1" x14ac:dyDescent="0.3">
      <c r="A808" s="72"/>
      <c r="B808" s="23"/>
      <c r="C808" s="24"/>
      <c r="D808" s="352"/>
      <c r="E808" s="352"/>
      <c r="F808" s="475"/>
      <c r="G808" s="410"/>
    </row>
    <row r="809" spans="1:10" s="1" customFormat="1" ht="13" x14ac:dyDescent="0.25">
      <c r="A809" s="1117" t="s">
        <v>958</v>
      </c>
      <c r="B809" s="1119"/>
      <c r="C809" s="692" t="s">
        <v>6</v>
      </c>
      <c r="D809" s="913" t="s">
        <v>709</v>
      </c>
      <c r="F809" s="469"/>
    </row>
    <row r="810" spans="1:10" s="1" customFormat="1" ht="27" customHeight="1" thickBot="1" x14ac:dyDescent="0.3">
      <c r="A810" s="1120"/>
      <c r="B810" s="1122"/>
      <c r="C810" s="695"/>
      <c r="D810" s="718"/>
      <c r="F810" s="469"/>
    </row>
    <row r="811" spans="1:10" s="1" customFormat="1" ht="13" x14ac:dyDescent="0.25">
      <c r="A811" s="1123" t="s">
        <v>959</v>
      </c>
      <c r="B811" s="1124"/>
      <c r="C811" s="1124"/>
      <c r="D811" s="1125"/>
    </row>
    <row r="812" spans="1:10" s="1" customFormat="1" ht="13" x14ac:dyDescent="0.25">
      <c r="A812" s="1126"/>
      <c r="B812" s="1127"/>
      <c r="C812" s="1127"/>
      <c r="D812" s="1128"/>
    </row>
    <row r="813" spans="1:10" s="1" customFormat="1" ht="13" x14ac:dyDescent="0.25">
      <c r="A813" s="1126"/>
      <c r="B813" s="1127"/>
      <c r="C813" s="1127"/>
      <c r="D813" s="1128"/>
    </row>
    <row r="814" spans="1:10" s="1" customFormat="1" ht="13" x14ac:dyDescent="0.25">
      <c r="A814" s="1126"/>
      <c r="B814" s="1127"/>
      <c r="C814" s="1127"/>
      <c r="D814" s="1128"/>
    </row>
    <row r="815" spans="1:10" s="1" customFormat="1" ht="13" x14ac:dyDescent="0.25">
      <c r="A815" s="1126"/>
      <c r="B815" s="1127"/>
      <c r="C815" s="1127"/>
      <c r="D815" s="1128"/>
    </row>
    <row r="816" spans="1:10" s="1" customFormat="1" ht="13" x14ac:dyDescent="0.25">
      <c r="A816" s="1126"/>
      <c r="B816" s="1127"/>
      <c r="C816" s="1127"/>
      <c r="D816" s="1128"/>
    </row>
    <row r="817" spans="1:6" s="1" customFormat="1" ht="13" x14ac:dyDescent="0.25">
      <c r="A817" s="1126"/>
      <c r="B817" s="1127"/>
      <c r="C817" s="1127"/>
      <c r="D817" s="1128"/>
    </row>
    <row r="818" spans="1:6" s="1" customFormat="1" ht="13" x14ac:dyDescent="0.25">
      <c r="A818" s="1126"/>
      <c r="B818" s="1127"/>
      <c r="C818" s="1127"/>
      <c r="D818" s="1128"/>
    </row>
    <row r="819" spans="1:6" s="1" customFormat="1" ht="13" x14ac:dyDescent="0.25">
      <c r="A819" s="1126"/>
      <c r="B819" s="1127"/>
      <c r="C819" s="1127"/>
      <c r="D819" s="1128"/>
    </row>
    <row r="820" spans="1:6" s="1" customFormat="1" ht="13" x14ac:dyDescent="0.25">
      <c r="A820" s="1126"/>
      <c r="B820" s="1127"/>
      <c r="C820" s="1127"/>
      <c r="D820" s="1128"/>
    </row>
    <row r="821" spans="1:6" s="1" customFormat="1" ht="13" x14ac:dyDescent="0.25">
      <c r="A821" s="1126"/>
      <c r="B821" s="1127"/>
      <c r="C821" s="1127"/>
      <c r="D821" s="1128"/>
    </row>
    <row r="822" spans="1:6" s="1" customFormat="1" ht="13" x14ac:dyDescent="0.25">
      <c r="A822" s="1126"/>
      <c r="B822" s="1127"/>
      <c r="C822" s="1127"/>
      <c r="D822" s="1128"/>
    </row>
    <row r="823" spans="1:6" s="1" customFormat="1" ht="13" x14ac:dyDescent="0.25">
      <c r="A823" s="1126"/>
      <c r="B823" s="1127"/>
      <c r="C823" s="1127"/>
      <c r="D823" s="1128"/>
    </row>
    <row r="824" spans="1:6" s="1" customFormat="1" ht="9" customHeight="1" thickBot="1" x14ac:dyDescent="0.3">
      <c r="A824" s="1129"/>
      <c r="B824" s="1130"/>
      <c r="C824" s="1130"/>
      <c r="D824" s="1131"/>
    </row>
    <row r="825" spans="1:6" s="1" customFormat="1" ht="13" x14ac:dyDescent="0.25">
      <c r="A825" s="41" t="s">
        <v>1029</v>
      </c>
      <c r="B825" s="12"/>
      <c r="C825" s="24"/>
      <c r="D825" s="320"/>
      <c r="F825" s="472"/>
    </row>
    <row r="826" spans="1:6" s="1" customFormat="1" ht="13" x14ac:dyDescent="0.25">
      <c r="A826" s="41" t="s">
        <v>673</v>
      </c>
      <c r="B826" s="12"/>
      <c r="C826" s="24"/>
      <c r="D826" s="320"/>
      <c r="F826" s="472"/>
    </row>
    <row r="827" spans="1:6" s="1" customFormat="1" ht="13" x14ac:dyDescent="0.25">
      <c r="A827" s="41" t="s">
        <v>1064</v>
      </c>
      <c r="B827" s="12"/>
      <c r="C827" s="24"/>
      <c r="D827" s="320"/>
      <c r="F827" s="469"/>
    </row>
    <row r="828" spans="1:6" s="1" customFormat="1" ht="13.5" thickBot="1" x14ac:dyDescent="0.3">
      <c r="A828" s="76" t="s">
        <v>13</v>
      </c>
      <c r="B828" s="140"/>
      <c r="C828" s="377"/>
      <c r="D828" s="378"/>
      <c r="F828" s="469"/>
    </row>
    <row r="829" spans="1:6" s="1" customFormat="1" ht="13.5" thickBot="1" x14ac:dyDescent="0.3">
      <c r="A829" s="762" t="s">
        <v>587</v>
      </c>
      <c r="B829" s="794"/>
      <c r="C829" s="766"/>
      <c r="D829" s="772">
        <f>+C831+C864+C886</f>
        <v>8322130</v>
      </c>
      <c r="F829" s="469"/>
    </row>
    <row r="830" spans="1:6" s="3" customFormat="1" ht="13.5" thickBot="1" x14ac:dyDescent="0.3">
      <c r="A830" s="75"/>
      <c r="C830" s="18"/>
      <c r="D830" s="18"/>
      <c r="E830" s="18"/>
      <c r="F830" s="368"/>
    </row>
    <row r="831" spans="1:6" s="3" customFormat="1" ht="13.5" thickBot="1" x14ac:dyDescent="0.3">
      <c r="A831" s="1104" t="s">
        <v>2</v>
      </c>
      <c r="B831" s="1105"/>
      <c r="C831" s="667">
        <f>C832+C834+C837+C839+C843+C846+C853+C857</f>
        <v>1132700</v>
      </c>
      <c r="D831" s="18"/>
      <c r="E831" s="18"/>
      <c r="F831" s="206"/>
    </row>
    <row r="832" spans="1:6" s="349" customFormat="1" ht="13" x14ac:dyDescent="0.25">
      <c r="A832" s="11" t="s">
        <v>103</v>
      </c>
      <c r="B832" s="298" t="s">
        <v>104</v>
      </c>
      <c r="C832" s="32">
        <f>SUM(C833)</f>
        <v>72300</v>
      </c>
      <c r="D832" s="348"/>
      <c r="E832" s="348"/>
      <c r="F832" s="406"/>
    </row>
    <row r="833" spans="1:9" s="12" customFormat="1" ht="13.5" customHeight="1" x14ac:dyDescent="0.25">
      <c r="A833" s="12" t="s">
        <v>46</v>
      </c>
      <c r="B833" s="12" t="s">
        <v>45</v>
      </c>
      <c r="C833" s="24">
        <v>72300</v>
      </c>
      <c r="D833" s="403"/>
      <c r="E833" s="353"/>
      <c r="F833" s="474"/>
      <c r="G833" s="394"/>
    </row>
    <row r="834" spans="1:9" s="12" customFormat="1" ht="13.5" customHeight="1" x14ac:dyDescent="0.25">
      <c r="A834" s="11" t="s">
        <v>199</v>
      </c>
      <c r="B834" s="559" t="s">
        <v>198</v>
      </c>
      <c r="C834" s="31">
        <f>SUM(C835:C836)</f>
        <v>163390</v>
      </c>
      <c r="D834" s="403"/>
      <c r="E834" s="353"/>
      <c r="F834" s="406"/>
      <c r="G834" s="394"/>
    </row>
    <row r="835" spans="1:9" s="12" customFormat="1" ht="13.5" customHeight="1" x14ac:dyDescent="0.25">
      <c r="A835" s="12" t="s">
        <v>197</v>
      </c>
      <c r="B835" s="43" t="s">
        <v>196</v>
      </c>
      <c r="C835" s="24">
        <v>15250</v>
      </c>
      <c r="D835" s="403"/>
      <c r="E835" s="353"/>
      <c r="F835" s="406"/>
      <c r="G835" s="394"/>
    </row>
    <row r="836" spans="1:9" s="12" customFormat="1" ht="13.5" customHeight="1" x14ac:dyDescent="0.25">
      <c r="A836" s="12" t="s">
        <v>227</v>
      </c>
      <c r="B836" s="43" t="s">
        <v>226</v>
      </c>
      <c r="C836" s="24">
        <v>148140</v>
      </c>
      <c r="D836" s="403"/>
      <c r="E836" s="353"/>
      <c r="F836" s="474"/>
      <c r="G836" s="394"/>
    </row>
    <row r="837" spans="1:9" s="12" customFormat="1" ht="13.5" customHeight="1" x14ac:dyDescent="0.25">
      <c r="A837" s="11" t="s">
        <v>105</v>
      </c>
      <c r="B837" s="11" t="s">
        <v>106</v>
      </c>
      <c r="C837" s="31">
        <f>SUM(C838)</f>
        <v>160440</v>
      </c>
      <c r="D837" s="353"/>
      <c r="F837" s="349"/>
      <c r="G837" s="394"/>
    </row>
    <row r="838" spans="1:9" s="5" customFormat="1" ht="13" x14ac:dyDescent="0.25">
      <c r="A838" s="12" t="s">
        <v>86</v>
      </c>
      <c r="B838" s="72" t="s">
        <v>66</v>
      </c>
      <c r="C838" s="24">
        <v>160440</v>
      </c>
      <c r="D838" s="414"/>
      <c r="E838" s="147"/>
      <c r="F838" s="474"/>
      <c r="G838" s="147"/>
      <c r="H838" s="147"/>
      <c r="I838" s="147"/>
    </row>
    <row r="839" spans="1:9" s="5" customFormat="1" ht="13" x14ac:dyDescent="0.3">
      <c r="A839" s="11" t="s">
        <v>107</v>
      </c>
      <c r="B839" s="265" t="s">
        <v>108</v>
      </c>
      <c r="C839" s="31">
        <f>SUM(C840:C842)</f>
        <v>147530</v>
      </c>
      <c r="D839" s="489"/>
      <c r="E839" s="484"/>
      <c r="F839" s="474"/>
      <c r="G839" s="147"/>
      <c r="H839" s="147"/>
      <c r="I839" s="147"/>
    </row>
    <row r="840" spans="1:9" s="5" customFormat="1" ht="13" x14ac:dyDescent="0.3">
      <c r="A840" s="12" t="s">
        <v>47</v>
      </c>
      <c r="B840" s="23" t="s">
        <v>48</v>
      </c>
      <c r="C840" s="24">
        <v>61750</v>
      </c>
      <c r="D840" s="489"/>
      <c r="E840" s="484"/>
      <c r="F840" s="474"/>
      <c r="G840" s="394"/>
    </row>
    <row r="841" spans="1:9" s="5" customFormat="1" ht="13" x14ac:dyDescent="0.3">
      <c r="A841" s="12" t="s">
        <v>460</v>
      </c>
      <c r="B841" s="23" t="s">
        <v>461</v>
      </c>
      <c r="C841" s="24">
        <v>54000</v>
      </c>
      <c r="D841" s="478"/>
      <c r="E841" s="484"/>
      <c r="F841" s="474"/>
      <c r="G841" s="394"/>
    </row>
    <row r="842" spans="1:9" s="5" customFormat="1" ht="13" x14ac:dyDescent="0.3">
      <c r="A842" s="12" t="s">
        <v>462</v>
      </c>
      <c r="B842" s="43" t="s">
        <v>463</v>
      </c>
      <c r="C842" s="24">
        <v>31780</v>
      </c>
      <c r="D842" s="478"/>
      <c r="E842" s="484"/>
      <c r="F842" s="474"/>
      <c r="G842" s="394"/>
    </row>
    <row r="843" spans="1:9" s="5" customFormat="1" ht="13" x14ac:dyDescent="0.3">
      <c r="A843" s="11" t="s">
        <v>195</v>
      </c>
      <c r="B843" s="559" t="s">
        <v>194</v>
      </c>
      <c r="C843" s="31">
        <f>SUM(C844:C845)</f>
        <v>39550</v>
      </c>
      <c r="D843" s="478"/>
      <c r="E843" s="484"/>
      <c r="F843" s="474"/>
      <c r="G843" s="394"/>
    </row>
    <row r="844" spans="1:9" s="5" customFormat="1" ht="13" x14ac:dyDescent="0.3">
      <c r="A844" s="12" t="s">
        <v>193</v>
      </c>
      <c r="B844" s="43" t="s">
        <v>192</v>
      </c>
      <c r="C844" s="24">
        <v>18250</v>
      </c>
      <c r="D844" s="478"/>
      <c r="E844" s="484"/>
      <c r="F844" s="474"/>
      <c r="G844" s="394"/>
    </row>
    <row r="845" spans="1:9" s="5" customFormat="1" ht="13" x14ac:dyDescent="0.3">
      <c r="A845" s="12" t="s">
        <v>214</v>
      </c>
      <c r="B845" s="43" t="s">
        <v>213</v>
      </c>
      <c r="C845" s="24">
        <v>21300</v>
      </c>
      <c r="D845" s="478"/>
      <c r="E845" s="484"/>
      <c r="F845" s="474"/>
      <c r="G845" s="394"/>
    </row>
    <row r="846" spans="1:9" s="5" customFormat="1" ht="13" x14ac:dyDescent="0.25">
      <c r="A846" s="265" t="s">
        <v>119</v>
      </c>
      <c r="B846" s="25" t="s">
        <v>109</v>
      </c>
      <c r="C846" s="31">
        <f>SUM(C847:C852)</f>
        <v>153040</v>
      </c>
      <c r="D846" s="414"/>
      <c r="E846" s="147"/>
      <c r="F846" s="474"/>
      <c r="G846" s="394"/>
    </row>
    <row r="847" spans="1:9" s="5" customFormat="1" ht="13" x14ac:dyDescent="0.25">
      <c r="A847" s="72" t="s">
        <v>150</v>
      </c>
      <c r="B847" s="24" t="s">
        <v>340</v>
      </c>
      <c r="C847" s="24">
        <v>18120</v>
      </c>
      <c r="E847" s="353"/>
      <c r="F847" s="475"/>
      <c r="G847" s="410"/>
    </row>
    <row r="848" spans="1:9" s="5" customFormat="1" ht="13" x14ac:dyDescent="0.25">
      <c r="A848" s="72" t="s">
        <v>186</v>
      </c>
      <c r="B848" s="43" t="s">
        <v>599</v>
      </c>
      <c r="C848" s="24">
        <v>15120</v>
      </c>
      <c r="E848" s="353"/>
      <c r="F848" s="475"/>
      <c r="G848" s="410"/>
    </row>
    <row r="849" spans="1:9" s="5" customFormat="1" ht="13" x14ac:dyDescent="0.25">
      <c r="A849" s="72" t="s">
        <v>600</v>
      </c>
      <c r="B849" s="43" t="s">
        <v>598</v>
      </c>
      <c r="C849" s="24">
        <v>16800</v>
      </c>
      <c r="E849" s="353"/>
      <c r="F849" s="475"/>
      <c r="G849" s="410"/>
    </row>
    <row r="850" spans="1:9" s="3" customFormat="1" ht="13" x14ac:dyDescent="0.25">
      <c r="A850" s="72" t="s">
        <v>697</v>
      </c>
      <c r="B850" s="43" t="s">
        <v>696</v>
      </c>
      <c r="C850" s="24">
        <v>25000</v>
      </c>
      <c r="D850" s="5"/>
      <c r="E850" s="353"/>
      <c r="F850" s="475"/>
      <c r="G850" s="410"/>
      <c r="H850" s="5"/>
      <c r="I850" s="5"/>
    </row>
    <row r="851" spans="1:9" s="66" customFormat="1" ht="13" x14ac:dyDescent="0.3">
      <c r="A851" s="72" t="s">
        <v>816</v>
      </c>
      <c r="B851" s="24" t="s">
        <v>810</v>
      </c>
      <c r="C851" s="24">
        <v>23000</v>
      </c>
      <c r="D851" s="78"/>
      <c r="E851" s="25"/>
    </row>
    <row r="852" spans="1:9" s="66" customFormat="1" ht="13" x14ac:dyDescent="0.3">
      <c r="A852" s="72" t="s">
        <v>820</v>
      </c>
      <c r="B852" s="24" t="s">
        <v>821</v>
      </c>
      <c r="C852" s="24">
        <v>55000</v>
      </c>
      <c r="D852" s="78"/>
      <c r="E852" s="25"/>
    </row>
    <row r="853" spans="1:9" s="5" customFormat="1" ht="13" x14ac:dyDescent="0.25">
      <c r="A853" s="265" t="s">
        <v>124</v>
      </c>
      <c r="B853" s="31" t="s">
        <v>123</v>
      </c>
      <c r="C853" s="31">
        <f>SUM(C854:C856)</f>
        <v>199320</v>
      </c>
      <c r="D853" s="403"/>
      <c r="E853" s="353"/>
      <c r="F853" s="475"/>
      <c r="G853" s="410"/>
    </row>
    <row r="854" spans="1:9" s="12" customFormat="1" ht="13.5" customHeight="1" x14ac:dyDescent="0.25">
      <c r="A854" s="72" t="s">
        <v>230</v>
      </c>
      <c r="B854" s="23" t="s">
        <v>229</v>
      </c>
      <c r="C854" s="24">
        <v>48120</v>
      </c>
      <c r="D854" s="22"/>
      <c r="E854" s="31"/>
      <c r="G854" s="24"/>
      <c r="I854" s="296"/>
    </row>
    <row r="855" spans="1:9" s="12" customFormat="1" ht="13.5" customHeight="1" x14ac:dyDescent="0.25">
      <c r="A855" s="12" t="s">
        <v>242</v>
      </c>
      <c r="B855" s="24" t="s">
        <v>243</v>
      </c>
      <c r="C855" s="24">
        <v>107730</v>
      </c>
      <c r="D855" s="79"/>
      <c r="E855" s="31"/>
      <c r="G855" s="24"/>
      <c r="I855" s="296"/>
    </row>
    <row r="856" spans="1:9" s="5" customFormat="1" ht="13" x14ac:dyDescent="0.25">
      <c r="A856" s="72" t="s">
        <v>93</v>
      </c>
      <c r="B856" s="24" t="s">
        <v>72</v>
      </c>
      <c r="C856" s="24">
        <v>43470</v>
      </c>
      <c r="D856" s="352"/>
      <c r="E856" s="352"/>
      <c r="F856" s="475"/>
      <c r="G856" s="410"/>
    </row>
    <row r="857" spans="1:9" s="5" customFormat="1" ht="13" x14ac:dyDescent="0.25">
      <c r="A857" s="265" t="s">
        <v>151</v>
      </c>
      <c r="B857" s="25" t="s">
        <v>125</v>
      </c>
      <c r="C857" s="31">
        <f>SUM(C858:C862)</f>
        <v>197130</v>
      </c>
      <c r="D857" s="352"/>
      <c r="E857" s="352"/>
      <c r="F857" s="475"/>
      <c r="G857" s="410"/>
    </row>
    <row r="858" spans="1:9" s="5" customFormat="1" ht="13" x14ac:dyDescent="0.25">
      <c r="A858" s="72" t="s">
        <v>152</v>
      </c>
      <c r="B858" s="23" t="s">
        <v>65</v>
      </c>
      <c r="C858" s="24">
        <v>24840</v>
      </c>
      <c r="D858" s="352"/>
      <c r="E858" s="352"/>
      <c r="F858" s="475"/>
      <c r="G858" s="410"/>
    </row>
    <row r="859" spans="1:9" s="5" customFormat="1" ht="13" x14ac:dyDescent="0.25">
      <c r="A859" s="72" t="s">
        <v>210</v>
      </c>
      <c r="B859" s="23" t="s">
        <v>209</v>
      </c>
      <c r="C859" s="24">
        <v>18960</v>
      </c>
      <c r="D859" s="352"/>
      <c r="E859" s="352"/>
      <c r="F859" s="475"/>
      <c r="G859" s="410"/>
    </row>
    <row r="860" spans="1:9" s="5" customFormat="1" ht="13" x14ac:dyDescent="0.25">
      <c r="A860" s="72" t="s">
        <v>153</v>
      </c>
      <c r="B860" s="24" t="s">
        <v>70</v>
      </c>
      <c r="C860" s="24">
        <v>11250</v>
      </c>
      <c r="D860" s="472"/>
      <c r="E860" s="353"/>
      <c r="F860" s="475"/>
      <c r="G860" s="410"/>
    </row>
    <row r="861" spans="1:9" s="5" customFormat="1" ht="13" x14ac:dyDescent="0.25">
      <c r="A861" s="72" t="s">
        <v>155</v>
      </c>
      <c r="B861" s="23" t="s">
        <v>125</v>
      </c>
      <c r="C861" s="24">
        <v>52080</v>
      </c>
      <c r="E861" s="353"/>
      <c r="F861" s="403"/>
      <c r="G861" s="410"/>
    </row>
    <row r="862" spans="1:9" s="3" customFormat="1" ht="13" x14ac:dyDescent="0.25">
      <c r="A862" s="72" t="s">
        <v>699</v>
      </c>
      <c r="B862" s="43" t="s">
        <v>698</v>
      </c>
      <c r="C862" s="24">
        <v>90000</v>
      </c>
      <c r="D862" s="353"/>
      <c r="E862" s="353"/>
      <c r="F862" s="475"/>
      <c r="G862" s="410"/>
      <c r="H862" s="5"/>
      <c r="I862" s="5"/>
    </row>
    <row r="863" spans="1:9" s="5" customFormat="1" ht="13.5" thickBot="1" x14ac:dyDescent="0.3">
      <c r="A863" s="72"/>
      <c r="B863" s="24"/>
      <c r="C863" s="23"/>
      <c r="D863" s="352"/>
      <c r="E863" s="352"/>
      <c r="F863" s="475"/>
      <c r="G863" s="410"/>
    </row>
    <row r="864" spans="1:9" s="3" customFormat="1" ht="13.5" thickBot="1" x14ac:dyDescent="0.3">
      <c r="A864" s="1096" t="s">
        <v>3</v>
      </c>
      <c r="B864" s="1097"/>
      <c r="C864" s="668">
        <f>+C867+C876+C872+C878+C865</f>
        <v>6946410</v>
      </c>
      <c r="D864" s="18"/>
      <c r="E864" s="18"/>
      <c r="F864" s="473"/>
    </row>
    <row r="865" spans="1:10" s="349" customFormat="1" ht="13" hidden="1" x14ac:dyDescent="0.25">
      <c r="A865" s="265" t="s">
        <v>110</v>
      </c>
      <c r="B865" s="298" t="s">
        <v>111</v>
      </c>
      <c r="C865" s="32">
        <f>SUM(C866:C866)</f>
        <v>0</v>
      </c>
      <c r="D865" s="348"/>
      <c r="E865" s="348"/>
      <c r="F865" s="406"/>
    </row>
    <row r="866" spans="1:10" s="72" customFormat="1" ht="13.5" hidden="1" customHeight="1" x14ac:dyDescent="0.25">
      <c r="A866" s="72" t="s">
        <v>453</v>
      </c>
      <c r="B866" s="24" t="s">
        <v>454</v>
      </c>
      <c r="C866" s="24">
        <v>0</v>
      </c>
      <c r="D866" s="353"/>
      <c r="E866" s="352"/>
      <c r="F866" s="475"/>
      <c r="G866" s="361"/>
      <c r="H866" s="24"/>
    </row>
    <row r="867" spans="1:10" s="72" customFormat="1" ht="13.5" customHeight="1" x14ac:dyDescent="0.25">
      <c r="A867" s="11" t="s">
        <v>120</v>
      </c>
      <c r="B867" s="31" t="s">
        <v>121</v>
      </c>
      <c r="C867" s="31">
        <f>SUM(C868:C871)</f>
        <v>928480</v>
      </c>
      <c r="D867" s="353"/>
      <c r="E867" s="352"/>
      <c r="F867" s="475"/>
      <c r="G867" s="361"/>
      <c r="H867" s="24"/>
    </row>
    <row r="868" spans="1:10" s="72" customFormat="1" ht="13.5" customHeight="1" x14ac:dyDescent="0.25">
      <c r="A868" s="12" t="s">
        <v>246</v>
      </c>
      <c r="B868" s="12" t="s">
        <v>247</v>
      </c>
      <c r="C868" s="24">
        <v>657820</v>
      </c>
      <c r="E868" s="352"/>
      <c r="F868" s="403"/>
      <c r="G868" s="361"/>
      <c r="H868" s="24"/>
    </row>
    <row r="869" spans="1:10" s="128" customFormat="1" ht="13.5" customHeight="1" x14ac:dyDescent="0.25">
      <c r="A869" s="12" t="s">
        <v>208</v>
      </c>
      <c r="B869" s="12" t="s">
        <v>207</v>
      </c>
      <c r="C869" s="303">
        <v>34160</v>
      </c>
      <c r="E869" s="303"/>
      <c r="I869" s="276"/>
    </row>
    <row r="870" spans="1:10" s="128" customFormat="1" ht="13.5" customHeight="1" x14ac:dyDescent="0.25">
      <c r="A870" s="12" t="s">
        <v>140</v>
      </c>
      <c r="B870" s="12" t="s">
        <v>595</v>
      </c>
      <c r="C870" s="303">
        <v>130400</v>
      </c>
      <c r="E870" s="303"/>
      <c r="F870" s="293"/>
      <c r="I870" s="276"/>
    </row>
    <row r="871" spans="1:10" s="72" customFormat="1" ht="13.5" customHeight="1" x14ac:dyDescent="0.25">
      <c r="A871" s="12" t="s">
        <v>136</v>
      </c>
      <c r="B871" s="12" t="s">
        <v>71</v>
      </c>
      <c r="C871" s="24">
        <v>106100</v>
      </c>
      <c r="E871" s="352"/>
      <c r="F871" s="353"/>
      <c r="G871" s="361"/>
      <c r="H871" s="24"/>
    </row>
    <row r="872" spans="1:10" s="72" customFormat="1" ht="13.5" customHeight="1" x14ac:dyDescent="0.25">
      <c r="A872" s="265" t="s">
        <v>112</v>
      </c>
      <c r="B872" s="31" t="s">
        <v>157</v>
      </c>
      <c r="C872" s="31">
        <f>SUM(C873:C875)</f>
        <v>3466310</v>
      </c>
      <c r="E872" s="352"/>
      <c r="F872" s="353"/>
      <c r="G872" s="361"/>
      <c r="H872" s="24"/>
    </row>
    <row r="873" spans="1:10" s="72" customFormat="1" ht="13.5" customHeight="1" x14ac:dyDescent="0.25">
      <c r="A873" s="72" t="s">
        <v>138</v>
      </c>
      <c r="B873" s="59" t="s">
        <v>878</v>
      </c>
      <c r="C873" s="24">
        <v>7000</v>
      </c>
      <c r="E873" s="352"/>
      <c r="F873" s="353"/>
      <c r="G873" s="361"/>
      <c r="H873" s="24"/>
    </row>
    <row r="874" spans="1:10" s="72" customFormat="1" ht="13.5" customHeight="1" x14ac:dyDescent="0.25">
      <c r="A874" s="72" t="s">
        <v>156</v>
      </c>
      <c r="B874" s="12" t="s">
        <v>87</v>
      </c>
      <c r="C874" s="24">
        <v>936830</v>
      </c>
      <c r="E874" s="352"/>
      <c r="F874" s="356"/>
      <c r="G874" s="361"/>
      <c r="H874" s="24"/>
    </row>
    <row r="875" spans="1:10" s="72" customFormat="1" ht="13.5" customHeight="1" x14ac:dyDescent="0.25">
      <c r="A875" s="72" t="s">
        <v>889</v>
      </c>
      <c r="B875" s="43" t="s">
        <v>877</v>
      </c>
      <c r="C875" s="24">
        <v>2522480</v>
      </c>
      <c r="D875" s="363"/>
      <c r="E875" s="427"/>
      <c r="F875" s="352"/>
      <c r="G875" s="363"/>
      <c r="H875" s="12"/>
      <c r="J875" s="23"/>
    </row>
    <row r="876" spans="1:10" s="72" customFormat="1" ht="13.5" customHeight="1" x14ac:dyDescent="0.25">
      <c r="A876" s="11" t="s">
        <v>113</v>
      </c>
      <c r="B876" s="11" t="s">
        <v>114</v>
      </c>
      <c r="C876" s="31">
        <f>SUM(C877:C877)</f>
        <v>74460</v>
      </c>
      <c r="E876" s="352"/>
      <c r="F876" s="353"/>
      <c r="G876" s="361"/>
      <c r="H876" s="24"/>
    </row>
    <row r="877" spans="1:10" s="72" customFormat="1" ht="13.5" customHeight="1" x14ac:dyDescent="0.25">
      <c r="A877" s="12" t="s">
        <v>164</v>
      </c>
      <c r="B877" s="12" t="s">
        <v>74</v>
      </c>
      <c r="C877" s="24">
        <v>74460</v>
      </c>
      <c r="E877" s="352"/>
      <c r="F877" s="353"/>
      <c r="G877" s="361"/>
      <c r="H877" s="12"/>
    </row>
    <row r="878" spans="1:10" s="72" customFormat="1" ht="13.5" customHeight="1" x14ac:dyDescent="0.25">
      <c r="A878" s="265" t="s">
        <v>115</v>
      </c>
      <c r="B878" s="31" t="s">
        <v>8</v>
      </c>
      <c r="C878" s="31">
        <f>SUM(C879:C884)</f>
        <v>2477160</v>
      </c>
      <c r="E878" s="352"/>
      <c r="F878" s="353"/>
      <c r="G878" s="361"/>
      <c r="H878" s="12"/>
    </row>
    <row r="879" spans="1:10" s="72" customFormat="1" ht="13.5" customHeight="1" x14ac:dyDescent="0.25">
      <c r="A879" s="72" t="s">
        <v>92</v>
      </c>
      <c r="B879" s="24" t="s">
        <v>8</v>
      </c>
      <c r="C879" s="24">
        <v>1560900</v>
      </c>
      <c r="E879" s="353"/>
      <c r="F879" s="356"/>
      <c r="G879" s="363"/>
    </row>
    <row r="880" spans="1:10" s="11" customFormat="1" ht="13.5" customHeight="1" x14ac:dyDescent="0.25">
      <c r="A880" s="72" t="s">
        <v>181</v>
      </c>
      <c r="B880" s="24" t="s">
        <v>50</v>
      </c>
      <c r="C880" s="24">
        <v>24420</v>
      </c>
      <c r="E880" s="353"/>
      <c r="F880" s="353"/>
      <c r="G880" s="363"/>
      <c r="H880" s="72"/>
      <c r="I880" s="72"/>
      <c r="J880" s="72"/>
    </row>
    <row r="881" spans="1:11" s="11" customFormat="1" ht="13.5" customHeight="1" x14ac:dyDescent="0.25">
      <c r="A881" s="70" t="s">
        <v>224</v>
      </c>
      <c r="B881" s="43" t="s">
        <v>223</v>
      </c>
      <c r="C881" s="60">
        <v>82340</v>
      </c>
      <c r="E881" s="353"/>
      <c r="F881" s="353"/>
      <c r="G881" s="363"/>
      <c r="H881" s="72"/>
      <c r="I881" s="72"/>
      <c r="J881" s="72"/>
    </row>
    <row r="882" spans="1:11" s="72" customFormat="1" ht="13.5" customHeight="1" x14ac:dyDescent="0.25">
      <c r="A882" s="72" t="s">
        <v>222</v>
      </c>
      <c r="B882" s="12" t="s">
        <v>221</v>
      </c>
      <c r="C882" s="24">
        <v>420300</v>
      </c>
      <c r="E882" s="353"/>
      <c r="F882" s="12"/>
      <c r="G882" s="363"/>
    </row>
    <row r="883" spans="1:11" ht="13" hidden="1" x14ac:dyDescent="0.25">
      <c r="A883" s="12" t="s">
        <v>205</v>
      </c>
      <c r="B883" s="24" t="s">
        <v>466</v>
      </c>
      <c r="C883" s="24">
        <v>0</v>
      </c>
      <c r="D883" s="18"/>
      <c r="E883" s="147"/>
      <c r="F883" s="120"/>
      <c r="G883"/>
      <c r="H883"/>
      <c r="I883"/>
      <c r="J883"/>
      <c r="K883"/>
    </row>
    <row r="884" spans="1:11" s="72" customFormat="1" ht="13.5" customHeight="1" x14ac:dyDescent="0.25">
      <c r="A884" s="72" t="s">
        <v>90</v>
      </c>
      <c r="B884" s="24" t="s">
        <v>7</v>
      </c>
      <c r="C884" s="24">
        <v>389200</v>
      </c>
      <c r="E884" s="352"/>
      <c r="F884" s="357"/>
      <c r="G884" s="361"/>
      <c r="H884" s="12"/>
      <c r="J884" s="23"/>
    </row>
    <row r="885" spans="1:11" s="72" customFormat="1" ht="13.5" customHeight="1" thickBot="1" x14ac:dyDescent="0.3">
      <c r="B885" s="24"/>
      <c r="C885" s="23"/>
      <c r="D885" s="477"/>
      <c r="E885" s="353"/>
      <c r="F885" s="475"/>
      <c r="G885" s="363"/>
    </row>
    <row r="886" spans="1:11" s="3" customFormat="1" ht="13.5" thickBot="1" x14ac:dyDescent="0.3">
      <c r="A886" s="1100" t="s">
        <v>4</v>
      </c>
      <c r="B886" s="1101"/>
      <c r="C886" s="725">
        <f>C887+C893</f>
        <v>243020</v>
      </c>
      <c r="D886" s="18"/>
      <c r="E886" s="18"/>
      <c r="F886" s="473"/>
    </row>
    <row r="887" spans="1:11" s="349" customFormat="1" ht="13" x14ac:dyDescent="0.25">
      <c r="A887" s="265" t="s">
        <v>116</v>
      </c>
      <c r="B887" s="298" t="s">
        <v>117</v>
      </c>
      <c r="C887" s="32">
        <f>SUM(C888:C892)</f>
        <v>201500</v>
      </c>
      <c r="D887" s="348"/>
      <c r="E887" s="348"/>
      <c r="F887" s="406"/>
    </row>
    <row r="888" spans="1:11" s="5" customFormat="1" ht="13" x14ac:dyDescent="0.25">
      <c r="A888" s="72" t="s">
        <v>91</v>
      </c>
      <c r="B888" s="72" t="s">
        <v>139</v>
      </c>
      <c r="C888" s="24">
        <v>31800</v>
      </c>
      <c r="D888" s="352"/>
      <c r="E888" s="352"/>
      <c r="F888" s="475"/>
      <c r="G888" s="410"/>
    </row>
    <row r="889" spans="1:11" s="5" customFormat="1" ht="13" x14ac:dyDescent="0.25">
      <c r="A889" s="72" t="s">
        <v>203</v>
      </c>
      <c r="B889" s="43" t="s">
        <v>612</v>
      </c>
      <c r="C889" s="24">
        <v>19000</v>
      </c>
      <c r="D889" s="352"/>
      <c r="E889" s="352"/>
      <c r="F889" s="475"/>
      <c r="G889" s="410"/>
    </row>
    <row r="890" spans="1:11" s="5" customFormat="1" ht="13" x14ac:dyDescent="0.25">
      <c r="A890" s="72" t="s">
        <v>57</v>
      </c>
      <c r="B890" s="12" t="s">
        <v>58</v>
      </c>
      <c r="C890" s="24">
        <v>74700</v>
      </c>
      <c r="D890" s="352"/>
      <c r="E890" s="352"/>
      <c r="F890" s="475"/>
      <c r="G890" s="410"/>
    </row>
    <row r="891" spans="1:11" s="5" customFormat="1" ht="13" x14ac:dyDescent="0.25">
      <c r="A891" s="72" t="s">
        <v>527</v>
      </c>
      <c r="B891" s="12" t="s">
        <v>528</v>
      </c>
      <c r="C891" s="24">
        <v>46000</v>
      </c>
      <c r="D891" s="352"/>
      <c r="E891" s="352"/>
      <c r="F891" s="475"/>
      <c r="G891" s="410"/>
    </row>
    <row r="892" spans="1:11" s="8" customFormat="1" ht="13.5" customHeight="1" x14ac:dyDescent="0.25">
      <c r="A892" s="72" t="s">
        <v>814</v>
      </c>
      <c r="B892" s="23" t="s">
        <v>815</v>
      </c>
      <c r="C892" s="24">
        <v>30000</v>
      </c>
      <c r="D892" s="78"/>
      <c r="E892" s="25"/>
      <c r="F892" s="99"/>
      <c r="G892" s="55"/>
      <c r="H892" s="43"/>
    </row>
    <row r="893" spans="1:11" s="5" customFormat="1" ht="13" x14ac:dyDescent="0.25">
      <c r="A893" s="265" t="s">
        <v>166</v>
      </c>
      <c r="B893" s="25" t="s">
        <v>134</v>
      </c>
      <c r="C893" s="31">
        <f>SUM(C894)</f>
        <v>41520</v>
      </c>
      <c r="D893" s="352"/>
      <c r="E893" s="352"/>
      <c r="F893" s="475"/>
      <c r="G893" s="410"/>
    </row>
    <row r="894" spans="1:11" s="5" customFormat="1" ht="13" x14ac:dyDescent="0.25">
      <c r="A894" s="72" t="s">
        <v>167</v>
      </c>
      <c r="B894" s="23" t="s">
        <v>51</v>
      </c>
      <c r="C894" s="24">
        <v>41520</v>
      </c>
      <c r="D894" s="352"/>
      <c r="E894" s="352"/>
      <c r="F894" s="475"/>
      <c r="G894" s="410"/>
    </row>
    <row r="895" spans="1:11" s="5" customFormat="1" ht="13" x14ac:dyDescent="0.25">
      <c r="A895" s="72"/>
      <c r="B895" s="23"/>
      <c r="C895" s="24"/>
      <c r="D895" s="352"/>
      <c r="E895" s="352"/>
      <c r="F895" s="475"/>
      <c r="G895" s="410"/>
    </row>
    <row r="896" spans="1:11" s="3" customFormat="1" ht="13.5" thickBot="1" x14ac:dyDescent="0.3">
      <c r="C896" s="18"/>
      <c r="D896" s="18"/>
      <c r="E896" s="18"/>
      <c r="F896" s="473"/>
    </row>
    <row r="897" spans="1:8" s="1" customFormat="1" ht="13" x14ac:dyDescent="0.25">
      <c r="A897" s="648" t="s">
        <v>529</v>
      </c>
      <c r="B897" s="649"/>
      <c r="C897" s="690"/>
      <c r="D897" s="692" t="s">
        <v>6</v>
      </c>
      <c r="E897" s="913" t="s">
        <v>656</v>
      </c>
      <c r="F897" s="469"/>
    </row>
    <row r="898" spans="1:8" s="1" customFormat="1" ht="13.5" thickBot="1" x14ac:dyDescent="0.3">
      <c r="A898" s="652"/>
      <c r="B898" s="653"/>
      <c r="C898" s="693"/>
      <c r="D898" s="695"/>
      <c r="E898" s="718"/>
      <c r="F898" s="469"/>
    </row>
    <row r="899" spans="1:8" s="1" customFormat="1" ht="13" x14ac:dyDescent="0.25">
      <c r="A899" s="1123" t="s">
        <v>960</v>
      </c>
      <c r="B899" s="1124"/>
      <c r="C899" s="1124"/>
      <c r="D899" s="1124"/>
      <c r="E899" s="1125"/>
      <c r="F899" s="469"/>
    </row>
    <row r="900" spans="1:8" s="1" customFormat="1" ht="13" x14ac:dyDescent="0.25">
      <c r="A900" s="1126"/>
      <c r="B900" s="1127"/>
      <c r="C900" s="1127"/>
      <c r="D900" s="1127"/>
      <c r="E900" s="1128"/>
      <c r="F900" s="469"/>
    </row>
    <row r="901" spans="1:8" s="1" customFormat="1" ht="13" x14ac:dyDescent="0.25">
      <c r="A901" s="1126"/>
      <c r="B901" s="1127"/>
      <c r="C901" s="1127"/>
      <c r="D901" s="1127"/>
      <c r="E901" s="1128"/>
      <c r="F901" s="469"/>
    </row>
    <row r="902" spans="1:8" s="1" customFormat="1" ht="13" x14ac:dyDescent="0.25">
      <c r="A902" s="1126"/>
      <c r="B902" s="1127"/>
      <c r="C902" s="1127"/>
      <c r="D902" s="1127"/>
      <c r="E902" s="1128"/>
    </row>
    <row r="903" spans="1:8" s="1" customFormat="1" ht="13" x14ac:dyDescent="0.25">
      <c r="A903" s="1126"/>
      <c r="B903" s="1127"/>
      <c r="C903" s="1127"/>
      <c r="D903" s="1127"/>
      <c r="E903" s="1128"/>
    </row>
    <row r="904" spans="1:8" s="1" customFormat="1" ht="13" x14ac:dyDescent="0.25">
      <c r="A904" s="1126"/>
      <c r="B904" s="1127"/>
      <c r="C904" s="1127"/>
      <c r="D904" s="1127"/>
      <c r="E904" s="1128"/>
    </row>
    <row r="905" spans="1:8" s="1" customFormat="1" ht="13.5" thickBot="1" x14ac:dyDescent="0.3">
      <c r="A905" s="1129"/>
      <c r="B905" s="1130"/>
      <c r="C905" s="1130"/>
      <c r="D905" s="1130"/>
      <c r="E905" s="1131"/>
    </row>
    <row r="906" spans="1:8" s="1" customFormat="1" ht="13" x14ac:dyDescent="0.25">
      <c r="A906" s="41" t="s">
        <v>1029</v>
      </c>
      <c r="B906" s="12"/>
      <c r="C906" s="24"/>
      <c r="D906" s="24"/>
      <c r="E906" s="320"/>
      <c r="F906" s="469"/>
    </row>
    <row r="907" spans="1:8" s="1" customFormat="1" ht="13" x14ac:dyDescent="0.25">
      <c r="A907" s="41" t="s">
        <v>677</v>
      </c>
      <c r="B907" s="12"/>
      <c r="C907" s="24"/>
      <c r="D907" s="24"/>
      <c r="E907" s="320"/>
      <c r="F907" s="469"/>
      <c r="G907" s="14"/>
    </row>
    <row r="908" spans="1:8" s="1" customFormat="1" ht="13" x14ac:dyDescent="0.25">
      <c r="A908" s="41" t="s">
        <v>1040</v>
      </c>
      <c r="B908" s="12"/>
      <c r="C908" s="24"/>
      <c r="D908" s="24"/>
      <c r="E908" s="320"/>
      <c r="F908" s="469"/>
      <c r="G908" s="14"/>
    </row>
    <row r="909" spans="1:8" s="1" customFormat="1" ht="13.5" thickBot="1" x14ac:dyDescent="0.3">
      <c r="A909" s="76" t="s">
        <v>13</v>
      </c>
      <c r="B909" s="140"/>
      <c r="C909" s="377"/>
      <c r="D909" s="377"/>
      <c r="E909" s="378"/>
      <c r="F909" s="469"/>
    </row>
    <row r="910" spans="1:8" s="1" customFormat="1" ht="13.5" thickBot="1" x14ac:dyDescent="0.3">
      <c r="A910" s="762" t="s">
        <v>14</v>
      </c>
      <c r="B910" s="763"/>
      <c r="C910" s="764"/>
      <c r="D910" s="766"/>
      <c r="E910" s="772">
        <f>+C912+C935+C960+C955</f>
        <v>4822730</v>
      </c>
      <c r="F910" s="469"/>
      <c r="H910" s="14"/>
    </row>
    <row r="911" spans="1:8" s="3" customFormat="1" ht="13.5" thickBot="1" x14ac:dyDescent="0.3">
      <c r="A911" s="11"/>
      <c r="B911" s="11"/>
      <c r="C911" s="31"/>
      <c r="D911" s="31"/>
      <c r="E911" s="18"/>
      <c r="F911" s="368"/>
    </row>
    <row r="912" spans="1:8" s="3" customFormat="1" ht="13.5" thickBot="1" x14ac:dyDescent="0.3">
      <c r="A912" s="1104" t="s">
        <v>2</v>
      </c>
      <c r="B912" s="1105"/>
      <c r="C912" s="667">
        <f>C913+C915+C917+C920+C925+C929</f>
        <v>1360410</v>
      </c>
      <c r="D912" s="20"/>
      <c r="E912" s="18"/>
      <c r="F912" s="206"/>
    </row>
    <row r="913" spans="1:9" s="349" customFormat="1" ht="13" x14ac:dyDescent="0.25">
      <c r="A913" s="11" t="s">
        <v>103</v>
      </c>
      <c r="B913" s="298" t="s">
        <v>104</v>
      </c>
      <c r="C913" s="32">
        <f>SUM(C914)</f>
        <v>62040</v>
      </c>
      <c r="D913" s="348"/>
      <c r="E913" s="348"/>
      <c r="F913" s="406"/>
    </row>
    <row r="914" spans="1:9" s="12" customFormat="1" ht="13.5" customHeight="1" x14ac:dyDescent="0.25">
      <c r="A914" s="12" t="s">
        <v>46</v>
      </c>
      <c r="B914" s="12" t="s">
        <v>45</v>
      </c>
      <c r="C914" s="24">
        <v>62040</v>
      </c>
      <c r="D914" s="403"/>
      <c r="E914" s="353"/>
      <c r="F914" s="474"/>
      <c r="G914" s="394"/>
    </row>
    <row r="915" spans="1:9" s="12" customFormat="1" ht="13.5" customHeight="1" x14ac:dyDescent="0.25">
      <c r="A915" s="11" t="s">
        <v>105</v>
      </c>
      <c r="B915" s="11" t="s">
        <v>106</v>
      </c>
      <c r="C915" s="31">
        <f>SUM(C916)</f>
        <v>284700</v>
      </c>
      <c r="D915" s="489"/>
      <c r="F915" s="435"/>
      <c r="G915" s="394"/>
    </row>
    <row r="916" spans="1:9" s="5" customFormat="1" ht="13" x14ac:dyDescent="0.3">
      <c r="A916" s="12" t="s">
        <v>86</v>
      </c>
      <c r="B916" s="72" t="s">
        <v>66</v>
      </c>
      <c r="C916" s="24">
        <v>284700</v>
      </c>
      <c r="D916" s="489"/>
      <c r="E916" s="484"/>
      <c r="F916" s="475"/>
    </row>
    <row r="917" spans="1:9" s="5" customFormat="1" ht="13" x14ac:dyDescent="0.3">
      <c r="A917" s="11" t="s">
        <v>107</v>
      </c>
      <c r="B917" s="265" t="s">
        <v>108</v>
      </c>
      <c r="C917" s="31">
        <f>SUM(C918:C919)</f>
        <v>133480</v>
      </c>
      <c r="D917" s="489"/>
      <c r="E917" s="484"/>
      <c r="F917" s="475"/>
    </row>
    <row r="918" spans="1:9" s="5" customFormat="1" ht="13" x14ac:dyDescent="0.3">
      <c r="A918" s="12" t="s">
        <v>47</v>
      </c>
      <c r="B918" s="23" t="s">
        <v>48</v>
      </c>
      <c r="C918" s="24">
        <v>92280</v>
      </c>
      <c r="E918" s="484"/>
      <c r="F918" s="489"/>
      <c r="G918" s="410"/>
    </row>
    <row r="919" spans="1:9" s="5" customFormat="1" ht="13" x14ac:dyDescent="0.3">
      <c r="A919" s="12" t="s">
        <v>460</v>
      </c>
      <c r="B919" s="43" t="s">
        <v>461</v>
      </c>
      <c r="C919" s="24">
        <v>41200</v>
      </c>
      <c r="E919" s="484"/>
      <c r="F919" s="489"/>
      <c r="G919" s="410"/>
    </row>
    <row r="920" spans="1:9" s="5" customFormat="1" ht="13" x14ac:dyDescent="0.3">
      <c r="A920" s="265" t="s">
        <v>119</v>
      </c>
      <c r="B920" s="25" t="s">
        <v>109</v>
      </c>
      <c r="C920" s="31">
        <f>SUM(C921:C924)</f>
        <v>101560</v>
      </c>
      <c r="E920" s="484"/>
      <c r="F920" s="489"/>
      <c r="G920" s="410"/>
    </row>
    <row r="921" spans="1:9" s="5" customFormat="1" ht="13" x14ac:dyDescent="0.3">
      <c r="A921" s="72" t="s">
        <v>150</v>
      </c>
      <c r="B921" s="24" t="s">
        <v>340</v>
      </c>
      <c r="C921" s="24">
        <v>8560</v>
      </c>
      <c r="E921" s="484"/>
      <c r="F921" s="478"/>
      <c r="G921" s="410"/>
    </row>
    <row r="922" spans="1:9" s="66" customFormat="1" ht="13" x14ac:dyDescent="0.3">
      <c r="A922" s="72" t="s">
        <v>816</v>
      </c>
      <c r="B922" s="24" t="s">
        <v>810</v>
      </c>
      <c r="C922" s="24">
        <v>23000</v>
      </c>
      <c r="D922" s="78"/>
      <c r="E922" s="25"/>
    </row>
    <row r="923" spans="1:9" s="66" customFormat="1" ht="13" x14ac:dyDescent="0.3">
      <c r="A923" s="72" t="s">
        <v>820</v>
      </c>
      <c r="B923" s="24" t="s">
        <v>821</v>
      </c>
      <c r="C923" s="24">
        <v>55000</v>
      </c>
      <c r="D923" s="78"/>
      <c r="E923" s="25"/>
    </row>
    <row r="924" spans="1:9" s="66" customFormat="1" ht="13" x14ac:dyDescent="0.3">
      <c r="A924" s="72" t="s">
        <v>811</v>
      </c>
      <c r="B924" s="24" t="s">
        <v>812</v>
      </c>
      <c r="C924" s="24">
        <v>15000</v>
      </c>
      <c r="D924" s="78"/>
      <c r="E924" s="25"/>
    </row>
    <row r="925" spans="1:9" s="5" customFormat="1" ht="13" x14ac:dyDescent="0.3">
      <c r="A925" s="265" t="s">
        <v>124</v>
      </c>
      <c r="B925" s="31" t="s">
        <v>123</v>
      </c>
      <c r="C925" s="31">
        <f>SUM(C926:C928)</f>
        <v>466350</v>
      </c>
      <c r="E925" s="484"/>
      <c r="F925" s="490"/>
      <c r="G925" s="410"/>
    </row>
    <row r="926" spans="1:9" s="5" customFormat="1" ht="13" x14ac:dyDescent="0.3">
      <c r="A926" s="72" t="s">
        <v>230</v>
      </c>
      <c r="B926" s="43" t="s">
        <v>229</v>
      </c>
      <c r="C926" s="24">
        <v>47440</v>
      </c>
      <c r="E926" s="484"/>
      <c r="F926" s="490"/>
      <c r="G926" s="410"/>
    </row>
    <row r="927" spans="1:9" s="12" customFormat="1" ht="13.5" customHeight="1" x14ac:dyDescent="0.25">
      <c r="A927" s="12" t="s">
        <v>242</v>
      </c>
      <c r="B927" s="24" t="s">
        <v>243</v>
      </c>
      <c r="C927" s="24">
        <v>78060</v>
      </c>
      <c r="D927" s="79"/>
      <c r="E927" s="31"/>
      <c r="G927" s="24"/>
      <c r="I927" s="296"/>
    </row>
    <row r="928" spans="1:9" s="5" customFormat="1" ht="13" x14ac:dyDescent="0.3">
      <c r="A928" s="72" t="s">
        <v>93</v>
      </c>
      <c r="B928" s="24" t="s">
        <v>72</v>
      </c>
      <c r="C928" s="24">
        <v>340850</v>
      </c>
      <c r="E928" s="491"/>
      <c r="F928" s="66"/>
      <c r="G928" s="410"/>
    </row>
    <row r="929" spans="1:10" s="5" customFormat="1" ht="13" x14ac:dyDescent="0.25">
      <c r="A929" s="265" t="s">
        <v>151</v>
      </c>
      <c r="B929" s="25" t="s">
        <v>125</v>
      </c>
      <c r="C929" s="31">
        <f>SUM(C930:C933)</f>
        <v>312280</v>
      </c>
      <c r="E929" s="352"/>
      <c r="F929" s="352"/>
      <c r="G929" s="410"/>
    </row>
    <row r="930" spans="1:10" s="5" customFormat="1" ht="13" x14ac:dyDescent="0.25">
      <c r="A930" s="72" t="s">
        <v>152</v>
      </c>
      <c r="B930" s="23" t="s">
        <v>65</v>
      </c>
      <c r="C930" s="24">
        <v>24840</v>
      </c>
      <c r="D930" s="352"/>
      <c r="E930" s="352"/>
      <c r="F930" s="475"/>
      <c r="G930" s="410"/>
    </row>
    <row r="931" spans="1:10" s="5" customFormat="1" ht="13" x14ac:dyDescent="0.25">
      <c r="A931" s="72" t="s">
        <v>153</v>
      </c>
      <c r="B931" s="24" t="s">
        <v>70</v>
      </c>
      <c r="C931" s="24">
        <v>109800</v>
      </c>
      <c r="E931" s="353"/>
      <c r="F931" s="357"/>
      <c r="G931" s="410"/>
    </row>
    <row r="932" spans="1:10" s="5" customFormat="1" ht="13" x14ac:dyDescent="0.25">
      <c r="A932" s="72" t="s">
        <v>155</v>
      </c>
      <c r="B932" s="23" t="s">
        <v>125</v>
      </c>
      <c r="C932" s="24">
        <v>72640</v>
      </c>
      <c r="E932" s="353"/>
      <c r="F932" s="353"/>
      <c r="G932" s="410"/>
    </row>
    <row r="933" spans="1:10" s="5" customFormat="1" ht="13" x14ac:dyDescent="0.25">
      <c r="A933" s="72" t="s">
        <v>704</v>
      </c>
      <c r="B933" s="43" t="s">
        <v>698</v>
      </c>
      <c r="C933" s="24">
        <v>105000</v>
      </c>
      <c r="E933" s="353"/>
      <c r="F933" s="353"/>
      <c r="G933" s="410"/>
    </row>
    <row r="934" spans="1:10" s="5" customFormat="1" ht="13.5" thickBot="1" x14ac:dyDescent="0.3">
      <c r="A934" s="72"/>
      <c r="B934" s="24"/>
      <c r="C934" s="23"/>
      <c r="E934" s="352"/>
      <c r="F934" s="352"/>
      <c r="G934" s="410"/>
    </row>
    <row r="935" spans="1:10" s="3" customFormat="1" ht="13.5" thickBot="1" x14ac:dyDescent="0.3">
      <c r="A935" s="1096" t="s">
        <v>3</v>
      </c>
      <c r="B935" s="1097"/>
      <c r="C935" s="668">
        <f>C936+C938+C941+C945+C949</f>
        <v>2996620</v>
      </c>
      <c r="D935" s="18"/>
      <c r="E935" s="18"/>
      <c r="F935" s="18"/>
    </row>
    <row r="936" spans="1:10" s="349" customFormat="1" ht="13" x14ac:dyDescent="0.25">
      <c r="A936" s="265" t="s">
        <v>110</v>
      </c>
      <c r="B936" s="298" t="s">
        <v>111</v>
      </c>
      <c r="C936" s="32">
        <f>SUM(C937)</f>
        <v>52500</v>
      </c>
      <c r="E936" s="348"/>
      <c r="F936" s="348"/>
    </row>
    <row r="937" spans="1:10" s="72" customFormat="1" ht="13.5" customHeight="1" x14ac:dyDescent="0.25">
      <c r="A937" s="72" t="s">
        <v>52</v>
      </c>
      <c r="B937" s="24" t="s">
        <v>15</v>
      </c>
      <c r="C937" s="24">
        <v>52500</v>
      </c>
      <c r="E937" s="352"/>
      <c r="F937" s="353"/>
      <c r="G937" s="361"/>
      <c r="H937" s="24"/>
    </row>
    <row r="938" spans="1:10" s="72" customFormat="1" ht="13.5" customHeight="1" x14ac:dyDescent="0.25">
      <c r="A938" s="11" t="s">
        <v>120</v>
      </c>
      <c r="B938" s="31" t="s">
        <v>121</v>
      </c>
      <c r="C938" s="31">
        <f>SUM(C939:C940)</f>
        <v>123810</v>
      </c>
      <c r="E938" s="352"/>
      <c r="F938" s="353"/>
      <c r="G938" s="361"/>
      <c r="H938" s="24"/>
    </row>
    <row r="939" spans="1:10" s="72" customFormat="1" ht="13.5" customHeight="1" x14ac:dyDescent="0.25">
      <c r="A939" s="12" t="s">
        <v>140</v>
      </c>
      <c r="B939" s="43" t="s">
        <v>141</v>
      </c>
      <c r="C939" s="24">
        <v>78000</v>
      </c>
      <c r="E939" s="352"/>
      <c r="F939" s="353"/>
      <c r="G939" s="361"/>
      <c r="H939" s="24"/>
    </row>
    <row r="940" spans="1:10" s="72" customFormat="1" ht="13.5" customHeight="1" x14ac:dyDescent="0.25">
      <c r="A940" s="12" t="s">
        <v>136</v>
      </c>
      <c r="B940" s="12" t="s">
        <v>71</v>
      </c>
      <c r="C940" s="24">
        <v>45810</v>
      </c>
      <c r="E940" s="352"/>
      <c r="F940" s="353"/>
      <c r="G940" s="361"/>
      <c r="H940" s="24"/>
    </row>
    <row r="941" spans="1:10" s="72" customFormat="1" ht="13.5" customHeight="1" x14ac:dyDescent="0.25">
      <c r="A941" s="265" t="s">
        <v>112</v>
      </c>
      <c r="B941" s="31" t="s">
        <v>157</v>
      </c>
      <c r="C941" s="31">
        <f>SUM(C942:C944)</f>
        <v>932800</v>
      </c>
      <c r="E941" s="352"/>
      <c r="F941" s="353"/>
      <c r="G941" s="361"/>
      <c r="H941" s="24"/>
    </row>
    <row r="942" spans="1:10" s="72" customFormat="1" ht="13.5" customHeight="1" x14ac:dyDescent="0.25">
      <c r="A942" s="72" t="s">
        <v>138</v>
      </c>
      <c r="B942" s="59" t="s">
        <v>878</v>
      </c>
      <c r="C942" s="24">
        <v>7800</v>
      </c>
      <c r="E942" s="352"/>
      <c r="F942" s="353"/>
      <c r="G942" s="361"/>
      <c r="H942" s="24"/>
    </row>
    <row r="943" spans="1:10" s="72" customFormat="1" ht="13.5" customHeight="1" x14ac:dyDescent="0.25">
      <c r="A943" s="72" t="s">
        <v>156</v>
      </c>
      <c r="B943" s="12" t="s">
        <v>87</v>
      </c>
      <c r="C943" s="24">
        <v>475000</v>
      </c>
      <c r="E943" s="357"/>
      <c r="F943" s="477"/>
      <c r="G943" s="361"/>
      <c r="H943" s="24"/>
    </row>
    <row r="944" spans="1:10" s="72" customFormat="1" ht="13.5" customHeight="1" x14ac:dyDescent="0.25">
      <c r="A944" s="72" t="s">
        <v>889</v>
      </c>
      <c r="B944" s="43" t="s">
        <v>877</v>
      </c>
      <c r="C944" s="24">
        <v>450000</v>
      </c>
      <c r="D944" s="363"/>
      <c r="E944" s="427"/>
      <c r="F944" s="352"/>
      <c r="G944" s="363"/>
      <c r="H944" s="12"/>
      <c r="J944" s="23"/>
    </row>
    <row r="945" spans="1:10" s="72" customFormat="1" ht="13.5" customHeight="1" x14ac:dyDescent="0.25">
      <c r="A945" s="11" t="s">
        <v>113</v>
      </c>
      <c r="B945" s="11" t="s">
        <v>114</v>
      </c>
      <c r="C945" s="31">
        <f>SUM(C946:C948)</f>
        <v>217460</v>
      </c>
      <c r="E945" s="352"/>
      <c r="F945" s="353"/>
      <c r="G945" s="361"/>
      <c r="H945" s="24"/>
    </row>
    <row r="946" spans="1:10" s="72" customFormat="1" ht="13.5" customHeight="1" x14ac:dyDescent="0.25">
      <c r="A946" s="12" t="s">
        <v>53</v>
      </c>
      <c r="B946" s="12" t="s">
        <v>54</v>
      </c>
      <c r="C946" s="24">
        <v>120000</v>
      </c>
      <c r="E946" s="352"/>
      <c r="F946" s="403"/>
      <c r="G946" s="361"/>
      <c r="H946" s="12"/>
    </row>
    <row r="947" spans="1:10" s="72" customFormat="1" ht="13.5" customHeight="1" x14ac:dyDescent="0.25">
      <c r="A947" s="12" t="s">
        <v>164</v>
      </c>
      <c r="B947" s="12" t="s">
        <v>74</v>
      </c>
      <c r="C947" s="24">
        <v>47760</v>
      </c>
      <c r="E947" s="352"/>
      <c r="F947" s="353"/>
      <c r="G947" s="361"/>
      <c r="H947" s="12"/>
    </row>
    <row r="948" spans="1:10" s="72" customFormat="1" ht="13.5" customHeight="1" x14ac:dyDescent="0.25">
      <c r="A948" s="12" t="s">
        <v>519</v>
      </c>
      <c r="B948" s="43" t="s">
        <v>520</v>
      </c>
      <c r="C948" s="24">
        <v>49700</v>
      </c>
      <c r="E948" s="352"/>
      <c r="F948" s="353"/>
      <c r="G948" s="361"/>
      <c r="H948" s="12"/>
    </row>
    <row r="949" spans="1:10" s="72" customFormat="1" ht="13.5" customHeight="1" x14ac:dyDescent="0.25">
      <c r="A949" s="265" t="s">
        <v>115</v>
      </c>
      <c r="B949" s="31" t="s">
        <v>8</v>
      </c>
      <c r="C949" s="31">
        <f>SUM(C950:C953)</f>
        <v>1670050</v>
      </c>
      <c r="E949" s="352"/>
      <c r="F949" s="353"/>
      <c r="G949" s="361"/>
      <c r="H949" s="12"/>
    </row>
    <row r="950" spans="1:10" s="11" customFormat="1" ht="13.5" customHeight="1" x14ac:dyDescent="0.25">
      <c r="A950" s="72" t="s">
        <v>89</v>
      </c>
      <c r="B950" s="24" t="s">
        <v>8</v>
      </c>
      <c r="C950" s="24">
        <v>1242330</v>
      </c>
      <c r="E950" s="357"/>
      <c r="F950" s="477"/>
      <c r="G950" s="363"/>
      <c r="H950" s="72"/>
      <c r="I950" s="72"/>
      <c r="J950" s="72"/>
    </row>
    <row r="951" spans="1:10" s="72" customFormat="1" ht="13.5" customHeight="1" x14ac:dyDescent="0.25">
      <c r="A951" s="72" t="s">
        <v>181</v>
      </c>
      <c r="B951" s="24" t="s">
        <v>50</v>
      </c>
      <c r="C951" s="24">
        <v>25590</v>
      </c>
      <c r="F951" s="353"/>
      <c r="G951" s="363"/>
    </row>
    <row r="952" spans="1:10" s="72" customFormat="1" ht="13.5" customHeight="1" x14ac:dyDescent="0.25">
      <c r="A952" s="72" t="s">
        <v>222</v>
      </c>
      <c r="B952" s="12" t="s">
        <v>221</v>
      </c>
      <c r="C952" s="24">
        <v>120630</v>
      </c>
      <c r="E952" s="353"/>
      <c r="G952" s="363"/>
    </row>
    <row r="953" spans="1:10" s="72" customFormat="1" ht="13.5" customHeight="1" x14ac:dyDescent="0.25">
      <c r="A953" s="72" t="s">
        <v>90</v>
      </c>
      <c r="B953" s="24" t="s">
        <v>7</v>
      </c>
      <c r="C953" s="24">
        <v>281500</v>
      </c>
      <c r="D953" s="476"/>
      <c r="E953" s="352"/>
      <c r="F953" s="474"/>
      <c r="G953" s="361"/>
      <c r="H953" s="12"/>
      <c r="J953" s="23"/>
    </row>
    <row r="954" spans="1:10" s="72" customFormat="1" ht="13.5" customHeight="1" thickBot="1" x14ac:dyDescent="0.3">
      <c r="B954" s="24"/>
      <c r="C954" s="23"/>
      <c r="D954" s="477"/>
      <c r="E954" s="353"/>
      <c r="F954" s="475"/>
      <c r="G954" s="363"/>
    </row>
    <row r="955" spans="1:10" s="3" customFormat="1" ht="13.5" thickBot="1" x14ac:dyDescent="0.3">
      <c r="A955" s="1115" t="s">
        <v>5</v>
      </c>
      <c r="B955" s="1116"/>
      <c r="C955" s="669">
        <f>C956</f>
        <v>145200</v>
      </c>
      <c r="D955" s="18"/>
      <c r="E955" s="18"/>
      <c r="F955" s="473"/>
    </row>
    <row r="956" spans="1:10" s="349" customFormat="1" ht="13" x14ac:dyDescent="0.25">
      <c r="A956" s="265" t="s">
        <v>128</v>
      </c>
      <c r="B956" s="298" t="s">
        <v>129</v>
      </c>
      <c r="C956" s="32">
        <f>SUM(C957:C958)</f>
        <v>145200</v>
      </c>
      <c r="D956" s="348"/>
      <c r="E956" s="348"/>
      <c r="F956" s="406"/>
    </row>
    <row r="957" spans="1:10" s="349" customFormat="1" ht="13" x14ac:dyDescent="0.25">
      <c r="A957" s="72" t="s">
        <v>516</v>
      </c>
      <c r="B957" s="43" t="s">
        <v>517</v>
      </c>
      <c r="C957" s="22">
        <v>54600</v>
      </c>
      <c r="D957" s="348"/>
      <c r="E957" s="348"/>
      <c r="F957" s="406"/>
    </row>
    <row r="958" spans="1:10" s="3" customFormat="1" ht="13" x14ac:dyDescent="0.25">
      <c r="A958" s="72" t="s">
        <v>144</v>
      </c>
      <c r="B958" s="72" t="s">
        <v>12</v>
      </c>
      <c r="C958" s="24">
        <v>90600</v>
      </c>
      <c r="D958" s="397"/>
      <c r="E958" s="18"/>
      <c r="F958" s="473"/>
    </row>
    <row r="959" spans="1:10" s="3" customFormat="1" ht="13.5" thickBot="1" x14ac:dyDescent="0.3">
      <c r="A959" s="72"/>
      <c r="B959" s="72"/>
      <c r="C959" s="23"/>
      <c r="D959" s="397"/>
      <c r="E959" s="18"/>
      <c r="F959" s="473"/>
    </row>
    <row r="960" spans="1:10" s="3" customFormat="1" ht="13.5" thickBot="1" x14ac:dyDescent="0.3">
      <c r="A960" s="1100" t="s">
        <v>4</v>
      </c>
      <c r="B960" s="1101"/>
      <c r="C960" s="670">
        <f>C961+C965+C967</f>
        <v>320500</v>
      </c>
      <c r="E960" s="18"/>
      <c r="F960" s="570"/>
      <c r="G960" s="147"/>
      <c r="H960" s="147"/>
    </row>
    <row r="961" spans="1:8" s="349" customFormat="1" ht="13" x14ac:dyDescent="0.25">
      <c r="A961" s="265" t="s">
        <v>116</v>
      </c>
      <c r="B961" s="298" t="s">
        <v>117</v>
      </c>
      <c r="C961" s="32">
        <f>SUM(C962:C964)</f>
        <v>179020</v>
      </c>
      <c r="E961" s="348"/>
      <c r="F961" s="570"/>
      <c r="G961" s="351"/>
      <c r="H961" s="351"/>
    </row>
    <row r="962" spans="1:8" s="5" customFormat="1" ht="13" x14ac:dyDescent="0.25">
      <c r="A962" s="72" t="s">
        <v>91</v>
      </c>
      <c r="B962" s="72" t="s">
        <v>139</v>
      </c>
      <c r="C962" s="24">
        <v>59520</v>
      </c>
      <c r="E962" s="352"/>
      <c r="F962" s="602"/>
      <c r="G962" s="394"/>
      <c r="H962" s="147"/>
    </row>
    <row r="963" spans="1:8" s="3" customFormat="1" ht="13" x14ac:dyDescent="0.25">
      <c r="A963" s="72" t="s">
        <v>57</v>
      </c>
      <c r="B963" s="12" t="s">
        <v>58</v>
      </c>
      <c r="C963" s="221">
        <v>89500</v>
      </c>
      <c r="D963" s="18"/>
      <c r="E963" s="18"/>
      <c r="F963" s="570"/>
      <c r="G963" s="147"/>
      <c r="H963" s="147"/>
    </row>
    <row r="964" spans="1:8" s="8" customFormat="1" ht="13.5" customHeight="1" x14ac:dyDescent="0.25">
      <c r="A964" s="72" t="s">
        <v>814</v>
      </c>
      <c r="B964" s="23" t="s">
        <v>815</v>
      </c>
      <c r="C964" s="24">
        <v>30000</v>
      </c>
      <c r="D964" s="78"/>
      <c r="E964" s="25"/>
      <c r="F964" s="99"/>
      <c r="G964" s="55"/>
      <c r="H964" s="43"/>
    </row>
    <row r="965" spans="1:8" s="3" customFormat="1" ht="13" x14ac:dyDescent="0.25">
      <c r="A965" s="265" t="s">
        <v>118</v>
      </c>
      <c r="B965" s="11" t="s">
        <v>130</v>
      </c>
      <c r="C965" s="633">
        <f>SUM(C966)</f>
        <v>98280</v>
      </c>
      <c r="D965" s="18"/>
      <c r="E965" s="18"/>
      <c r="F965" s="602"/>
      <c r="G965" s="147"/>
      <c r="H965" s="147"/>
    </row>
    <row r="966" spans="1:8" s="3" customFormat="1" ht="13" x14ac:dyDescent="0.25">
      <c r="A966" s="72" t="s">
        <v>524</v>
      </c>
      <c r="B966" s="12" t="s">
        <v>525</v>
      </c>
      <c r="C966" s="221">
        <v>98280</v>
      </c>
      <c r="D966" s="18"/>
      <c r="E966" s="18"/>
      <c r="F966" s="603"/>
      <c r="G966" s="147"/>
      <c r="H966" s="147"/>
    </row>
    <row r="967" spans="1:8" s="3" customFormat="1" ht="13" x14ac:dyDescent="0.25">
      <c r="A967" s="265" t="s">
        <v>166</v>
      </c>
      <c r="B967" s="25" t="s">
        <v>134</v>
      </c>
      <c r="C967" s="633">
        <f>SUM(C968)</f>
        <v>43200</v>
      </c>
      <c r="D967" s="18"/>
      <c r="E967" s="18"/>
      <c r="F967" s="473"/>
    </row>
    <row r="968" spans="1:8" s="5" customFormat="1" ht="13" x14ac:dyDescent="0.25">
      <c r="A968" s="72" t="s">
        <v>167</v>
      </c>
      <c r="B968" s="23" t="s">
        <v>51</v>
      </c>
      <c r="C968" s="24">
        <v>43200</v>
      </c>
      <c r="E968" s="352"/>
      <c r="F968" s="475"/>
      <c r="G968" s="410"/>
    </row>
    <row r="969" spans="1:8" s="5" customFormat="1" ht="13" x14ac:dyDescent="0.25">
      <c r="A969" s="72"/>
      <c r="B969" s="23"/>
      <c r="C969" s="24"/>
      <c r="E969" s="352"/>
      <c r="F969" s="475"/>
      <c r="G969" s="410"/>
    </row>
    <row r="970" spans="1:8" s="5" customFormat="1" ht="13" x14ac:dyDescent="0.25">
      <c r="A970" s="72"/>
      <c r="B970" s="23"/>
      <c r="C970" s="24"/>
      <c r="E970" s="352"/>
      <c r="F970" s="475"/>
      <c r="G970" s="410"/>
    </row>
    <row r="972" spans="1:8" x14ac:dyDescent="0.25">
      <c r="B972" s="984">
        <f>+E910+E652+E578+E515+E439+E302+E238+E179+E116+E15</f>
        <v>355245882</v>
      </c>
    </row>
    <row r="1024" spans="1:9" s="5" customFormat="1" ht="13" x14ac:dyDescent="0.3">
      <c r="A1024" s="52"/>
      <c r="B1024" s="52"/>
      <c r="C1024" s="65"/>
      <c r="D1024" s="62"/>
      <c r="E1024" s="65"/>
      <c r="F1024" s="223"/>
      <c r="G1024" s="52"/>
      <c r="H1024" s="52"/>
      <c r="I1024" s="52"/>
    </row>
    <row r="1025" spans="1:7" s="5" customFormat="1" ht="13" x14ac:dyDescent="0.25">
      <c r="A1025" s="72"/>
      <c r="B1025" s="23"/>
      <c r="C1025" s="24"/>
      <c r="E1025" s="352"/>
      <c r="F1025" s="475"/>
      <c r="G1025" s="410"/>
    </row>
    <row r="1026" spans="1:7" s="52" customFormat="1" ht="13" x14ac:dyDescent="0.3">
      <c r="B1026" s="617"/>
      <c r="C1026" s="618"/>
      <c r="D1026" s="618"/>
      <c r="E1026" s="618"/>
      <c r="F1026" s="580"/>
      <c r="G1026" s="617"/>
    </row>
    <row r="1027" spans="1:7" s="52" customFormat="1" ht="13" x14ac:dyDescent="0.3">
      <c r="C1027" s="65"/>
      <c r="D1027" s="62"/>
      <c r="E1027" s="65"/>
      <c r="F1027" s="223"/>
    </row>
    <row r="1028" spans="1:7" s="243" customFormat="1" ht="13.5" customHeight="1" x14ac:dyDescent="0.3">
      <c r="A1028" s="245"/>
      <c r="B1028" s="245"/>
      <c r="C1028" s="246"/>
      <c r="D1028" s="245"/>
      <c r="E1028" s="247"/>
      <c r="F1028" s="157"/>
    </row>
    <row r="1029" spans="1:7" s="243" customFormat="1" ht="13.5" customHeight="1" x14ac:dyDescent="0.3">
      <c r="A1029" s="245"/>
      <c r="B1029" s="245"/>
      <c r="C1029" s="246"/>
      <c r="D1029" s="245"/>
      <c r="E1029" s="247"/>
      <c r="F1029" s="157"/>
    </row>
    <row r="1030" spans="1:7" s="243" customFormat="1" ht="13.5" customHeight="1" x14ac:dyDescent="0.3">
      <c r="A1030" s="245"/>
      <c r="B1030" s="245"/>
      <c r="C1030" s="246"/>
      <c r="D1030" s="245"/>
      <c r="E1030" s="247"/>
      <c r="F1030" s="157"/>
    </row>
    <row r="1031" spans="1:7" s="243" customFormat="1" ht="13.5" customHeight="1" x14ac:dyDescent="0.3">
      <c r="A1031" s="245"/>
      <c r="B1031" s="245"/>
      <c r="C1031" s="246"/>
      <c r="D1031" s="245"/>
      <c r="E1031" s="247"/>
      <c r="F1031" s="157"/>
    </row>
    <row r="1032" spans="1:7" s="243" customFormat="1" ht="13.5" customHeight="1" x14ac:dyDescent="0.3">
      <c r="A1032" s="245"/>
      <c r="B1032" s="245"/>
      <c r="C1032" s="246"/>
      <c r="D1032" s="245"/>
      <c r="E1032" s="247"/>
      <c r="F1032" s="157"/>
    </row>
    <row r="1033" spans="1:7" s="243" customFormat="1" ht="13.5" customHeight="1" x14ac:dyDescent="0.3">
      <c r="A1033" s="245"/>
      <c r="B1033" s="245"/>
      <c r="C1033" s="246"/>
      <c r="D1033" s="245"/>
      <c r="E1033" s="247"/>
      <c r="F1033" s="157"/>
    </row>
    <row r="1034" spans="1:7" s="243" customFormat="1" ht="13.5" customHeight="1" x14ac:dyDescent="0.3">
      <c r="A1034" s="245"/>
      <c r="B1034" s="245"/>
      <c r="C1034" s="246"/>
      <c r="D1034" s="245"/>
      <c r="E1034" s="247"/>
      <c r="F1034" s="157"/>
    </row>
    <row r="1035" spans="1:7" s="243" customFormat="1" ht="13.5" customHeight="1" x14ac:dyDescent="0.3">
      <c r="A1035" s="245"/>
      <c r="B1035" s="245"/>
      <c r="C1035" s="246"/>
      <c r="D1035" s="245"/>
      <c r="E1035" s="247"/>
      <c r="F1035" s="157"/>
    </row>
    <row r="1036" spans="1:7" s="243" customFormat="1" ht="13.5" customHeight="1" x14ac:dyDescent="0.3">
      <c r="A1036" s="245"/>
      <c r="B1036" s="245"/>
      <c r="C1036" s="246"/>
      <c r="D1036" s="245"/>
      <c r="E1036" s="247"/>
      <c r="F1036" s="157"/>
    </row>
    <row r="1037" spans="1:7" s="243" customFormat="1" ht="13.5" customHeight="1" x14ac:dyDescent="0.3">
      <c r="A1037" s="245"/>
      <c r="B1037" s="245"/>
      <c r="C1037" s="246"/>
      <c r="D1037" s="245"/>
      <c r="E1037" s="247"/>
      <c r="F1037" s="157"/>
    </row>
    <row r="1038" spans="1:7" s="243" customFormat="1" ht="13.5" customHeight="1" x14ac:dyDescent="0.3">
      <c r="A1038" s="245"/>
      <c r="B1038" s="245"/>
      <c r="C1038" s="246"/>
      <c r="D1038" s="245"/>
      <c r="E1038" s="247"/>
      <c r="F1038" s="157"/>
    </row>
    <row r="1039" spans="1:7" s="243" customFormat="1" ht="13.5" customHeight="1" x14ac:dyDescent="0.3">
      <c r="A1039" s="245"/>
      <c r="B1039" s="245"/>
      <c r="C1039" s="246"/>
      <c r="D1039" s="245"/>
      <c r="E1039" s="247"/>
      <c r="F1039" s="157"/>
    </row>
    <row r="1040" spans="1:7" s="243" customFormat="1" ht="13.5" customHeight="1" x14ac:dyDescent="0.3">
      <c r="A1040" s="245"/>
      <c r="B1040" s="245"/>
      <c r="C1040" s="246"/>
      <c r="D1040" s="245"/>
      <c r="E1040" s="247"/>
      <c r="F1040" s="157"/>
    </row>
    <row r="1041" spans="1:6" s="243" customFormat="1" ht="13.5" customHeight="1" x14ac:dyDescent="0.3">
      <c r="A1041" s="245"/>
      <c r="B1041" s="245"/>
      <c r="C1041" s="246"/>
      <c r="D1041" s="245"/>
      <c r="E1041" s="247"/>
      <c r="F1041" s="157"/>
    </row>
    <row r="1042" spans="1:6" s="243" customFormat="1" ht="13.5" customHeight="1" x14ac:dyDescent="0.3">
      <c r="A1042" s="245"/>
      <c r="B1042" s="245"/>
      <c r="C1042" s="246"/>
      <c r="D1042" s="245"/>
      <c r="E1042" s="247"/>
      <c r="F1042" s="157"/>
    </row>
    <row r="1043" spans="1:6" s="243" customFormat="1" ht="13.5" customHeight="1" x14ac:dyDescent="0.3">
      <c r="A1043" s="245"/>
      <c r="B1043" s="245"/>
      <c r="C1043" s="246"/>
      <c r="D1043" s="245"/>
      <c r="E1043" s="247"/>
      <c r="F1043" s="157"/>
    </row>
    <row r="1044" spans="1:6" s="243" customFormat="1" ht="13.5" customHeight="1" x14ac:dyDescent="0.3">
      <c r="A1044" s="245"/>
      <c r="B1044" s="245"/>
      <c r="C1044" s="246"/>
      <c r="D1044" s="245"/>
      <c r="E1044" s="247"/>
      <c r="F1044" s="157"/>
    </row>
    <row r="1045" spans="1:6" s="243" customFormat="1" ht="13.5" customHeight="1" x14ac:dyDescent="0.3">
      <c r="A1045" s="245"/>
      <c r="B1045" s="245"/>
      <c r="C1045" s="246"/>
      <c r="D1045" s="245"/>
      <c r="E1045" s="247"/>
      <c r="F1045" s="157"/>
    </row>
    <row r="1046" spans="1:6" s="243" customFormat="1" ht="13.5" customHeight="1" x14ac:dyDescent="0.3">
      <c r="A1046" s="245"/>
      <c r="B1046" s="245"/>
      <c r="C1046" s="246"/>
      <c r="D1046" s="245"/>
      <c r="E1046" s="247"/>
      <c r="F1046" s="157"/>
    </row>
    <row r="1047" spans="1:6" s="243" customFormat="1" ht="13.5" customHeight="1" x14ac:dyDescent="0.3">
      <c r="A1047" s="245"/>
      <c r="B1047" s="245"/>
      <c r="C1047" s="246"/>
      <c r="D1047" s="245"/>
      <c r="E1047" s="247"/>
      <c r="F1047" s="157"/>
    </row>
    <row r="1048" spans="1:6" s="243" customFormat="1" ht="13.5" customHeight="1" x14ac:dyDescent="0.3">
      <c r="A1048" s="245"/>
      <c r="B1048" s="245"/>
      <c r="C1048" s="246"/>
      <c r="D1048" s="245"/>
      <c r="E1048" s="247"/>
      <c r="F1048" s="157"/>
    </row>
    <row r="1049" spans="1:6" s="243" customFormat="1" ht="13.5" customHeight="1" x14ac:dyDescent="0.3">
      <c r="A1049" s="245"/>
      <c r="B1049" s="245"/>
      <c r="C1049" s="246"/>
      <c r="D1049" s="245"/>
      <c r="E1049" s="247"/>
      <c r="F1049" s="157"/>
    </row>
    <row r="1050" spans="1:6" s="243" customFormat="1" ht="13.5" customHeight="1" x14ac:dyDescent="0.3">
      <c r="A1050" s="245"/>
      <c r="B1050" s="245"/>
      <c r="C1050" s="246"/>
      <c r="D1050" s="245"/>
      <c r="E1050" s="247"/>
      <c r="F1050" s="157"/>
    </row>
    <row r="1051" spans="1:6" s="243" customFormat="1" ht="13.5" customHeight="1" x14ac:dyDescent="0.3">
      <c r="A1051" s="245"/>
      <c r="B1051" s="245"/>
      <c r="C1051" s="246"/>
      <c r="D1051" s="245"/>
      <c r="E1051" s="247"/>
      <c r="F1051" s="157"/>
    </row>
    <row r="1052" spans="1:6" s="243" customFormat="1" ht="13.5" customHeight="1" x14ac:dyDescent="0.3">
      <c r="A1052" s="245"/>
      <c r="B1052" s="245"/>
      <c r="C1052" s="246"/>
      <c r="D1052" s="245"/>
      <c r="E1052" s="247"/>
      <c r="F1052" s="157"/>
    </row>
    <row r="1053" spans="1:6" s="243" customFormat="1" ht="13.5" customHeight="1" x14ac:dyDescent="0.3">
      <c r="A1053" s="245"/>
      <c r="B1053" s="245"/>
      <c r="C1053" s="246"/>
      <c r="D1053" s="245"/>
      <c r="E1053" s="247"/>
      <c r="F1053" s="157"/>
    </row>
    <row r="1054" spans="1:6" s="243" customFormat="1" ht="13.5" customHeight="1" x14ac:dyDescent="0.3">
      <c r="A1054" s="245"/>
      <c r="B1054" s="245"/>
      <c r="C1054" s="246"/>
      <c r="D1054" s="245"/>
      <c r="E1054" s="247"/>
      <c r="F1054" s="157"/>
    </row>
    <row r="1055" spans="1:6" s="243" customFormat="1" ht="13.5" customHeight="1" x14ac:dyDescent="0.3">
      <c r="A1055" s="245"/>
      <c r="B1055" s="245"/>
      <c r="C1055" s="246"/>
      <c r="D1055" s="245"/>
      <c r="E1055" s="247"/>
      <c r="F1055" s="157"/>
    </row>
    <row r="1056" spans="1:6" s="243" customFormat="1" ht="13.5" customHeight="1" x14ac:dyDescent="0.3">
      <c r="A1056" s="245"/>
      <c r="B1056" s="245"/>
      <c r="C1056" s="246"/>
      <c r="D1056" s="245"/>
      <c r="E1056" s="247"/>
      <c r="F1056" s="157"/>
    </row>
    <row r="1057" spans="1:6" s="243" customFormat="1" ht="13.5" customHeight="1" x14ac:dyDescent="0.3">
      <c r="A1057" s="245"/>
      <c r="B1057" s="245"/>
      <c r="C1057" s="246"/>
      <c r="D1057" s="245"/>
      <c r="E1057" s="247"/>
      <c r="F1057" s="157"/>
    </row>
    <row r="1058" spans="1:6" s="243" customFormat="1" ht="13.5" customHeight="1" x14ac:dyDescent="0.3">
      <c r="A1058" s="245"/>
      <c r="B1058" s="245"/>
      <c r="C1058" s="246"/>
      <c r="D1058" s="245"/>
      <c r="E1058" s="247"/>
      <c r="F1058" s="157"/>
    </row>
    <row r="1059" spans="1:6" s="243" customFormat="1" ht="13.5" customHeight="1" x14ac:dyDescent="0.3">
      <c r="A1059" s="245"/>
      <c r="B1059" s="245"/>
      <c r="C1059" s="246"/>
      <c r="D1059" s="245"/>
      <c r="E1059" s="247"/>
      <c r="F1059" s="157"/>
    </row>
    <row r="1060" spans="1:6" s="243" customFormat="1" ht="13.5" customHeight="1" x14ac:dyDescent="0.3">
      <c r="A1060" s="245"/>
      <c r="B1060" s="245"/>
      <c r="C1060" s="246"/>
      <c r="D1060" s="245"/>
      <c r="E1060" s="247"/>
      <c r="F1060" s="157"/>
    </row>
    <row r="1061" spans="1:6" s="243" customFormat="1" ht="13.5" customHeight="1" x14ac:dyDescent="0.3">
      <c r="A1061" s="245"/>
      <c r="B1061" s="245"/>
      <c r="C1061" s="246"/>
      <c r="D1061" s="245"/>
      <c r="E1061" s="247"/>
      <c r="F1061" s="157"/>
    </row>
    <row r="1062" spans="1:6" s="243" customFormat="1" ht="13.5" customHeight="1" x14ac:dyDescent="0.3">
      <c r="A1062" s="245"/>
      <c r="B1062" s="245"/>
      <c r="C1062" s="246"/>
      <c r="D1062" s="245"/>
      <c r="E1062" s="247"/>
      <c r="F1062" s="157"/>
    </row>
    <row r="1063" spans="1:6" s="243" customFormat="1" ht="13.5" customHeight="1" x14ac:dyDescent="0.3">
      <c r="A1063" s="245"/>
      <c r="B1063" s="245"/>
      <c r="C1063" s="246"/>
      <c r="D1063" s="245"/>
      <c r="E1063" s="247"/>
      <c r="F1063" s="157"/>
    </row>
    <row r="1064" spans="1:6" s="243" customFormat="1" ht="13.5" customHeight="1" x14ac:dyDescent="0.3">
      <c r="A1064" s="245"/>
      <c r="B1064" s="245"/>
      <c r="C1064" s="246"/>
      <c r="D1064" s="245"/>
      <c r="E1064" s="247"/>
      <c r="F1064" s="157"/>
    </row>
    <row r="1065" spans="1:6" s="243" customFormat="1" ht="13.5" customHeight="1" x14ac:dyDescent="0.3">
      <c r="A1065" s="245"/>
      <c r="B1065" s="245"/>
      <c r="C1065" s="246"/>
      <c r="D1065" s="245"/>
      <c r="E1065" s="247"/>
      <c r="F1065" s="157"/>
    </row>
    <row r="1066" spans="1:6" s="243" customFormat="1" ht="13.5" customHeight="1" x14ac:dyDescent="0.3">
      <c r="A1066" s="245"/>
      <c r="B1066" s="245"/>
      <c r="C1066" s="246"/>
      <c r="D1066" s="245"/>
      <c r="E1066" s="247"/>
      <c r="F1066" s="157"/>
    </row>
    <row r="1067" spans="1:6" s="243" customFormat="1" ht="13.5" customHeight="1" x14ac:dyDescent="0.3">
      <c r="A1067" s="245"/>
      <c r="B1067" s="245"/>
      <c r="C1067" s="246"/>
      <c r="D1067" s="245"/>
      <c r="E1067" s="247"/>
      <c r="F1067" s="157"/>
    </row>
    <row r="1068" spans="1:6" s="243" customFormat="1" ht="13.5" customHeight="1" x14ac:dyDescent="0.3">
      <c r="A1068" s="245"/>
      <c r="B1068" s="245"/>
      <c r="C1068" s="246"/>
      <c r="D1068" s="245"/>
      <c r="E1068" s="247"/>
      <c r="F1068" s="157"/>
    </row>
    <row r="1069" spans="1:6" s="243" customFormat="1" ht="13.5" customHeight="1" x14ac:dyDescent="0.3">
      <c r="A1069" s="245"/>
      <c r="B1069" s="245"/>
      <c r="C1069" s="246"/>
      <c r="D1069" s="245"/>
      <c r="E1069" s="247"/>
      <c r="F1069" s="157"/>
    </row>
    <row r="1070" spans="1:6" s="243" customFormat="1" ht="13.5" customHeight="1" x14ac:dyDescent="0.3">
      <c r="A1070" s="245"/>
      <c r="B1070" s="245"/>
      <c r="C1070" s="246"/>
      <c r="D1070" s="245"/>
      <c r="E1070" s="247"/>
      <c r="F1070" s="157"/>
    </row>
    <row r="1071" spans="1:6" s="243" customFormat="1" ht="13.5" customHeight="1" x14ac:dyDescent="0.3">
      <c r="A1071" s="245"/>
      <c r="B1071" s="245"/>
      <c r="C1071" s="246"/>
      <c r="D1071" s="245"/>
      <c r="E1071" s="247"/>
      <c r="F1071" s="157"/>
    </row>
    <row r="1072" spans="1:6" s="243" customFormat="1" ht="13.5" customHeight="1" x14ac:dyDescent="0.3">
      <c r="A1072" s="245"/>
      <c r="B1072" s="245"/>
      <c r="C1072" s="246"/>
      <c r="D1072" s="245"/>
      <c r="E1072" s="247"/>
      <c r="F1072" s="157"/>
    </row>
    <row r="1073" spans="1:6" s="243" customFormat="1" ht="13.5" customHeight="1" x14ac:dyDescent="0.3">
      <c r="A1073" s="245"/>
      <c r="B1073" s="245"/>
      <c r="C1073" s="246"/>
      <c r="D1073" s="245"/>
      <c r="E1073" s="247"/>
      <c r="F1073" s="157"/>
    </row>
    <row r="1074" spans="1:6" s="243" customFormat="1" ht="13.5" customHeight="1" x14ac:dyDescent="0.3">
      <c r="A1074" s="245"/>
      <c r="B1074" s="245"/>
      <c r="C1074" s="246"/>
      <c r="D1074" s="245"/>
      <c r="E1074" s="247"/>
      <c r="F1074" s="157"/>
    </row>
    <row r="1075" spans="1:6" s="243" customFormat="1" ht="13.5" customHeight="1" x14ac:dyDescent="0.3">
      <c r="A1075" s="245"/>
      <c r="B1075" s="245"/>
      <c r="C1075" s="246"/>
      <c r="D1075" s="245"/>
      <c r="E1075" s="247"/>
      <c r="F1075" s="157"/>
    </row>
    <row r="1076" spans="1:6" s="243" customFormat="1" ht="13.5" customHeight="1" x14ac:dyDescent="0.3">
      <c r="A1076" s="245"/>
      <c r="B1076" s="245"/>
      <c r="C1076" s="246"/>
      <c r="D1076" s="245"/>
      <c r="E1076" s="247"/>
      <c r="F1076" s="157"/>
    </row>
    <row r="1077" spans="1:6" s="243" customFormat="1" ht="13.5" customHeight="1" x14ac:dyDescent="0.3">
      <c r="A1077" s="245"/>
      <c r="B1077" s="245"/>
      <c r="C1077" s="246"/>
      <c r="D1077" s="245"/>
      <c r="E1077" s="247"/>
      <c r="F1077" s="157"/>
    </row>
    <row r="1078" spans="1:6" s="243" customFormat="1" ht="13.5" customHeight="1" x14ac:dyDescent="0.3">
      <c r="A1078" s="245"/>
      <c r="B1078" s="245"/>
      <c r="C1078" s="246"/>
      <c r="D1078" s="245"/>
      <c r="E1078" s="247"/>
      <c r="F1078" s="157"/>
    </row>
    <row r="1079" spans="1:6" s="243" customFormat="1" ht="13.5" customHeight="1" x14ac:dyDescent="0.3">
      <c r="A1079" s="245"/>
      <c r="B1079" s="245"/>
      <c r="C1079" s="246"/>
      <c r="D1079" s="245"/>
      <c r="E1079" s="247"/>
      <c r="F1079" s="157"/>
    </row>
    <row r="1080" spans="1:6" s="243" customFormat="1" ht="13.5" customHeight="1" x14ac:dyDescent="0.3">
      <c r="A1080" s="245"/>
      <c r="B1080" s="245"/>
      <c r="C1080" s="246"/>
      <c r="D1080" s="245"/>
      <c r="E1080" s="247"/>
      <c r="F1080" s="157"/>
    </row>
    <row r="1081" spans="1:6" s="243" customFormat="1" ht="13.5" customHeight="1" x14ac:dyDescent="0.3">
      <c r="A1081" s="245"/>
      <c r="B1081" s="245"/>
      <c r="C1081" s="246"/>
      <c r="D1081" s="245"/>
      <c r="E1081" s="247"/>
      <c r="F1081" s="157"/>
    </row>
    <row r="1082" spans="1:6" s="243" customFormat="1" ht="13.5" customHeight="1" x14ac:dyDescent="0.3">
      <c r="A1082" s="245"/>
      <c r="B1082" s="245"/>
      <c r="C1082" s="246"/>
      <c r="D1082" s="245"/>
      <c r="E1082" s="247"/>
      <c r="F1082" s="157"/>
    </row>
    <row r="1083" spans="1:6" s="243" customFormat="1" ht="13.5" customHeight="1" x14ac:dyDescent="0.3">
      <c r="A1083" s="245"/>
      <c r="B1083" s="245"/>
      <c r="C1083" s="246"/>
      <c r="D1083" s="245"/>
      <c r="E1083" s="247"/>
      <c r="F1083" s="157"/>
    </row>
    <row r="1084" spans="1:6" s="243" customFormat="1" ht="13.5" customHeight="1" x14ac:dyDescent="0.3">
      <c r="A1084" s="245"/>
      <c r="B1084" s="245"/>
      <c r="C1084" s="246"/>
      <c r="D1084" s="245"/>
      <c r="E1084" s="247"/>
      <c r="F1084" s="157"/>
    </row>
    <row r="1085" spans="1:6" s="243" customFormat="1" ht="13.5" customHeight="1" x14ac:dyDescent="0.3">
      <c r="A1085" s="245"/>
      <c r="B1085" s="245"/>
      <c r="C1085" s="246"/>
      <c r="D1085" s="245"/>
      <c r="E1085" s="247"/>
      <c r="F1085" s="157"/>
    </row>
    <row r="1086" spans="1:6" s="243" customFormat="1" ht="13.5" customHeight="1" x14ac:dyDescent="0.3">
      <c r="A1086" s="245"/>
      <c r="B1086" s="245"/>
      <c r="C1086" s="246"/>
      <c r="D1086" s="245"/>
      <c r="E1086" s="247"/>
      <c r="F1086" s="157"/>
    </row>
    <row r="1087" spans="1:6" s="243" customFormat="1" ht="13.5" customHeight="1" x14ac:dyDescent="0.3">
      <c r="A1087" s="245"/>
      <c r="B1087" s="245"/>
      <c r="C1087" s="246"/>
      <c r="D1087" s="245"/>
      <c r="E1087" s="247"/>
      <c r="F1087" s="157"/>
    </row>
    <row r="1088" spans="1:6" s="243" customFormat="1" ht="13.5" customHeight="1" x14ac:dyDescent="0.3">
      <c r="A1088" s="245"/>
      <c r="B1088" s="245"/>
      <c r="C1088" s="246"/>
      <c r="D1088" s="245"/>
      <c r="E1088" s="247"/>
      <c r="F1088" s="157"/>
    </row>
    <row r="1089" spans="1:6" s="243" customFormat="1" ht="13.5" customHeight="1" x14ac:dyDescent="0.3">
      <c r="A1089" s="245"/>
      <c r="B1089" s="245"/>
      <c r="C1089" s="246"/>
      <c r="D1089" s="245"/>
      <c r="E1089" s="247"/>
      <c r="F1089" s="157"/>
    </row>
    <row r="1090" spans="1:6" s="243" customFormat="1" ht="13.5" customHeight="1" x14ac:dyDescent="0.3">
      <c r="A1090" s="245"/>
      <c r="B1090" s="245"/>
      <c r="C1090" s="246"/>
      <c r="D1090" s="245"/>
      <c r="E1090" s="247"/>
      <c r="F1090" s="157"/>
    </row>
    <row r="1091" spans="1:6" s="243" customFormat="1" ht="13.5" customHeight="1" x14ac:dyDescent="0.3">
      <c r="A1091" s="245"/>
      <c r="B1091" s="245"/>
      <c r="C1091" s="246"/>
      <c r="D1091" s="245"/>
      <c r="E1091" s="247"/>
      <c r="F1091" s="157"/>
    </row>
    <row r="1092" spans="1:6" s="243" customFormat="1" ht="13.5" customHeight="1" x14ac:dyDescent="0.3">
      <c r="A1092" s="245"/>
      <c r="B1092" s="245"/>
      <c r="C1092" s="246"/>
      <c r="D1092" s="245"/>
      <c r="E1092" s="247"/>
      <c r="F1092" s="157"/>
    </row>
    <row r="1093" spans="1:6" s="243" customFormat="1" ht="13.5" customHeight="1" x14ac:dyDescent="0.3">
      <c r="A1093" s="245"/>
      <c r="B1093" s="245"/>
      <c r="C1093" s="246"/>
      <c r="D1093" s="245"/>
      <c r="E1093" s="247"/>
      <c r="F1093" s="157"/>
    </row>
    <row r="1094" spans="1:6" s="243" customFormat="1" ht="13.5" customHeight="1" x14ac:dyDescent="0.3">
      <c r="A1094" s="245"/>
      <c r="B1094" s="245"/>
      <c r="C1094" s="246"/>
      <c r="D1094" s="245"/>
      <c r="E1094" s="247"/>
      <c r="F1094" s="157"/>
    </row>
    <row r="1095" spans="1:6" s="243" customFormat="1" ht="13.5" customHeight="1" x14ac:dyDescent="0.3">
      <c r="A1095" s="245"/>
      <c r="B1095" s="245"/>
      <c r="C1095" s="246"/>
      <c r="D1095" s="245"/>
      <c r="E1095" s="247"/>
      <c r="F1095" s="157"/>
    </row>
    <row r="1096" spans="1:6" s="243" customFormat="1" ht="13.5" customHeight="1" x14ac:dyDescent="0.3">
      <c r="A1096" s="245"/>
      <c r="B1096" s="245"/>
      <c r="C1096" s="246"/>
      <c r="D1096" s="245"/>
      <c r="E1096" s="247"/>
      <c r="F1096" s="157"/>
    </row>
    <row r="1097" spans="1:6" s="243" customFormat="1" ht="13.5" customHeight="1" x14ac:dyDescent="0.3">
      <c r="A1097" s="245"/>
      <c r="B1097" s="245"/>
      <c r="C1097" s="246"/>
      <c r="D1097" s="245"/>
      <c r="E1097" s="247"/>
      <c r="F1097" s="157"/>
    </row>
    <row r="1098" spans="1:6" s="243" customFormat="1" ht="13.5" customHeight="1" x14ac:dyDescent="0.3">
      <c r="A1098" s="245"/>
      <c r="B1098" s="245"/>
      <c r="C1098" s="246"/>
      <c r="D1098" s="245"/>
      <c r="E1098" s="247"/>
      <c r="F1098" s="157"/>
    </row>
    <row r="1099" spans="1:6" s="243" customFormat="1" ht="13.5" customHeight="1" x14ac:dyDescent="0.3">
      <c r="A1099" s="245"/>
      <c r="B1099" s="245"/>
      <c r="C1099" s="246"/>
      <c r="D1099" s="245"/>
      <c r="E1099" s="247"/>
      <c r="F1099" s="157"/>
    </row>
    <row r="1100" spans="1:6" s="243" customFormat="1" ht="13.5" customHeight="1" x14ac:dyDescent="0.3">
      <c r="A1100" s="245"/>
      <c r="B1100" s="245"/>
      <c r="C1100" s="246"/>
      <c r="D1100" s="245"/>
      <c r="E1100" s="247"/>
      <c r="F1100" s="157"/>
    </row>
    <row r="1101" spans="1:6" s="243" customFormat="1" ht="13.5" customHeight="1" x14ac:dyDescent="0.3">
      <c r="A1101" s="245"/>
      <c r="B1101" s="245"/>
      <c r="C1101" s="246"/>
      <c r="D1101" s="245"/>
      <c r="E1101" s="247"/>
      <c r="F1101" s="157"/>
    </row>
    <row r="1102" spans="1:6" s="243" customFormat="1" ht="13.5" customHeight="1" x14ac:dyDescent="0.3">
      <c r="A1102" s="245"/>
      <c r="B1102" s="245"/>
      <c r="C1102" s="246"/>
      <c r="D1102" s="245"/>
      <c r="E1102" s="247"/>
      <c r="F1102" s="157"/>
    </row>
    <row r="1103" spans="1:6" s="243" customFormat="1" ht="13.5" customHeight="1" x14ac:dyDescent="0.3">
      <c r="A1103" s="245"/>
      <c r="B1103" s="245"/>
      <c r="C1103" s="246"/>
      <c r="D1103" s="245"/>
      <c r="E1103" s="247"/>
      <c r="F1103" s="157"/>
    </row>
    <row r="1104" spans="1:6" s="243" customFormat="1" ht="13.5" customHeight="1" x14ac:dyDescent="0.3">
      <c r="A1104" s="245"/>
      <c r="B1104" s="245"/>
      <c r="C1104" s="246"/>
      <c r="D1104" s="245"/>
      <c r="E1104" s="247"/>
      <c r="F1104" s="157"/>
    </row>
    <row r="1105" spans="1:6" s="243" customFormat="1" ht="13.5" customHeight="1" x14ac:dyDescent="0.3">
      <c r="A1105" s="245"/>
      <c r="B1105" s="245"/>
      <c r="C1105" s="246"/>
      <c r="D1105" s="245"/>
      <c r="E1105" s="247"/>
      <c r="F1105" s="157"/>
    </row>
    <row r="1106" spans="1:6" s="243" customFormat="1" ht="13.5" customHeight="1" x14ac:dyDescent="0.3">
      <c r="A1106" s="245"/>
      <c r="B1106" s="245"/>
      <c r="C1106" s="246"/>
      <c r="D1106" s="245"/>
      <c r="E1106" s="247"/>
      <c r="F1106" s="157"/>
    </row>
    <row r="1107" spans="1:6" s="243" customFormat="1" ht="13.5" customHeight="1" x14ac:dyDescent="0.3">
      <c r="A1107" s="245"/>
      <c r="B1107" s="245"/>
      <c r="C1107" s="246"/>
      <c r="D1107" s="245"/>
      <c r="E1107" s="247"/>
      <c r="F1107" s="157"/>
    </row>
    <row r="1108" spans="1:6" s="243" customFormat="1" ht="13.5" customHeight="1" x14ac:dyDescent="0.3">
      <c r="A1108" s="245"/>
      <c r="B1108" s="245"/>
      <c r="C1108" s="246"/>
      <c r="D1108" s="245"/>
      <c r="E1108" s="247"/>
      <c r="F1108" s="157"/>
    </row>
    <row r="1109" spans="1:6" s="243" customFormat="1" ht="13.5" customHeight="1" x14ac:dyDescent="0.3">
      <c r="A1109" s="245"/>
      <c r="B1109" s="245"/>
      <c r="C1109" s="246"/>
      <c r="D1109" s="245"/>
      <c r="E1109" s="247"/>
      <c r="F1109" s="157"/>
    </row>
    <row r="1110" spans="1:6" s="243" customFormat="1" ht="13.5" customHeight="1" x14ac:dyDescent="0.3">
      <c r="A1110" s="245"/>
      <c r="B1110" s="245"/>
      <c r="C1110" s="246"/>
      <c r="D1110" s="245"/>
      <c r="E1110" s="247"/>
      <c r="F1110" s="157"/>
    </row>
    <row r="1111" spans="1:6" s="243" customFormat="1" ht="13.5" customHeight="1" x14ac:dyDescent="0.3">
      <c r="A1111" s="245"/>
      <c r="B1111" s="245"/>
      <c r="C1111" s="246"/>
      <c r="D1111" s="245"/>
      <c r="E1111" s="247"/>
      <c r="F1111" s="157"/>
    </row>
    <row r="1112" spans="1:6" s="243" customFormat="1" ht="13.5" customHeight="1" x14ac:dyDescent="0.3">
      <c r="A1112" s="245"/>
      <c r="B1112" s="245"/>
      <c r="C1112" s="246"/>
      <c r="D1112" s="245"/>
      <c r="E1112" s="247"/>
      <c r="F1112" s="157"/>
    </row>
    <row r="1113" spans="1:6" s="243" customFormat="1" ht="13.5" customHeight="1" x14ac:dyDescent="0.3">
      <c r="A1113" s="245"/>
      <c r="B1113" s="245"/>
      <c r="C1113" s="246"/>
      <c r="D1113" s="245"/>
      <c r="E1113" s="247"/>
      <c r="F1113" s="157"/>
    </row>
    <row r="1114" spans="1:6" s="243" customFormat="1" ht="13.5" customHeight="1" x14ac:dyDescent="0.3">
      <c r="A1114" s="245"/>
      <c r="B1114" s="245"/>
      <c r="C1114" s="246"/>
      <c r="D1114" s="245"/>
      <c r="E1114" s="247"/>
      <c r="F1114" s="157"/>
    </row>
    <row r="1115" spans="1:6" s="243" customFormat="1" ht="13.5" customHeight="1" x14ac:dyDescent="0.3">
      <c r="A1115" s="245"/>
      <c r="B1115" s="245"/>
      <c r="C1115" s="246"/>
      <c r="D1115" s="245"/>
      <c r="E1115" s="247"/>
      <c r="F1115" s="157"/>
    </row>
    <row r="1116" spans="1:6" s="243" customFormat="1" ht="13.5" customHeight="1" x14ac:dyDescent="0.3">
      <c r="A1116" s="245"/>
      <c r="B1116" s="245"/>
      <c r="C1116" s="246"/>
      <c r="D1116" s="245"/>
      <c r="E1116" s="247"/>
      <c r="F1116" s="157"/>
    </row>
    <row r="1117" spans="1:6" s="243" customFormat="1" ht="13.5" customHeight="1" x14ac:dyDescent="0.3">
      <c r="A1117" s="245"/>
      <c r="B1117" s="245"/>
      <c r="C1117" s="246"/>
      <c r="D1117" s="245"/>
      <c r="E1117" s="247"/>
      <c r="F1117" s="157"/>
    </row>
    <row r="1118" spans="1:6" s="243" customFormat="1" ht="13.5" customHeight="1" x14ac:dyDescent="0.3">
      <c r="A1118" s="245"/>
      <c r="B1118" s="245"/>
      <c r="C1118" s="246"/>
      <c r="D1118" s="245"/>
      <c r="E1118" s="247"/>
      <c r="F1118" s="157"/>
    </row>
    <row r="1119" spans="1:6" s="243" customFormat="1" ht="13.5" customHeight="1" x14ac:dyDescent="0.3">
      <c r="A1119" s="245"/>
      <c r="B1119" s="245"/>
      <c r="C1119" s="246"/>
      <c r="D1119" s="245"/>
      <c r="E1119" s="247"/>
      <c r="F1119" s="157"/>
    </row>
    <row r="1120" spans="1:6" s="243" customFormat="1" ht="13.5" customHeight="1" x14ac:dyDescent="0.3">
      <c r="A1120" s="245"/>
      <c r="B1120" s="245"/>
      <c r="C1120" s="246"/>
      <c r="D1120" s="245"/>
      <c r="E1120" s="247"/>
      <c r="F1120" s="157"/>
    </row>
    <row r="1121" spans="1:6" s="243" customFormat="1" ht="13.5" customHeight="1" x14ac:dyDescent="0.3">
      <c r="A1121" s="245"/>
      <c r="B1121" s="245"/>
      <c r="C1121" s="246"/>
      <c r="D1121" s="245"/>
      <c r="E1121" s="247"/>
      <c r="F1121" s="157"/>
    </row>
    <row r="1122" spans="1:6" s="243" customFormat="1" ht="13.5" customHeight="1" x14ac:dyDescent="0.3">
      <c r="A1122" s="245"/>
      <c r="B1122" s="245"/>
      <c r="C1122" s="246"/>
      <c r="D1122" s="245"/>
      <c r="E1122" s="247"/>
      <c r="F1122" s="157"/>
    </row>
    <row r="1123" spans="1:6" s="243" customFormat="1" ht="13.5" customHeight="1" x14ac:dyDescent="0.3">
      <c r="A1123" s="245"/>
      <c r="B1123" s="245"/>
      <c r="C1123" s="246"/>
      <c r="D1123" s="245"/>
      <c r="E1123" s="247"/>
      <c r="F1123" s="157"/>
    </row>
    <row r="1124" spans="1:6" s="243" customFormat="1" ht="13.5" customHeight="1" x14ac:dyDescent="0.3">
      <c r="A1124" s="245"/>
      <c r="B1124" s="245"/>
      <c r="C1124" s="246"/>
      <c r="D1124" s="245"/>
      <c r="E1124" s="247"/>
      <c r="F1124" s="157"/>
    </row>
    <row r="1125" spans="1:6" s="243" customFormat="1" ht="13.5" customHeight="1" x14ac:dyDescent="0.3">
      <c r="A1125" s="245"/>
      <c r="B1125" s="245"/>
      <c r="C1125" s="246"/>
      <c r="D1125" s="245"/>
      <c r="E1125" s="247"/>
      <c r="F1125" s="157"/>
    </row>
    <row r="1126" spans="1:6" s="243" customFormat="1" ht="13.5" customHeight="1" x14ac:dyDescent="0.3">
      <c r="A1126" s="245"/>
      <c r="B1126" s="245"/>
      <c r="C1126" s="246"/>
      <c r="D1126" s="245"/>
      <c r="E1126" s="247"/>
      <c r="F1126" s="157"/>
    </row>
    <row r="1127" spans="1:6" s="243" customFormat="1" ht="13.5" customHeight="1" x14ac:dyDescent="0.3">
      <c r="A1127" s="245"/>
      <c r="B1127" s="245"/>
      <c r="C1127" s="246"/>
      <c r="D1127" s="245"/>
      <c r="E1127" s="247"/>
      <c r="F1127" s="157"/>
    </row>
    <row r="1128" spans="1:6" s="243" customFormat="1" ht="13.5" customHeight="1" x14ac:dyDescent="0.3">
      <c r="A1128" s="245"/>
      <c r="B1128" s="245"/>
      <c r="C1128" s="246"/>
      <c r="D1128" s="245"/>
      <c r="E1128" s="247"/>
      <c r="F1128" s="157"/>
    </row>
    <row r="1129" spans="1:6" s="243" customFormat="1" ht="13.5" customHeight="1" x14ac:dyDescent="0.3">
      <c r="A1129" s="245"/>
      <c r="B1129" s="245"/>
      <c r="C1129" s="246"/>
      <c r="D1129" s="245"/>
      <c r="E1129" s="247"/>
      <c r="F1129" s="157"/>
    </row>
    <row r="1130" spans="1:6" s="243" customFormat="1" ht="13.5" customHeight="1" x14ac:dyDescent="0.3">
      <c r="A1130" s="245"/>
      <c r="B1130" s="245"/>
      <c r="C1130" s="246"/>
      <c r="D1130" s="245"/>
      <c r="E1130" s="247"/>
      <c r="F1130" s="157"/>
    </row>
    <row r="1131" spans="1:6" s="243" customFormat="1" ht="13.5" customHeight="1" x14ac:dyDescent="0.3">
      <c r="A1131" s="245"/>
      <c r="B1131" s="245"/>
      <c r="C1131" s="246"/>
      <c r="D1131" s="245"/>
      <c r="E1131" s="247"/>
      <c r="F1131" s="157"/>
    </row>
    <row r="1132" spans="1:6" s="243" customFormat="1" ht="13.5" customHeight="1" x14ac:dyDescent="0.3">
      <c r="A1132" s="245"/>
      <c r="B1132" s="245"/>
      <c r="C1132" s="246"/>
      <c r="D1132" s="245"/>
      <c r="E1132" s="247"/>
      <c r="F1132" s="157"/>
    </row>
    <row r="1133" spans="1:6" s="243" customFormat="1" ht="13.5" customHeight="1" x14ac:dyDescent="0.3">
      <c r="A1133" s="245"/>
      <c r="B1133" s="245"/>
      <c r="C1133" s="246"/>
      <c r="D1133" s="245"/>
      <c r="E1133" s="247"/>
      <c r="F1133" s="157"/>
    </row>
    <row r="1134" spans="1:6" s="243" customFormat="1" ht="13.5" customHeight="1" x14ac:dyDescent="0.3">
      <c r="A1134" s="245"/>
      <c r="B1134" s="245"/>
      <c r="C1134" s="246"/>
      <c r="D1134" s="245"/>
      <c r="E1134" s="247"/>
      <c r="F1134" s="157"/>
    </row>
    <row r="1135" spans="1:6" s="243" customFormat="1" ht="13.5" customHeight="1" x14ac:dyDescent="0.3">
      <c r="A1135" s="245"/>
      <c r="B1135" s="245"/>
      <c r="C1135" s="246"/>
      <c r="D1135" s="245"/>
      <c r="E1135" s="247"/>
      <c r="F1135" s="157"/>
    </row>
    <row r="1136" spans="1:6" s="243" customFormat="1" ht="13.5" customHeight="1" x14ac:dyDescent="0.3">
      <c r="A1136" s="245"/>
      <c r="B1136" s="245"/>
      <c r="C1136" s="246"/>
      <c r="D1136" s="245"/>
      <c r="E1136" s="247"/>
      <c r="F1136" s="157"/>
    </row>
    <row r="1137" spans="1:6" s="243" customFormat="1" ht="13.5" customHeight="1" x14ac:dyDescent="0.3">
      <c r="A1137" s="245"/>
      <c r="B1137" s="245"/>
      <c r="C1137" s="246"/>
      <c r="D1137" s="245"/>
      <c r="E1137" s="247"/>
      <c r="F1137" s="157"/>
    </row>
    <row r="1138" spans="1:6" s="243" customFormat="1" ht="13.5" customHeight="1" x14ac:dyDescent="0.3">
      <c r="A1138" s="245"/>
      <c r="B1138" s="245"/>
      <c r="C1138" s="246"/>
      <c r="D1138" s="245"/>
      <c r="E1138" s="247"/>
      <c r="F1138" s="157"/>
    </row>
    <row r="1139" spans="1:6" s="243" customFormat="1" ht="13.5" customHeight="1" x14ac:dyDescent="0.3">
      <c r="A1139" s="245"/>
      <c r="B1139" s="245"/>
      <c r="C1139" s="246"/>
      <c r="D1139" s="245"/>
      <c r="E1139" s="247"/>
      <c r="F1139" s="157"/>
    </row>
    <row r="1140" spans="1:6" s="243" customFormat="1" ht="13.5" customHeight="1" x14ac:dyDescent="0.3">
      <c r="A1140" s="245"/>
      <c r="B1140" s="245"/>
      <c r="C1140" s="246"/>
      <c r="D1140" s="245"/>
      <c r="E1140" s="247"/>
      <c r="F1140" s="157"/>
    </row>
    <row r="1141" spans="1:6" s="243" customFormat="1" ht="13.5" customHeight="1" x14ac:dyDescent="0.3">
      <c r="A1141" s="245"/>
      <c r="B1141" s="245"/>
      <c r="C1141" s="246"/>
      <c r="D1141" s="245"/>
      <c r="E1141" s="247"/>
      <c r="F1141" s="157"/>
    </row>
    <row r="1142" spans="1:6" s="243" customFormat="1" ht="13.5" customHeight="1" x14ac:dyDescent="0.3">
      <c r="A1142" s="245"/>
      <c r="B1142" s="245"/>
      <c r="C1142" s="246"/>
      <c r="D1142" s="245"/>
      <c r="E1142" s="247"/>
      <c r="F1142" s="157"/>
    </row>
    <row r="1143" spans="1:6" s="243" customFormat="1" ht="13.5" customHeight="1" x14ac:dyDescent="0.3">
      <c r="A1143" s="245"/>
      <c r="B1143" s="245"/>
      <c r="C1143" s="246"/>
      <c r="D1143" s="245"/>
      <c r="E1143" s="247"/>
      <c r="F1143" s="157"/>
    </row>
    <row r="1144" spans="1:6" s="243" customFormat="1" ht="13.5" customHeight="1" x14ac:dyDescent="0.3">
      <c r="A1144" s="245"/>
      <c r="B1144" s="245"/>
      <c r="C1144" s="246"/>
      <c r="D1144" s="245"/>
      <c r="E1144" s="247"/>
      <c r="F1144" s="157"/>
    </row>
    <row r="1145" spans="1:6" s="243" customFormat="1" ht="13.5" customHeight="1" x14ac:dyDescent="0.3">
      <c r="A1145" s="245"/>
      <c r="B1145" s="245"/>
      <c r="C1145" s="246"/>
      <c r="D1145" s="245"/>
      <c r="E1145" s="247"/>
      <c r="F1145" s="157"/>
    </row>
    <row r="1146" spans="1:6" s="243" customFormat="1" ht="13.5" customHeight="1" x14ac:dyDescent="0.3">
      <c r="A1146" s="245"/>
      <c r="B1146" s="245"/>
      <c r="C1146" s="246"/>
      <c r="D1146" s="245"/>
      <c r="E1146" s="247"/>
      <c r="F1146" s="157"/>
    </row>
    <row r="1147" spans="1:6" s="243" customFormat="1" ht="13.5" customHeight="1" x14ac:dyDescent="0.3">
      <c r="A1147" s="245"/>
      <c r="B1147" s="245"/>
      <c r="C1147" s="246"/>
      <c r="D1147" s="245"/>
      <c r="E1147" s="247"/>
      <c r="F1147" s="157"/>
    </row>
    <row r="1148" spans="1:6" s="243" customFormat="1" ht="13.5" customHeight="1" x14ac:dyDescent="0.3">
      <c r="A1148" s="245"/>
      <c r="B1148" s="245"/>
      <c r="C1148" s="246"/>
      <c r="D1148" s="245"/>
      <c r="E1148" s="247"/>
      <c r="F1148" s="157"/>
    </row>
    <row r="1149" spans="1:6" s="243" customFormat="1" ht="13.5" customHeight="1" x14ac:dyDescent="0.3">
      <c r="A1149" s="245"/>
      <c r="B1149" s="245"/>
      <c r="C1149" s="246"/>
      <c r="D1149" s="245"/>
      <c r="E1149" s="247"/>
      <c r="F1149" s="157"/>
    </row>
    <row r="1150" spans="1:6" s="243" customFormat="1" ht="13.5" customHeight="1" x14ac:dyDescent="0.3">
      <c r="A1150" s="245"/>
      <c r="B1150" s="245"/>
      <c r="C1150" s="246"/>
      <c r="D1150" s="245"/>
      <c r="E1150" s="247"/>
      <c r="F1150" s="157"/>
    </row>
    <row r="1151" spans="1:6" s="243" customFormat="1" ht="13.5" customHeight="1" x14ac:dyDescent="0.3">
      <c r="A1151" s="245"/>
      <c r="B1151" s="245"/>
      <c r="C1151" s="246"/>
      <c r="D1151" s="245"/>
      <c r="E1151" s="247"/>
      <c r="F1151" s="157"/>
    </row>
    <row r="1152" spans="1:6" s="243" customFormat="1" ht="13.5" customHeight="1" x14ac:dyDescent="0.3">
      <c r="A1152" s="245"/>
      <c r="B1152" s="245"/>
      <c r="C1152" s="246"/>
      <c r="D1152" s="245"/>
      <c r="E1152" s="247"/>
      <c r="F1152" s="157"/>
    </row>
    <row r="1153" spans="1:6" s="243" customFormat="1" ht="13.5" customHeight="1" x14ac:dyDescent="0.3">
      <c r="A1153" s="245"/>
      <c r="B1153" s="245"/>
      <c r="C1153" s="246"/>
      <c r="D1153" s="245"/>
      <c r="E1153" s="247"/>
      <c r="F1153" s="157"/>
    </row>
    <row r="1154" spans="1:6" s="243" customFormat="1" ht="13.5" customHeight="1" x14ac:dyDescent="0.3">
      <c r="A1154" s="245"/>
      <c r="B1154" s="245"/>
      <c r="C1154" s="246"/>
      <c r="D1154" s="245"/>
      <c r="E1154" s="247"/>
      <c r="F1154" s="157"/>
    </row>
    <row r="1155" spans="1:6" s="243" customFormat="1" ht="13.5" customHeight="1" x14ac:dyDescent="0.3">
      <c r="A1155" s="245"/>
      <c r="B1155" s="245"/>
      <c r="C1155" s="246"/>
      <c r="D1155" s="245"/>
      <c r="E1155" s="247"/>
      <c r="F1155" s="157"/>
    </row>
    <row r="1156" spans="1:6" s="243" customFormat="1" ht="13.5" customHeight="1" x14ac:dyDescent="0.3">
      <c r="A1156" s="245"/>
      <c r="B1156" s="245"/>
      <c r="C1156" s="246"/>
      <c r="D1156" s="245"/>
      <c r="E1156" s="247"/>
      <c r="F1156" s="157"/>
    </row>
    <row r="1157" spans="1:6" s="243" customFormat="1" ht="13.5" customHeight="1" x14ac:dyDescent="0.3">
      <c r="A1157" s="245"/>
      <c r="B1157" s="245"/>
      <c r="C1157" s="246"/>
      <c r="D1157" s="245"/>
      <c r="E1157" s="247"/>
      <c r="F1157" s="157"/>
    </row>
    <row r="1158" spans="1:6" s="243" customFormat="1" ht="13.5" customHeight="1" x14ac:dyDescent="0.3">
      <c r="A1158" s="245"/>
      <c r="B1158" s="245"/>
      <c r="C1158" s="246"/>
      <c r="D1158" s="245"/>
      <c r="E1158" s="247"/>
      <c r="F1158" s="157"/>
    </row>
    <row r="1159" spans="1:6" s="243" customFormat="1" ht="13.5" customHeight="1" x14ac:dyDescent="0.3">
      <c r="A1159" s="245"/>
      <c r="B1159" s="245"/>
      <c r="C1159" s="246"/>
      <c r="D1159" s="245"/>
      <c r="E1159" s="247"/>
      <c r="F1159" s="157"/>
    </row>
    <row r="1160" spans="1:6" s="243" customFormat="1" ht="13.5" customHeight="1" x14ac:dyDescent="0.3">
      <c r="A1160" s="245"/>
      <c r="B1160" s="245"/>
      <c r="C1160" s="246"/>
      <c r="D1160" s="245"/>
      <c r="E1160" s="247"/>
      <c r="F1160" s="157"/>
    </row>
    <row r="1161" spans="1:6" s="243" customFormat="1" ht="13.5" customHeight="1" x14ac:dyDescent="0.3">
      <c r="A1161" s="245"/>
      <c r="B1161" s="245"/>
      <c r="C1161" s="246"/>
      <c r="D1161" s="245"/>
      <c r="E1161" s="247"/>
      <c r="F1161" s="157"/>
    </row>
    <row r="1162" spans="1:6" s="243" customFormat="1" ht="13.5" customHeight="1" x14ac:dyDescent="0.3">
      <c r="A1162" s="245"/>
      <c r="B1162" s="245"/>
      <c r="C1162" s="246"/>
      <c r="D1162" s="245"/>
      <c r="E1162" s="247"/>
      <c r="F1162" s="157"/>
    </row>
    <row r="1163" spans="1:6" s="243" customFormat="1" ht="13.5" customHeight="1" x14ac:dyDescent="0.3">
      <c r="A1163" s="245"/>
      <c r="B1163" s="245"/>
      <c r="C1163" s="246"/>
      <c r="D1163" s="245"/>
      <c r="E1163" s="247"/>
      <c r="F1163" s="157"/>
    </row>
    <row r="1164" spans="1:6" s="243" customFormat="1" ht="13.5" customHeight="1" x14ac:dyDescent="0.3">
      <c r="A1164" s="245"/>
      <c r="B1164" s="245"/>
      <c r="C1164" s="246"/>
      <c r="D1164" s="245"/>
      <c r="E1164" s="247"/>
      <c r="F1164" s="157"/>
    </row>
    <row r="1165" spans="1:6" s="243" customFormat="1" ht="13.5" customHeight="1" x14ac:dyDescent="0.3">
      <c r="A1165" s="245"/>
      <c r="B1165" s="245"/>
      <c r="C1165" s="246"/>
      <c r="D1165" s="245"/>
      <c r="E1165" s="247"/>
      <c r="F1165" s="157"/>
    </row>
    <row r="1166" spans="1:6" s="243" customFormat="1" ht="13.5" customHeight="1" x14ac:dyDescent="0.3">
      <c r="A1166" s="245"/>
      <c r="B1166" s="245"/>
      <c r="C1166" s="246"/>
      <c r="D1166" s="245"/>
      <c r="E1166" s="247"/>
      <c r="F1166" s="157"/>
    </row>
    <row r="1167" spans="1:6" s="243" customFormat="1" ht="13.5" customHeight="1" x14ac:dyDescent="0.3">
      <c r="A1167" s="245"/>
      <c r="B1167" s="245"/>
      <c r="C1167" s="246"/>
      <c r="D1167" s="245"/>
      <c r="E1167" s="247"/>
      <c r="F1167" s="157"/>
    </row>
    <row r="1168" spans="1:6" s="243" customFormat="1" ht="13.5" customHeight="1" x14ac:dyDescent="0.3">
      <c r="A1168" s="245"/>
      <c r="B1168" s="245"/>
      <c r="C1168" s="246"/>
      <c r="D1168" s="245"/>
      <c r="E1168" s="247"/>
      <c r="F1168" s="157"/>
    </row>
    <row r="1169" spans="1:6" s="243" customFormat="1" ht="13.5" customHeight="1" x14ac:dyDescent="0.3">
      <c r="A1169" s="245"/>
      <c r="B1169" s="245"/>
      <c r="C1169" s="246"/>
      <c r="D1169" s="245"/>
      <c r="E1169" s="247"/>
      <c r="F1169" s="157"/>
    </row>
    <row r="1170" spans="1:6" s="243" customFormat="1" ht="13.5" customHeight="1" x14ac:dyDescent="0.3">
      <c r="A1170" s="245"/>
      <c r="B1170" s="245"/>
      <c r="C1170" s="246"/>
      <c r="D1170" s="245"/>
      <c r="E1170" s="247"/>
      <c r="F1170" s="157"/>
    </row>
    <row r="1171" spans="1:6" s="243" customFormat="1" ht="13.5" customHeight="1" x14ac:dyDescent="0.3">
      <c r="A1171" s="245"/>
      <c r="B1171" s="245"/>
      <c r="C1171" s="246"/>
      <c r="D1171" s="245"/>
      <c r="E1171" s="247"/>
      <c r="F1171" s="157"/>
    </row>
    <row r="1172" spans="1:6" s="243" customFormat="1" ht="13.5" customHeight="1" x14ac:dyDescent="0.3">
      <c r="A1172" s="245"/>
      <c r="B1172" s="245"/>
      <c r="C1172" s="246"/>
      <c r="D1172" s="245"/>
      <c r="E1172" s="247"/>
      <c r="F1172" s="157"/>
    </row>
    <row r="1173" spans="1:6" s="243" customFormat="1" ht="13.5" customHeight="1" x14ac:dyDescent="0.3">
      <c r="A1173" s="245"/>
      <c r="B1173" s="245"/>
      <c r="C1173" s="246"/>
      <c r="D1173" s="245"/>
      <c r="E1173" s="247"/>
      <c r="F1173" s="157"/>
    </row>
    <row r="1174" spans="1:6" s="243" customFormat="1" ht="13.5" customHeight="1" x14ac:dyDescent="0.3">
      <c r="A1174" s="245"/>
      <c r="B1174" s="245"/>
      <c r="C1174" s="246"/>
      <c r="D1174" s="245"/>
      <c r="E1174" s="247"/>
      <c r="F1174" s="157"/>
    </row>
    <row r="1175" spans="1:6" s="243" customFormat="1" ht="13.5" customHeight="1" x14ac:dyDescent="0.3">
      <c r="A1175" s="245"/>
      <c r="B1175" s="245"/>
      <c r="C1175" s="246"/>
      <c r="D1175" s="245"/>
      <c r="E1175" s="247"/>
      <c r="F1175" s="157"/>
    </row>
    <row r="1176" spans="1:6" s="243" customFormat="1" ht="13.5" customHeight="1" x14ac:dyDescent="0.3">
      <c r="A1176" s="245"/>
      <c r="B1176" s="245"/>
      <c r="C1176" s="246"/>
      <c r="D1176" s="245"/>
      <c r="E1176" s="247"/>
      <c r="F1176" s="157"/>
    </row>
    <row r="1177" spans="1:6" s="243" customFormat="1" ht="13.5" customHeight="1" x14ac:dyDescent="0.3">
      <c r="A1177" s="245"/>
      <c r="B1177" s="245"/>
      <c r="C1177" s="246"/>
      <c r="D1177" s="245"/>
      <c r="E1177" s="247"/>
      <c r="F1177" s="157"/>
    </row>
    <row r="1178" spans="1:6" s="243" customFormat="1" ht="13.5" customHeight="1" x14ac:dyDescent="0.3">
      <c r="A1178" s="245"/>
      <c r="B1178" s="245"/>
      <c r="C1178" s="246"/>
      <c r="D1178" s="245"/>
      <c r="E1178" s="247"/>
      <c r="F1178" s="157"/>
    </row>
    <row r="1179" spans="1:6" s="243" customFormat="1" ht="13.5" customHeight="1" x14ac:dyDescent="0.3">
      <c r="A1179" s="245"/>
      <c r="B1179" s="245"/>
      <c r="C1179" s="246"/>
      <c r="D1179" s="245"/>
      <c r="E1179" s="247"/>
      <c r="F1179" s="157"/>
    </row>
    <row r="1180" spans="1:6" s="243" customFormat="1" ht="13.5" customHeight="1" x14ac:dyDescent="0.3">
      <c r="A1180" s="245"/>
      <c r="B1180" s="245"/>
      <c r="C1180" s="246"/>
      <c r="D1180" s="245"/>
      <c r="E1180" s="247"/>
      <c r="F1180" s="157"/>
    </row>
    <row r="1181" spans="1:6" s="243" customFormat="1" ht="13.5" customHeight="1" x14ac:dyDescent="0.3">
      <c r="A1181" s="245"/>
      <c r="B1181" s="245"/>
      <c r="C1181" s="246"/>
      <c r="D1181" s="245"/>
      <c r="E1181" s="247"/>
      <c r="F1181" s="157"/>
    </row>
    <row r="1182" spans="1:6" s="243" customFormat="1" ht="13.5" customHeight="1" x14ac:dyDescent="0.3">
      <c r="A1182" s="245"/>
      <c r="B1182" s="245"/>
      <c r="C1182" s="246"/>
      <c r="D1182" s="245"/>
      <c r="E1182" s="247"/>
      <c r="F1182" s="157"/>
    </row>
    <row r="1183" spans="1:6" s="243" customFormat="1" ht="13.5" customHeight="1" x14ac:dyDescent="0.3">
      <c r="A1183" s="245"/>
      <c r="B1183" s="245"/>
      <c r="C1183" s="246"/>
      <c r="D1183" s="245"/>
      <c r="E1183" s="247"/>
      <c r="F1183" s="157"/>
    </row>
    <row r="1184" spans="1:6" s="243" customFormat="1" ht="13.5" customHeight="1" x14ac:dyDescent="0.3">
      <c r="A1184" s="245"/>
      <c r="B1184" s="245"/>
      <c r="C1184" s="246"/>
      <c r="D1184" s="245"/>
      <c r="E1184" s="247"/>
      <c r="F1184" s="157"/>
    </row>
    <row r="1185" spans="1:6" s="243" customFormat="1" ht="13.5" customHeight="1" x14ac:dyDescent="0.3">
      <c r="A1185" s="245"/>
      <c r="B1185" s="245"/>
      <c r="C1185" s="246"/>
      <c r="D1185" s="245"/>
      <c r="E1185" s="247"/>
      <c r="F1185" s="157"/>
    </row>
    <row r="1186" spans="1:6" s="243" customFormat="1" ht="13.5" customHeight="1" x14ac:dyDescent="0.3">
      <c r="A1186" s="245"/>
      <c r="B1186" s="245"/>
      <c r="C1186" s="246"/>
      <c r="D1186" s="245"/>
      <c r="E1186" s="247"/>
      <c r="F1186" s="157"/>
    </row>
    <row r="1187" spans="1:6" s="243" customFormat="1" ht="13.5" customHeight="1" x14ac:dyDescent="0.3">
      <c r="A1187" s="245"/>
      <c r="B1187" s="245"/>
      <c r="C1187" s="246"/>
      <c r="D1187" s="245"/>
      <c r="E1187" s="247"/>
      <c r="F1187" s="157"/>
    </row>
    <row r="1188" spans="1:6" s="243" customFormat="1" ht="13.5" customHeight="1" x14ac:dyDescent="0.3">
      <c r="A1188" s="245"/>
      <c r="B1188" s="245"/>
      <c r="C1188" s="246"/>
      <c r="D1188" s="245"/>
      <c r="E1188" s="247"/>
      <c r="F1188" s="157"/>
    </row>
    <row r="1189" spans="1:6" s="243" customFormat="1" ht="13.5" customHeight="1" x14ac:dyDescent="0.3">
      <c r="A1189" s="245"/>
      <c r="B1189" s="245"/>
      <c r="C1189" s="246"/>
      <c r="D1189" s="245"/>
      <c r="E1189" s="247"/>
      <c r="F1189" s="157"/>
    </row>
    <row r="1190" spans="1:6" s="243" customFormat="1" ht="13.5" customHeight="1" x14ac:dyDescent="0.3">
      <c r="A1190" s="245"/>
      <c r="B1190" s="245"/>
      <c r="C1190" s="246"/>
      <c r="D1190" s="245"/>
      <c r="E1190" s="247"/>
      <c r="F1190" s="157"/>
    </row>
    <row r="1191" spans="1:6" s="243" customFormat="1" ht="13.5" customHeight="1" x14ac:dyDescent="0.3">
      <c r="A1191" s="245"/>
      <c r="B1191" s="245"/>
      <c r="C1191" s="246"/>
      <c r="D1191" s="245"/>
      <c r="E1191" s="247"/>
      <c r="F1191" s="157"/>
    </row>
    <row r="1192" spans="1:6" s="243" customFormat="1" ht="13.5" customHeight="1" x14ac:dyDescent="0.3">
      <c r="A1192" s="245"/>
      <c r="B1192" s="245"/>
      <c r="C1192" s="246"/>
      <c r="D1192" s="245"/>
      <c r="E1192" s="247"/>
      <c r="F1192" s="157"/>
    </row>
    <row r="1193" spans="1:6" s="243" customFormat="1" ht="13.5" customHeight="1" x14ac:dyDescent="0.3">
      <c r="A1193" s="245"/>
      <c r="B1193" s="245"/>
      <c r="C1193" s="246"/>
      <c r="D1193" s="245"/>
      <c r="E1193" s="247"/>
      <c r="F1193" s="157"/>
    </row>
    <row r="1194" spans="1:6" s="243" customFormat="1" ht="13.5" customHeight="1" x14ac:dyDescent="0.3">
      <c r="A1194" s="245"/>
      <c r="B1194" s="245"/>
      <c r="C1194" s="246"/>
      <c r="D1194" s="245"/>
      <c r="E1194" s="247"/>
      <c r="F1194" s="157"/>
    </row>
    <row r="1195" spans="1:6" s="243" customFormat="1" ht="13.5" customHeight="1" x14ac:dyDescent="0.3">
      <c r="A1195" s="245"/>
      <c r="B1195" s="245"/>
      <c r="C1195" s="246"/>
      <c r="D1195" s="245"/>
      <c r="E1195" s="247"/>
      <c r="F1195" s="157"/>
    </row>
    <row r="1196" spans="1:6" s="243" customFormat="1" ht="13.5" customHeight="1" x14ac:dyDescent="0.3">
      <c r="A1196" s="245"/>
      <c r="B1196" s="245"/>
      <c r="C1196" s="246"/>
      <c r="D1196" s="245"/>
      <c r="E1196" s="247"/>
      <c r="F1196" s="157"/>
    </row>
    <row r="1197" spans="1:6" s="243" customFormat="1" ht="13.5" customHeight="1" x14ac:dyDescent="0.3">
      <c r="A1197" s="245"/>
      <c r="B1197" s="245"/>
      <c r="C1197" s="246"/>
      <c r="D1197" s="245"/>
      <c r="E1197" s="247"/>
      <c r="F1197" s="157"/>
    </row>
    <row r="1198" spans="1:6" s="243" customFormat="1" ht="13.5" customHeight="1" x14ac:dyDescent="0.3">
      <c r="A1198" s="245"/>
      <c r="B1198" s="245"/>
      <c r="C1198" s="246"/>
      <c r="D1198" s="245"/>
      <c r="E1198" s="247"/>
      <c r="F1198" s="157"/>
    </row>
    <row r="1199" spans="1:6" s="243" customFormat="1" ht="13.5" customHeight="1" x14ac:dyDescent="0.3">
      <c r="A1199" s="245"/>
      <c r="B1199" s="245"/>
      <c r="C1199" s="246"/>
      <c r="D1199" s="245"/>
      <c r="E1199" s="247"/>
      <c r="F1199" s="157"/>
    </row>
    <row r="1200" spans="1:6" s="243" customFormat="1" ht="13.5" customHeight="1" x14ac:dyDescent="0.3">
      <c r="A1200" s="245"/>
      <c r="B1200" s="245"/>
      <c r="C1200" s="246"/>
      <c r="D1200" s="245"/>
      <c r="E1200" s="247"/>
      <c r="F1200" s="157"/>
    </row>
    <row r="1201" spans="1:6" s="243" customFormat="1" ht="13.5" customHeight="1" x14ac:dyDescent="0.3">
      <c r="A1201" s="245"/>
      <c r="B1201" s="245"/>
      <c r="C1201" s="246"/>
      <c r="D1201" s="245"/>
      <c r="E1201" s="247"/>
      <c r="F1201" s="157"/>
    </row>
    <row r="1202" spans="1:6" s="243" customFormat="1" ht="13.5" customHeight="1" x14ac:dyDescent="0.3">
      <c r="A1202" s="245"/>
      <c r="B1202" s="245"/>
      <c r="C1202" s="246"/>
      <c r="D1202" s="245"/>
      <c r="E1202" s="247"/>
      <c r="F1202" s="157"/>
    </row>
    <row r="1203" spans="1:6" s="243" customFormat="1" ht="13.5" customHeight="1" x14ac:dyDescent="0.3">
      <c r="A1203" s="245"/>
      <c r="B1203" s="245"/>
      <c r="C1203" s="246"/>
      <c r="D1203" s="245"/>
      <c r="E1203" s="247"/>
      <c r="F1203" s="157"/>
    </row>
    <row r="1204" spans="1:6" s="243" customFormat="1" ht="13.5" customHeight="1" x14ac:dyDescent="0.3">
      <c r="A1204" s="245"/>
      <c r="B1204" s="245"/>
      <c r="C1204" s="246"/>
      <c r="D1204" s="245"/>
      <c r="E1204" s="247"/>
      <c r="F1204" s="157"/>
    </row>
    <row r="1205" spans="1:6" s="243" customFormat="1" ht="13.5" customHeight="1" x14ac:dyDescent="0.3">
      <c r="A1205" s="245"/>
      <c r="B1205" s="245"/>
      <c r="C1205" s="246"/>
      <c r="D1205" s="245"/>
      <c r="E1205" s="247"/>
      <c r="F1205" s="157"/>
    </row>
    <row r="1206" spans="1:6" s="243" customFormat="1" ht="13.5" customHeight="1" x14ac:dyDescent="0.3">
      <c r="A1206" s="245"/>
      <c r="B1206" s="245"/>
      <c r="C1206" s="246"/>
      <c r="D1206" s="245"/>
      <c r="E1206" s="247"/>
      <c r="F1206" s="157"/>
    </row>
    <row r="1207" spans="1:6" s="243" customFormat="1" ht="13.5" customHeight="1" x14ac:dyDescent="0.3">
      <c r="A1207" s="245"/>
      <c r="B1207" s="245"/>
      <c r="C1207" s="246"/>
      <c r="D1207" s="245"/>
      <c r="E1207" s="247"/>
      <c r="F1207" s="157"/>
    </row>
    <row r="1208" spans="1:6" s="243" customFormat="1" ht="13.5" customHeight="1" x14ac:dyDescent="0.3">
      <c r="A1208" s="245"/>
      <c r="B1208" s="245"/>
      <c r="C1208" s="246"/>
      <c r="D1208" s="245"/>
      <c r="E1208" s="247"/>
      <c r="F1208" s="157"/>
    </row>
    <row r="1209" spans="1:6" s="243" customFormat="1" ht="13.5" customHeight="1" x14ac:dyDescent="0.3">
      <c r="A1209" s="245"/>
      <c r="B1209" s="245"/>
      <c r="C1209" s="246"/>
      <c r="D1209" s="245"/>
      <c r="E1209" s="247"/>
      <c r="F1209" s="157"/>
    </row>
    <row r="1210" spans="1:6" s="243" customFormat="1" ht="13.5" customHeight="1" x14ac:dyDescent="0.3">
      <c r="A1210" s="245"/>
      <c r="B1210" s="245"/>
      <c r="C1210" s="246"/>
      <c r="D1210" s="245"/>
      <c r="E1210" s="247"/>
      <c r="F1210" s="157"/>
    </row>
    <row r="1211" spans="1:6" s="243" customFormat="1" ht="13.5" customHeight="1" x14ac:dyDescent="0.3">
      <c r="A1211" s="245"/>
      <c r="B1211" s="245"/>
      <c r="C1211" s="246"/>
      <c r="D1211" s="245"/>
      <c r="E1211" s="247"/>
      <c r="F1211" s="157"/>
    </row>
    <row r="1212" spans="1:6" s="243" customFormat="1" ht="13.5" customHeight="1" x14ac:dyDescent="0.3">
      <c r="A1212" s="245"/>
      <c r="B1212" s="245"/>
      <c r="C1212" s="246"/>
      <c r="D1212" s="245"/>
      <c r="E1212" s="247"/>
      <c r="F1212" s="157"/>
    </row>
    <row r="1213" spans="1:6" s="243" customFormat="1" ht="13.5" customHeight="1" x14ac:dyDescent="0.3">
      <c r="A1213" s="245"/>
      <c r="B1213" s="245"/>
      <c r="C1213" s="246"/>
      <c r="D1213" s="245"/>
      <c r="E1213" s="247"/>
      <c r="F1213" s="157"/>
    </row>
    <row r="1214" spans="1:6" s="243" customFormat="1" ht="13.5" customHeight="1" x14ac:dyDescent="0.3">
      <c r="A1214" s="245"/>
      <c r="B1214" s="245"/>
      <c r="C1214" s="246"/>
      <c r="D1214" s="245"/>
      <c r="E1214" s="247"/>
      <c r="F1214" s="157"/>
    </row>
    <row r="1215" spans="1:6" s="243" customFormat="1" ht="13.5" customHeight="1" x14ac:dyDescent="0.3">
      <c r="A1215" s="245"/>
      <c r="B1215" s="245"/>
      <c r="C1215" s="246"/>
      <c r="D1215" s="245"/>
      <c r="E1215" s="247"/>
      <c r="F1215" s="157"/>
    </row>
    <row r="1216" spans="1:6" s="243" customFormat="1" ht="13.5" customHeight="1" x14ac:dyDescent="0.3">
      <c r="A1216" s="245"/>
      <c r="B1216" s="245"/>
      <c r="C1216" s="246"/>
      <c r="D1216" s="245"/>
      <c r="E1216" s="247"/>
      <c r="F1216" s="157"/>
    </row>
    <row r="1217" spans="1:6" s="243" customFormat="1" ht="13.5" customHeight="1" x14ac:dyDescent="0.3">
      <c r="A1217" s="245"/>
      <c r="B1217" s="245"/>
      <c r="C1217" s="246"/>
      <c r="D1217" s="245"/>
      <c r="E1217" s="247"/>
      <c r="F1217" s="157"/>
    </row>
    <row r="1218" spans="1:6" s="243" customFormat="1" ht="13.5" customHeight="1" x14ac:dyDescent="0.3">
      <c r="A1218" s="245"/>
      <c r="B1218" s="245"/>
      <c r="C1218" s="246"/>
      <c r="D1218" s="245"/>
      <c r="E1218" s="247"/>
      <c r="F1218" s="157"/>
    </row>
    <row r="1219" spans="1:6" s="243" customFormat="1" ht="13.5" customHeight="1" x14ac:dyDescent="0.3">
      <c r="A1219" s="245"/>
      <c r="B1219" s="245"/>
      <c r="C1219" s="246"/>
      <c r="D1219" s="245"/>
      <c r="E1219" s="247"/>
      <c r="F1219" s="157"/>
    </row>
    <row r="1220" spans="1:6" s="243" customFormat="1" ht="13.5" customHeight="1" x14ac:dyDescent="0.3">
      <c r="A1220" s="245"/>
      <c r="B1220" s="245"/>
      <c r="C1220" s="246"/>
      <c r="D1220" s="245"/>
      <c r="E1220" s="247"/>
      <c r="F1220" s="157"/>
    </row>
    <row r="1221" spans="1:6" s="243" customFormat="1" ht="13.5" customHeight="1" x14ac:dyDescent="0.3">
      <c r="A1221" s="245"/>
      <c r="B1221" s="245"/>
      <c r="C1221" s="246"/>
      <c r="D1221" s="245"/>
      <c r="E1221" s="247"/>
      <c r="F1221" s="157"/>
    </row>
    <row r="1222" spans="1:6" s="243" customFormat="1" ht="13.5" customHeight="1" x14ac:dyDescent="0.3">
      <c r="A1222" s="245"/>
      <c r="B1222" s="245"/>
      <c r="C1222" s="246"/>
      <c r="D1222" s="245"/>
      <c r="E1222" s="247"/>
      <c r="F1222" s="157"/>
    </row>
    <row r="1223" spans="1:6" s="243" customFormat="1" ht="13.5" customHeight="1" x14ac:dyDescent="0.3">
      <c r="A1223" s="245"/>
      <c r="B1223" s="245"/>
      <c r="C1223" s="246"/>
      <c r="D1223" s="245"/>
      <c r="E1223" s="247"/>
      <c r="F1223" s="157"/>
    </row>
    <row r="1224" spans="1:6" s="243" customFormat="1" ht="13.5" customHeight="1" x14ac:dyDescent="0.3">
      <c r="A1224" s="245"/>
      <c r="B1224" s="245"/>
      <c r="C1224" s="246"/>
      <c r="D1224" s="245"/>
      <c r="E1224" s="247"/>
      <c r="F1224" s="157"/>
    </row>
    <row r="1225" spans="1:6" s="243" customFormat="1" ht="13.5" customHeight="1" x14ac:dyDescent="0.3">
      <c r="A1225" s="245"/>
      <c r="B1225" s="245"/>
      <c r="C1225" s="246"/>
      <c r="D1225" s="245"/>
      <c r="E1225" s="247"/>
      <c r="F1225" s="157"/>
    </row>
    <row r="1226" spans="1:6" s="243" customFormat="1" ht="13.5" customHeight="1" x14ac:dyDescent="0.3">
      <c r="A1226" s="245"/>
      <c r="B1226" s="245"/>
      <c r="C1226" s="246"/>
      <c r="D1226" s="245"/>
      <c r="E1226" s="247"/>
      <c r="F1226" s="157"/>
    </row>
    <row r="1227" spans="1:6" s="243" customFormat="1" ht="13.5" customHeight="1" x14ac:dyDescent="0.3">
      <c r="A1227" s="245"/>
      <c r="B1227" s="245"/>
      <c r="C1227" s="246"/>
      <c r="D1227" s="245"/>
      <c r="E1227" s="247"/>
      <c r="F1227" s="157"/>
    </row>
    <row r="1228" spans="1:6" s="243" customFormat="1" ht="13.5" customHeight="1" x14ac:dyDescent="0.3">
      <c r="A1228" s="245"/>
      <c r="B1228" s="245"/>
      <c r="C1228" s="246"/>
      <c r="D1228" s="245"/>
      <c r="E1228" s="247"/>
      <c r="F1228" s="157"/>
    </row>
    <row r="1229" spans="1:6" s="243" customFormat="1" ht="13.5" customHeight="1" x14ac:dyDescent="0.3">
      <c r="A1229" s="245"/>
      <c r="B1229" s="245"/>
      <c r="C1229" s="246"/>
      <c r="D1229" s="245"/>
      <c r="E1229" s="247"/>
      <c r="F1229" s="157"/>
    </row>
    <row r="1230" spans="1:6" s="243" customFormat="1" ht="13.5" customHeight="1" x14ac:dyDescent="0.3">
      <c r="A1230" s="245"/>
      <c r="B1230" s="245"/>
      <c r="C1230" s="246"/>
      <c r="D1230" s="245"/>
      <c r="E1230" s="247"/>
      <c r="F1230" s="157"/>
    </row>
    <row r="1231" spans="1:6" s="243" customFormat="1" ht="13.5" customHeight="1" x14ac:dyDescent="0.3">
      <c r="A1231" s="245"/>
      <c r="B1231" s="245"/>
      <c r="C1231" s="246"/>
      <c r="D1231" s="245"/>
      <c r="E1231" s="247"/>
      <c r="F1231" s="157"/>
    </row>
    <row r="1232" spans="1:6" s="243" customFormat="1" ht="13.5" customHeight="1" x14ac:dyDescent="0.3">
      <c r="A1232" s="245"/>
      <c r="B1232" s="245"/>
      <c r="C1232" s="246"/>
      <c r="D1232" s="245"/>
      <c r="E1232" s="247"/>
      <c r="F1232" s="157"/>
    </row>
    <row r="1233" spans="1:6" s="243" customFormat="1" ht="13.5" customHeight="1" x14ac:dyDescent="0.3">
      <c r="A1233" s="245"/>
      <c r="B1233" s="245"/>
      <c r="C1233" s="246"/>
      <c r="D1233" s="245"/>
      <c r="E1233" s="247"/>
      <c r="F1233" s="157"/>
    </row>
    <row r="1234" spans="1:6" s="243" customFormat="1" ht="13.5" customHeight="1" x14ac:dyDescent="0.3">
      <c r="A1234" s="245"/>
      <c r="B1234" s="245"/>
      <c r="C1234" s="246"/>
      <c r="D1234" s="245"/>
      <c r="E1234" s="247"/>
      <c r="F1234" s="157"/>
    </row>
    <row r="1235" spans="1:6" s="243" customFormat="1" ht="13.5" customHeight="1" x14ac:dyDescent="0.3">
      <c r="A1235" s="245"/>
      <c r="B1235" s="245"/>
      <c r="C1235" s="246"/>
      <c r="D1235" s="245"/>
      <c r="E1235" s="247"/>
      <c r="F1235" s="157"/>
    </row>
    <row r="1236" spans="1:6" s="243" customFormat="1" ht="13.5" customHeight="1" x14ac:dyDescent="0.3">
      <c r="A1236" s="245"/>
      <c r="B1236" s="245"/>
      <c r="C1236" s="246"/>
      <c r="D1236" s="245"/>
      <c r="E1236" s="247"/>
      <c r="F1236" s="157"/>
    </row>
    <row r="1237" spans="1:6" s="243" customFormat="1" ht="13.5" customHeight="1" x14ac:dyDescent="0.3">
      <c r="A1237" s="245"/>
      <c r="B1237" s="245"/>
      <c r="C1237" s="246"/>
      <c r="D1237" s="245"/>
      <c r="E1237" s="247"/>
      <c r="F1237" s="157"/>
    </row>
    <row r="1238" spans="1:6" s="243" customFormat="1" ht="13.5" customHeight="1" x14ac:dyDescent="0.3">
      <c r="A1238" s="245"/>
      <c r="B1238" s="245"/>
      <c r="C1238" s="246"/>
      <c r="D1238" s="245"/>
      <c r="E1238" s="247"/>
      <c r="F1238" s="157"/>
    </row>
    <row r="1239" spans="1:6" s="243" customFormat="1" ht="13.5" customHeight="1" x14ac:dyDescent="0.3">
      <c r="A1239" s="245"/>
      <c r="B1239" s="245"/>
      <c r="C1239" s="246"/>
      <c r="D1239" s="245"/>
      <c r="E1239" s="247"/>
      <c r="F1239" s="157"/>
    </row>
    <row r="1240" spans="1:6" s="243" customFormat="1" ht="13.5" customHeight="1" x14ac:dyDescent="0.3">
      <c r="A1240" s="245"/>
      <c r="B1240" s="245"/>
      <c r="C1240" s="246"/>
      <c r="D1240" s="245"/>
      <c r="E1240" s="247"/>
      <c r="F1240" s="157"/>
    </row>
    <row r="1241" spans="1:6" s="243" customFormat="1" ht="13.5" customHeight="1" x14ac:dyDescent="0.3">
      <c r="A1241" s="245"/>
      <c r="B1241" s="245"/>
      <c r="C1241" s="246"/>
      <c r="D1241" s="245"/>
      <c r="E1241" s="247"/>
      <c r="F1241" s="157"/>
    </row>
    <row r="1242" spans="1:6" s="243" customFormat="1" ht="13.5" customHeight="1" x14ac:dyDescent="0.3">
      <c r="A1242" s="245"/>
      <c r="B1242" s="245"/>
      <c r="C1242" s="246"/>
      <c r="D1242" s="245"/>
      <c r="E1242" s="247"/>
      <c r="F1242" s="157"/>
    </row>
    <row r="1243" spans="1:6" s="243" customFormat="1" ht="13.5" customHeight="1" x14ac:dyDescent="0.3">
      <c r="A1243" s="245"/>
      <c r="B1243" s="245"/>
      <c r="C1243" s="246"/>
      <c r="D1243" s="245"/>
      <c r="E1243" s="247"/>
      <c r="F1243" s="157"/>
    </row>
    <row r="1244" spans="1:6" s="243" customFormat="1" ht="13.5" customHeight="1" x14ac:dyDescent="0.3">
      <c r="A1244" s="245"/>
      <c r="B1244" s="245"/>
      <c r="C1244" s="246"/>
      <c r="D1244" s="245"/>
      <c r="E1244" s="247"/>
      <c r="F1244" s="157"/>
    </row>
    <row r="1245" spans="1:6" s="243" customFormat="1" ht="13.5" customHeight="1" x14ac:dyDescent="0.3">
      <c r="A1245" s="245"/>
      <c r="B1245" s="245"/>
      <c r="C1245" s="246"/>
      <c r="D1245" s="245"/>
      <c r="E1245" s="247"/>
      <c r="F1245" s="157"/>
    </row>
    <row r="1246" spans="1:6" s="243" customFormat="1" ht="13.5" customHeight="1" x14ac:dyDescent="0.3">
      <c r="A1246" s="245"/>
      <c r="B1246" s="245"/>
      <c r="C1246" s="246"/>
      <c r="D1246" s="245"/>
      <c r="E1246" s="247"/>
      <c r="F1246" s="157"/>
    </row>
    <row r="1247" spans="1:6" s="243" customFormat="1" ht="13.5" customHeight="1" x14ac:dyDescent="0.3">
      <c r="A1247" s="245"/>
      <c r="B1247" s="245"/>
      <c r="C1247" s="246"/>
      <c r="D1247" s="245"/>
      <c r="E1247" s="247"/>
      <c r="F1247" s="157"/>
    </row>
    <row r="1248" spans="1:6" s="243" customFormat="1" ht="13.5" customHeight="1" x14ac:dyDescent="0.3">
      <c r="A1248" s="245"/>
      <c r="B1248" s="245"/>
      <c r="C1248" s="246"/>
      <c r="D1248" s="245"/>
      <c r="E1248" s="247"/>
      <c r="F1248" s="157"/>
    </row>
    <row r="1249" spans="1:6" s="243" customFormat="1" ht="13.5" customHeight="1" x14ac:dyDescent="0.3">
      <c r="A1249" s="245"/>
      <c r="B1249" s="245"/>
      <c r="C1249" s="246"/>
      <c r="D1249" s="245"/>
      <c r="E1249" s="247"/>
      <c r="F1249" s="157"/>
    </row>
    <row r="1250" spans="1:6" s="243" customFormat="1" ht="13.5" customHeight="1" x14ac:dyDescent="0.3">
      <c r="A1250" s="245"/>
      <c r="B1250" s="245"/>
      <c r="C1250" s="246"/>
      <c r="D1250" s="245"/>
      <c r="E1250" s="247"/>
      <c r="F1250" s="157"/>
    </row>
    <row r="1251" spans="1:6" s="243" customFormat="1" ht="13.5" customHeight="1" x14ac:dyDescent="0.3">
      <c r="A1251" s="245"/>
      <c r="B1251" s="245"/>
      <c r="C1251" s="246"/>
      <c r="D1251" s="245"/>
      <c r="E1251" s="247"/>
      <c r="F1251" s="157"/>
    </row>
    <row r="1252" spans="1:6" s="243" customFormat="1" ht="13.5" customHeight="1" x14ac:dyDescent="0.3">
      <c r="A1252" s="245"/>
      <c r="B1252" s="245"/>
      <c r="C1252" s="246"/>
      <c r="D1252" s="245"/>
      <c r="E1252" s="247"/>
      <c r="F1252" s="157"/>
    </row>
    <row r="1253" spans="1:6" s="243" customFormat="1" ht="13.5" customHeight="1" x14ac:dyDescent="0.3">
      <c r="A1253" s="245"/>
      <c r="B1253" s="245"/>
      <c r="C1253" s="246"/>
      <c r="D1253" s="245"/>
      <c r="E1253" s="247"/>
      <c r="F1253" s="157"/>
    </row>
    <row r="1254" spans="1:6" s="243" customFormat="1" ht="13.5" customHeight="1" x14ac:dyDescent="0.3">
      <c r="A1254" s="245"/>
      <c r="B1254" s="245"/>
      <c r="C1254" s="246"/>
      <c r="D1254" s="245"/>
      <c r="E1254" s="247"/>
      <c r="F1254" s="157"/>
    </row>
    <row r="1255" spans="1:6" s="243" customFormat="1" ht="13.5" customHeight="1" x14ac:dyDescent="0.3">
      <c r="A1255" s="245"/>
      <c r="B1255" s="245"/>
      <c r="C1255" s="246"/>
      <c r="D1255" s="245"/>
      <c r="E1255" s="247"/>
      <c r="F1255" s="157"/>
    </row>
    <row r="1256" spans="1:6" s="243" customFormat="1" ht="13.5" customHeight="1" x14ac:dyDescent="0.3">
      <c r="A1256" s="245"/>
      <c r="B1256" s="245"/>
      <c r="C1256" s="246"/>
      <c r="D1256" s="245"/>
      <c r="E1256" s="247"/>
      <c r="F1256" s="157"/>
    </row>
    <row r="1257" spans="1:6" s="243" customFormat="1" ht="13.5" customHeight="1" x14ac:dyDescent="0.3">
      <c r="A1257" s="245"/>
      <c r="B1257" s="245"/>
      <c r="C1257" s="246"/>
      <c r="D1257" s="245"/>
      <c r="E1257" s="247"/>
      <c r="F1257" s="157"/>
    </row>
    <row r="1258" spans="1:6" s="243" customFormat="1" ht="13.5" customHeight="1" x14ac:dyDescent="0.3">
      <c r="A1258" s="245"/>
      <c r="B1258" s="245"/>
      <c r="C1258" s="246"/>
      <c r="D1258" s="245"/>
      <c r="E1258" s="247"/>
      <c r="F1258" s="157"/>
    </row>
    <row r="1259" spans="1:6" s="243" customFormat="1" ht="13.5" customHeight="1" x14ac:dyDescent="0.3">
      <c r="A1259" s="245"/>
      <c r="B1259" s="245"/>
      <c r="C1259" s="246"/>
      <c r="D1259" s="245"/>
      <c r="E1259" s="247"/>
      <c r="F1259" s="157"/>
    </row>
    <row r="1260" spans="1:6" s="243" customFormat="1" ht="13.5" customHeight="1" x14ac:dyDescent="0.3">
      <c r="A1260" s="245"/>
      <c r="B1260" s="245"/>
      <c r="C1260" s="246"/>
      <c r="D1260" s="245"/>
      <c r="E1260" s="247"/>
      <c r="F1260" s="157"/>
    </row>
    <row r="1261" spans="1:6" s="243" customFormat="1" ht="13.5" customHeight="1" x14ac:dyDescent="0.3">
      <c r="A1261" s="245"/>
      <c r="B1261" s="245"/>
      <c r="C1261" s="246"/>
      <c r="D1261" s="245"/>
      <c r="E1261" s="247"/>
      <c r="F1261" s="157"/>
    </row>
    <row r="1262" spans="1:6" s="243" customFormat="1" ht="13.5" customHeight="1" x14ac:dyDescent="0.3">
      <c r="A1262" s="245"/>
      <c r="B1262" s="245"/>
      <c r="C1262" s="246"/>
      <c r="D1262" s="245"/>
      <c r="E1262" s="247"/>
      <c r="F1262" s="157"/>
    </row>
    <row r="1263" spans="1:6" s="243" customFormat="1" ht="13.5" customHeight="1" x14ac:dyDescent="0.3">
      <c r="A1263" s="245"/>
      <c r="B1263" s="245"/>
      <c r="C1263" s="246"/>
      <c r="D1263" s="245"/>
      <c r="E1263" s="247"/>
      <c r="F1263" s="157"/>
    </row>
    <row r="1264" spans="1:6" s="243" customFormat="1" ht="13.5" customHeight="1" x14ac:dyDescent="0.3">
      <c r="A1264" s="245"/>
      <c r="B1264" s="245"/>
      <c r="C1264" s="246"/>
      <c r="D1264" s="245"/>
      <c r="E1264" s="247"/>
      <c r="F1264" s="157"/>
    </row>
    <row r="1265" spans="1:6" s="243" customFormat="1" ht="13.5" customHeight="1" x14ac:dyDescent="0.3">
      <c r="A1265" s="245"/>
      <c r="B1265" s="245"/>
      <c r="C1265" s="246"/>
      <c r="D1265" s="245"/>
      <c r="E1265" s="247"/>
      <c r="F1265" s="157"/>
    </row>
    <row r="1266" spans="1:6" s="243" customFormat="1" ht="13.5" customHeight="1" x14ac:dyDescent="0.3">
      <c r="A1266" s="245"/>
      <c r="B1266" s="245"/>
      <c r="C1266" s="246"/>
      <c r="D1266" s="245"/>
      <c r="E1266" s="247"/>
      <c r="F1266" s="157"/>
    </row>
    <row r="1267" spans="1:6" s="243" customFormat="1" ht="13.5" customHeight="1" x14ac:dyDescent="0.3">
      <c r="A1267" s="245"/>
      <c r="B1267" s="245"/>
      <c r="C1267" s="246"/>
      <c r="D1267" s="245"/>
      <c r="E1267" s="247"/>
      <c r="F1267" s="157"/>
    </row>
    <row r="1268" spans="1:6" s="243" customFormat="1" ht="13.5" customHeight="1" x14ac:dyDescent="0.3">
      <c r="A1268" s="245"/>
      <c r="B1268" s="245"/>
      <c r="C1268" s="246"/>
      <c r="D1268" s="245"/>
      <c r="E1268" s="247"/>
      <c r="F1268" s="157"/>
    </row>
    <row r="1269" spans="1:6" s="243" customFormat="1" ht="13.5" customHeight="1" x14ac:dyDescent="0.3">
      <c r="A1269" s="245"/>
      <c r="B1269" s="245"/>
      <c r="C1269" s="246"/>
      <c r="D1269" s="245"/>
      <c r="E1269" s="247"/>
      <c r="F1269" s="157"/>
    </row>
    <row r="1270" spans="1:6" s="243" customFormat="1" ht="13.5" customHeight="1" x14ac:dyDescent="0.3">
      <c r="A1270" s="245"/>
      <c r="B1270" s="245"/>
      <c r="C1270" s="246"/>
      <c r="D1270" s="245"/>
      <c r="E1270" s="247"/>
      <c r="F1270" s="157"/>
    </row>
    <row r="1271" spans="1:6" s="243" customFormat="1" ht="13.5" customHeight="1" x14ac:dyDescent="0.3">
      <c r="A1271" s="245"/>
      <c r="B1271" s="245"/>
      <c r="C1271" s="246"/>
      <c r="D1271" s="245"/>
      <c r="E1271" s="247"/>
      <c r="F1271" s="157"/>
    </row>
    <row r="1272" spans="1:6" s="243" customFormat="1" ht="13.5" customHeight="1" x14ac:dyDescent="0.3">
      <c r="A1272" s="245"/>
      <c r="B1272" s="245"/>
      <c r="C1272" s="246"/>
      <c r="D1272" s="245"/>
      <c r="E1272" s="247"/>
      <c r="F1272" s="157"/>
    </row>
    <row r="1273" spans="1:6" s="243" customFormat="1" ht="13.5" customHeight="1" x14ac:dyDescent="0.3">
      <c r="A1273" s="245"/>
      <c r="B1273" s="245"/>
      <c r="C1273" s="246"/>
      <c r="D1273" s="245"/>
      <c r="E1273" s="247"/>
      <c r="F1273" s="157"/>
    </row>
    <row r="1274" spans="1:6" s="243" customFormat="1" ht="13.5" customHeight="1" x14ac:dyDescent="0.3">
      <c r="A1274" s="245"/>
      <c r="B1274" s="245"/>
      <c r="C1274" s="246"/>
      <c r="D1274" s="245"/>
      <c r="E1274" s="247"/>
      <c r="F1274" s="157"/>
    </row>
    <row r="1275" spans="1:6" s="243" customFormat="1" ht="13.5" customHeight="1" x14ac:dyDescent="0.3">
      <c r="A1275" s="245"/>
      <c r="B1275" s="245"/>
      <c r="C1275" s="246"/>
      <c r="D1275" s="245"/>
      <c r="E1275" s="247"/>
      <c r="F1275" s="157"/>
    </row>
    <row r="1276" spans="1:6" s="243" customFormat="1" ht="13.5" customHeight="1" x14ac:dyDescent="0.3">
      <c r="A1276" s="245"/>
      <c r="B1276" s="245"/>
      <c r="C1276" s="246"/>
      <c r="D1276" s="245"/>
      <c r="E1276" s="247"/>
      <c r="F1276" s="157"/>
    </row>
    <row r="1277" spans="1:6" s="243" customFormat="1" ht="13.5" customHeight="1" x14ac:dyDescent="0.3">
      <c r="A1277" s="245"/>
      <c r="B1277" s="245"/>
      <c r="C1277" s="246"/>
      <c r="D1277" s="245"/>
      <c r="E1277" s="247"/>
      <c r="F1277" s="157"/>
    </row>
    <row r="1278" spans="1:6" s="243" customFormat="1" ht="13.5" customHeight="1" x14ac:dyDescent="0.3">
      <c r="A1278" s="245"/>
      <c r="B1278" s="245"/>
      <c r="C1278" s="246"/>
      <c r="D1278" s="245"/>
      <c r="E1278" s="247"/>
      <c r="F1278" s="157"/>
    </row>
    <row r="1279" spans="1:6" s="243" customFormat="1" ht="13.5" customHeight="1" x14ac:dyDescent="0.3">
      <c r="A1279" s="245"/>
      <c r="B1279" s="245"/>
      <c r="C1279" s="246"/>
      <c r="D1279" s="245"/>
      <c r="E1279" s="247"/>
      <c r="F1279" s="157"/>
    </row>
    <row r="1280" spans="1:6" s="243" customFormat="1" ht="13.5" customHeight="1" x14ac:dyDescent="0.3">
      <c r="A1280" s="245"/>
      <c r="B1280" s="245"/>
      <c r="C1280" s="246"/>
      <c r="D1280" s="245"/>
      <c r="E1280" s="247"/>
      <c r="F1280" s="157"/>
    </row>
    <row r="1281" spans="1:6" s="243" customFormat="1" ht="13.5" customHeight="1" x14ac:dyDescent="0.3">
      <c r="A1281" s="245"/>
      <c r="B1281" s="245"/>
      <c r="C1281" s="246"/>
      <c r="D1281" s="245"/>
      <c r="E1281" s="247"/>
      <c r="F1281" s="157"/>
    </row>
    <row r="1282" spans="1:6" s="243" customFormat="1" ht="13.5" customHeight="1" x14ac:dyDescent="0.3">
      <c r="A1282" s="245"/>
      <c r="B1282" s="245"/>
      <c r="C1282" s="246"/>
      <c r="D1282" s="245"/>
      <c r="E1282" s="247"/>
      <c r="F1282" s="157"/>
    </row>
    <row r="1283" spans="1:6" s="243" customFormat="1" ht="13.5" customHeight="1" x14ac:dyDescent="0.3">
      <c r="A1283" s="245"/>
      <c r="B1283" s="245"/>
      <c r="C1283" s="246"/>
      <c r="D1283" s="245"/>
      <c r="E1283" s="247"/>
      <c r="F1283" s="157"/>
    </row>
    <row r="1284" spans="1:6" s="243" customFormat="1" ht="13.5" customHeight="1" x14ac:dyDescent="0.3">
      <c r="A1284" s="245"/>
      <c r="B1284" s="245"/>
      <c r="C1284" s="246"/>
      <c r="D1284" s="245"/>
      <c r="E1284" s="247"/>
      <c r="F1284" s="157"/>
    </row>
    <row r="1285" spans="1:6" s="243" customFormat="1" ht="13.5" customHeight="1" x14ac:dyDescent="0.3">
      <c r="A1285" s="245"/>
      <c r="B1285" s="245"/>
      <c r="C1285" s="246"/>
      <c r="D1285" s="245"/>
      <c r="E1285" s="247"/>
      <c r="F1285" s="157"/>
    </row>
    <row r="1286" spans="1:6" s="243" customFormat="1" ht="13.5" customHeight="1" x14ac:dyDescent="0.3">
      <c r="A1286" s="245"/>
      <c r="B1286" s="245"/>
      <c r="C1286" s="246"/>
      <c r="D1286" s="245"/>
      <c r="E1286" s="247"/>
      <c r="F1286" s="157"/>
    </row>
    <row r="1287" spans="1:6" s="243" customFormat="1" ht="13.5" customHeight="1" x14ac:dyDescent="0.3">
      <c r="A1287" s="245"/>
      <c r="B1287" s="245"/>
      <c r="C1287" s="246"/>
      <c r="D1287" s="245"/>
      <c r="E1287" s="247"/>
      <c r="F1287" s="157"/>
    </row>
    <row r="1288" spans="1:6" s="243" customFormat="1" ht="13.5" customHeight="1" x14ac:dyDescent="0.3">
      <c r="A1288" s="245"/>
      <c r="B1288" s="245"/>
      <c r="C1288" s="246"/>
      <c r="D1288" s="245"/>
      <c r="E1288" s="247"/>
      <c r="F1288" s="157"/>
    </row>
    <row r="1289" spans="1:6" s="243" customFormat="1" ht="13.5" customHeight="1" x14ac:dyDescent="0.3">
      <c r="A1289" s="245"/>
      <c r="B1289" s="245"/>
      <c r="C1289" s="246"/>
      <c r="D1289" s="245"/>
      <c r="E1289" s="247"/>
      <c r="F1289" s="157"/>
    </row>
    <row r="1290" spans="1:6" s="243" customFormat="1" ht="13.5" customHeight="1" x14ac:dyDescent="0.3">
      <c r="A1290" s="245"/>
      <c r="B1290" s="245"/>
      <c r="C1290" s="246"/>
      <c r="D1290" s="245"/>
      <c r="E1290" s="247"/>
      <c r="F1290" s="157"/>
    </row>
    <row r="1291" spans="1:6" s="243" customFormat="1" ht="13.5" customHeight="1" x14ac:dyDescent="0.3">
      <c r="A1291" s="245"/>
      <c r="B1291" s="245"/>
      <c r="C1291" s="246"/>
      <c r="D1291" s="245"/>
      <c r="E1291" s="247"/>
      <c r="F1291" s="157"/>
    </row>
    <row r="1292" spans="1:6" s="243" customFormat="1" ht="13.5" customHeight="1" x14ac:dyDescent="0.3">
      <c r="A1292" s="245"/>
      <c r="B1292" s="245"/>
      <c r="C1292" s="246"/>
      <c r="D1292" s="245"/>
      <c r="E1292" s="247"/>
      <c r="F1292" s="157"/>
    </row>
    <row r="1293" spans="1:6" s="243" customFormat="1" ht="13.5" customHeight="1" x14ac:dyDescent="0.3">
      <c r="A1293" s="245"/>
      <c r="B1293" s="245"/>
      <c r="C1293" s="246"/>
      <c r="D1293" s="245"/>
      <c r="E1293" s="247"/>
      <c r="F1293" s="157"/>
    </row>
    <row r="1294" spans="1:6" s="243" customFormat="1" ht="13.5" customHeight="1" x14ac:dyDescent="0.3">
      <c r="A1294" s="245"/>
      <c r="B1294" s="245"/>
      <c r="C1294" s="246"/>
      <c r="D1294" s="245"/>
      <c r="E1294" s="247"/>
      <c r="F1294" s="157"/>
    </row>
    <row r="1295" spans="1:6" s="243" customFormat="1" ht="13.5" customHeight="1" x14ac:dyDescent="0.3">
      <c r="A1295" s="245"/>
      <c r="B1295" s="245"/>
      <c r="C1295" s="246"/>
      <c r="D1295" s="245"/>
      <c r="E1295" s="247"/>
      <c r="F1295" s="157"/>
    </row>
    <row r="1296" spans="1:6" s="243" customFormat="1" ht="13.5" customHeight="1" x14ac:dyDescent="0.3">
      <c r="A1296" s="245"/>
      <c r="B1296" s="245"/>
      <c r="C1296" s="246"/>
      <c r="D1296" s="245"/>
      <c r="E1296" s="247"/>
      <c r="F1296" s="157"/>
    </row>
    <row r="1297" spans="1:6" s="243" customFormat="1" ht="13.5" customHeight="1" x14ac:dyDescent="0.3">
      <c r="A1297" s="245"/>
      <c r="B1297" s="245"/>
      <c r="C1297" s="246"/>
      <c r="D1297" s="245"/>
      <c r="E1297" s="247"/>
      <c r="F1297" s="157"/>
    </row>
    <row r="1298" spans="1:6" s="243" customFormat="1" ht="13.5" customHeight="1" x14ac:dyDescent="0.3">
      <c r="A1298" s="245"/>
      <c r="B1298" s="245"/>
      <c r="C1298" s="246"/>
      <c r="D1298" s="245"/>
      <c r="E1298" s="247"/>
      <c r="F1298" s="157"/>
    </row>
    <row r="1299" spans="1:6" s="243" customFormat="1" ht="13.5" customHeight="1" x14ac:dyDescent="0.3">
      <c r="A1299" s="245"/>
      <c r="B1299" s="245"/>
      <c r="C1299" s="246"/>
      <c r="D1299" s="245"/>
      <c r="E1299" s="247"/>
      <c r="F1299" s="157"/>
    </row>
    <row r="1300" spans="1:6" s="243" customFormat="1" ht="13.5" customHeight="1" x14ac:dyDescent="0.3">
      <c r="A1300" s="245"/>
      <c r="B1300" s="245"/>
      <c r="C1300" s="246"/>
      <c r="D1300" s="245"/>
      <c r="E1300" s="247"/>
      <c r="F1300" s="157"/>
    </row>
    <row r="1301" spans="1:6" s="243" customFormat="1" ht="13.5" customHeight="1" x14ac:dyDescent="0.3">
      <c r="A1301" s="245"/>
      <c r="B1301" s="245"/>
      <c r="C1301" s="246"/>
      <c r="D1301" s="245"/>
      <c r="E1301" s="247"/>
      <c r="F1301" s="157"/>
    </row>
    <row r="1302" spans="1:6" s="243" customFormat="1" ht="13.5" customHeight="1" x14ac:dyDescent="0.3">
      <c r="A1302" s="245"/>
      <c r="B1302" s="245"/>
      <c r="C1302" s="246"/>
      <c r="D1302" s="245"/>
      <c r="E1302" s="247"/>
      <c r="F1302" s="157"/>
    </row>
    <row r="1303" spans="1:6" s="243" customFormat="1" ht="13.5" customHeight="1" x14ac:dyDescent="0.3">
      <c r="A1303" s="245"/>
      <c r="B1303" s="245"/>
      <c r="C1303" s="246"/>
      <c r="D1303" s="245"/>
      <c r="E1303" s="247"/>
      <c r="F1303" s="157"/>
    </row>
    <row r="1304" spans="1:6" s="243" customFormat="1" ht="13.5" customHeight="1" x14ac:dyDescent="0.3">
      <c r="A1304" s="245"/>
      <c r="B1304" s="245"/>
      <c r="C1304" s="246"/>
      <c r="D1304" s="245"/>
      <c r="E1304" s="247"/>
      <c r="F1304" s="157"/>
    </row>
    <row r="1305" spans="1:6" s="243" customFormat="1" ht="13.5" customHeight="1" x14ac:dyDescent="0.3">
      <c r="A1305" s="245"/>
      <c r="B1305" s="245"/>
      <c r="C1305" s="246"/>
      <c r="D1305" s="245"/>
      <c r="E1305" s="247"/>
      <c r="F1305" s="157"/>
    </row>
    <row r="1306" spans="1:6" s="243" customFormat="1" ht="13.5" customHeight="1" x14ac:dyDescent="0.3">
      <c r="A1306" s="245"/>
      <c r="B1306" s="245"/>
      <c r="C1306" s="246"/>
      <c r="D1306" s="245"/>
      <c r="E1306" s="247"/>
      <c r="F1306" s="157"/>
    </row>
    <row r="1307" spans="1:6" s="243" customFormat="1" ht="13.5" customHeight="1" x14ac:dyDescent="0.3">
      <c r="A1307" s="245"/>
      <c r="B1307" s="245"/>
      <c r="C1307" s="246"/>
      <c r="D1307" s="245"/>
      <c r="E1307" s="247"/>
      <c r="F1307" s="157"/>
    </row>
    <row r="1308" spans="1:6" s="243" customFormat="1" ht="13.5" customHeight="1" x14ac:dyDescent="0.3">
      <c r="A1308" s="245"/>
      <c r="B1308" s="245"/>
      <c r="C1308" s="246"/>
      <c r="D1308" s="245"/>
      <c r="E1308" s="247"/>
      <c r="F1308" s="157"/>
    </row>
    <row r="1309" spans="1:6" s="243" customFormat="1" ht="13.5" customHeight="1" x14ac:dyDescent="0.3">
      <c r="A1309" s="245"/>
      <c r="B1309" s="245"/>
      <c r="C1309" s="246"/>
      <c r="D1309" s="245"/>
      <c r="E1309" s="247"/>
      <c r="F1309" s="157"/>
    </row>
    <row r="1310" spans="1:6" s="243" customFormat="1" ht="13.5" customHeight="1" x14ac:dyDescent="0.3">
      <c r="A1310" s="245"/>
      <c r="B1310" s="245"/>
      <c r="C1310" s="246"/>
      <c r="D1310" s="245"/>
      <c r="E1310" s="247"/>
      <c r="F1310" s="157"/>
    </row>
    <row r="1311" spans="1:6" s="243" customFormat="1" ht="13.5" customHeight="1" x14ac:dyDescent="0.3">
      <c r="A1311" s="245"/>
      <c r="B1311" s="245"/>
      <c r="C1311" s="246"/>
      <c r="D1311" s="245"/>
      <c r="E1311" s="247"/>
      <c r="F1311" s="157"/>
    </row>
    <row r="1312" spans="1:6" s="243" customFormat="1" ht="13.5" customHeight="1" x14ac:dyDescent="0.3">
      <c r="A1312" s="245"/>
      <c r="B1312" s="245"/>
      <c r="C1312" s="246"/>
      <c r="D1312" s="245"/>
      <c r="E1312" s="247"/>
      <c r="F1312" s="157"/>
    </row>
    <row r="1313" spans="1:6" s="243" customFormat="1" ht="13.5" customHeight="1" x14ac:dyDescent="0.3">
      <c r="A1313" s="245"/>
      <c r="B1313" s="245"/>
      <c r="C1313" s="246"/>
      <c r="D1313" s="245"/>
      <c r="E1313" s="247"/>
      <c r="F1313" s="157"/>
    </row>
    <row r="1314" spans="1:6" s="243" customFormat="1" ht="13.5" customHeight="1" x14ac:dyDescent="0.3">
      <c r="A1314" s="245"/>
      <c r="B1314" s="245"/>
      <c r="C1314" s="246"/>
      <c r="D1314" s="245"/>
      <c r="E1314" s="247"/>
      <c r="F1314" s="157"/>
    </row>
    <row r="1315" spans="1:6" s="243" customFormat="1" ht="13.5" customHeight="1" x14ac:dyDescent="0.3">
      <c r="A1315" s="245"/>
      <c r="B1315" s="245"/>
      <c r="C1315" s="246"/>
      <c r="D1315" s="245"/>
      <c r="E1315" s="247"/>
      <c r="F1315" s="157"/>
    </row>
    <row r="1316" spans="1:6" s="243" customFormat="1" ht="13.5" customHeight="1" x14ac:dyDescent="0.3">
      <c r="A1316" s="245"/>
      <c r="B1316" s="245"/>
      <c r="C1316" s="246"/>
      <c r="D1316" s="245"/>
      <c r="E1316" s="247"/>
      <c r="F1316" s="157"/>
    </row>
    <row r="1317" spans="1:6" s="243" customFormat="1" ht="13.5" customHeight="1" x14ac:dyDescent="0.3">
      <c r="A1317" s="245"/>
      <c r="B1317" s="245"/>
      <c r="C1317" s="246"/>
      <c r="D1317" s="245"/>
      <c r="E1317" s="247"/>
      <c r="F1317" s="157"/>
    </row>
    <row r="1318" spans="1:6" s="243" customFormat="1" ht="13.5" customHeight="1" x14ac:dyDescent="0.3">
      <c r="A1318" s="245"/>
      <c r="B1318" s="245"/>
      <c r="C1318" s="246"/>
      <c r="D1318" s="245"/>
      <c r="E1318" s="247"/>
      <c r="F1318" s="157"/>
    </row>
    <row r="1319" spans="1:6" s="243" customFormat="1" ht="13.5" customHeight="1" x14ac:dyDescent="0.3">
      <c r="A1319" s="245"/>
      <c r="B1319" s="245"/>
      <c r="C1319" s="246"/>
      <c r="D1319" s="245"/>
      <c r="E1319" s="247"/>
      <c r="F1319" s="157"/>
    </row>
    <row r="1320" spans="1:6" s="243" customFormat="1" ht="13.5" customHeight="1" x14ac:dyDescent="0.3">
      <c r="A1320" s="245"/>
      <c r="B1320" s="245"/>
      <c r="C1320" s="246"/>
      <c r="D1320" s="245"/>
      <c r="E1320" s="247"/>
      <c r="F1320" s="157"/>
    </row>
    <row r="1321" spans="1:6" s="243" customFormat="1" ht="13.5" customHeight="1" x14ac:dyDescent="0.3">
      <c r="A1321" s="245"/>
      <c r="B1321" s="245"/>
      <c r="C1321" s="246"/>
      <c r="D1321" s="245"/>
      <c r="E1321" s="247"/>
      <c r="F1321" s="157"/>
    </row>
    <row r="1322" spans="1:6" s="243" customFormat="1" ht="13.5" customHeight="1" x14ac:dyDescent="0.3">
      <c r="A1322" s="245"/>
      <c r="B1322" s="245"/>
      <c r="C1322" s="246"/>
      <c r="D1322" s="245"/>
      <c r="E1322" s="247"/>
      <c r="F1322" s="157"/>
    </row>
    <row r="1323" spans="1:6" s="243" customFormat="1" ht="13.5" customHeight="1" x14ac:dyDescent="0.3">
      <c r="A1323" s="245"/>
      <c r="B1323" s="245"/>
      <c r="C1323" s="246"/>
      <c r="D1323" s="245"/>
      <c r="E1323" s="247"/>
      <c r="F1323" s="157"/>
    </row>
    <row r="1324" spans="1:6" s="243" customFormat="1" ht="13.5" customHeight="1" x14ac:dyDescent="0.3">
      <c r="A1324" s="245"/>
      <c r="B1324" s="245"/>
      <c r="C1324" s="246"/>
      <c r="D1324" s="245"/>
      <c r="E1324" s="247"/>
      <c r="F1324" s="157"/>
    </row>
    <row r="1325" spans="1:6" s="243" customFormat="1" ht="13.5" customHeight="1" x14ac:dyDescent="0.3">
      <c r="A1325" s="245"/>
      <c r="B1325" s="245"/>
      <c r="C1325" s="246"/>
      <c r="D1325" s="245"/>
      <c r="E1325" s="247"/>
      <c r="F1325" s="157"/>
    </row>
    <row r="1326" spans="1:6" s="243" customFormat="1" ht="13.5" customHeight="1" x14ac:dyDescent="0.3">
      <c r="A1326" s="245"/>
      <c r="B1326" s="245"/>
      <c r="C1326" s="246"/>
      <c r="D1326" s="245"/>
      <c r="E1326" s="247"/>
      <c r="F1326" s="157"/>
    </row>
    <row r="1327" spans="1:6" s="243" customFormat="1" ht="13.5" customHeight="1" x14ac:dyDescent="0.3">
      <c r="A1327" s="245"/>
      <c r="B1327" s="245"/>
      <c r="C1327" s="246"/>
      <c r="D1327" s="245"/>
      <c r="E1327" s="247"/>
      <c r="F1327" s="157"/>
    </row>
    <row r="1328" spans="1:6" s="243" customFormat="1" ht="13.5" customHeight="1" x14ac:dyDescent="0.3">
      <c r="A1328" s="245"/>
      <c r="B1328" s="245"/>
      <c r="C1328" s="246"/>
      <c r="D1328" s="245"/>
      <c r="E1328" s="247"/>
      <c r="F1328" s="157"/>
    </row>
    <row r="1329" spans="1:6" s="243" customFormat="1" ht="13.5" customHeight="1" x14ac:dyDescent="0.3">
      <c r="A1329" s="245"/>
      <c r="B1329" s="245"/>
      <c r="C1329" s="246"/>
      <c r="D1329" s="245"/>
      <c r="E1329" s="247"/>
      <c r="F1329" s="157"/>
    </row>
    <row r="1330" spans="1:6" s="243" customFormat="1" ht="13.5" customHeight="1" x14ac:dyDescent="0.3">
      <c r="A1330" s="245"/>
      <c r="B1330" s="245"/>
      <c r="C1330" s="246"/>
      <c r="D1330" s="245"/>
      <c r="E1330" s="247"/>
      <c r="F1330" s="157"/>
    </row>
    <row r="1331" spans="1:6" s="243" customFormat="1" ht="13.5" customHeight="1" x14ac:dyDescent="0.3">
      <c r="A1331" s="245"/>
      <c r="B1331" s="245"/>
      <c r="C1331" s="246"/>
      <c r="D1331" s="245"/>
      <c r="E1331" s="247"/>
      <c r="F1331" s="157"/>
    </row>
    <row r="1332" spans="1:6" s="243" customFormat="1" ht="13.5" customHeight="1" x14ac:dyDescent="0.3">
      <c r="A1332" s="245"/>
      <c r="B1332" s="245"/>
      <c r="C1332" s="246"/>
      <c r="D1332" s="245"/>
      <c r="E1332" s="247"/>
      <c r="F1332" s="157"/>
    </row>
    <row r="1333" spans="1:6" s="243" customFormat="1" ht="13.5" customHeight="1" x14ac:dyDescent="0.3">
      <c r="A1333" s="245"/>
      <c r="B1333" s="245"/>
      <c r="C1333" s="246"/>
      <c r="D1333" s="245"/>
      <c r="E1333" s="247"/>
      <c r="F1333" s="157"/>
    </row>
    <row r="1334" spans="1:6" s="243" customFormat="1" ht="13.5" customHeight="1" x14ac:dyDescent="0.3">
      <c r="A1334" s="245"/>
      <c r="B1334" s="245"/>
      <c r="C1334" s="246"/>
      <c r="D1334" s="245"/>
      <c r="E1334" s="247"/>
      <c r="F1334" s="157"/>
    </row>
    <row r="1335" spans="1:6" s="243" customFormat="1" ht="13.5" customHeight="1" x14ac:dyDescent="0.3">
      <c r="A1335" s="245"/>
      <c r="B1335" s="245"/>
      <c r="C1335" s="246"/>
      <c r="D1335" s="245"/>
      <c r="E1335" s="247"/>
      <c r="F1335" s="157"/>
    </row>
    <row r="1336" spans="1:6" s="243" customFormat="1" ht="13.5" customHeight="1" x14ac:dyDescent="0.3">
      <c r="A1336" s="245"/>
      <c r="B1336" s="245"/>
      <c r="C1336" s="246"/>
      <c r="D1336" s="245"/>
      <c r="E1336" s="247"/>
      <c r="F1336" s="157"/>
    </row>
    <row r="1337" spans="1:6" s="243" customFormat="1" ht="13.5" customHeight="1" x14ac:dyDescent="0.3">
      <c r="A1337" s="245"/>
      <c r="B1337" s="245"/>
      <c r="C1337" s="246"/>
      <c r="D1337" s="245"/>
      <c r="E1337" s="247"/>
      <c r="F1337" s="157"/>
    </row>
    <row r="1338" spans="1:6" s="243" customFormat="1" ht="13.5" customHeight="1" x14ac:dyDescent="0.3">
      <c r="A1338" s="245"/>
      <c r="B1338" s="245"/>
      <c r="C1338" s="246"/>
      <c r="D1338" s="245"/>
      <c r="E1338" s="247"/>
      <c r="F1338" s="157"/>
    </row>
    <row r="1339" spans="1:6" s="243" customFormat="1" ht="13.5" customHeight="1" x14ac:dyDescent="0.3">
      <c r="A1339" s="245"/>
      <c r="B1339" s="245"/>
      <c r="C1339" s="246"/>
      <c r="D1339" s="245"/>
      <c r="E1339" s="247"/>
      <c r="F1339" s="157"/>
    </row>
    <row r="1340" spans="1:6" s="243" customFormat="1" ht="13.5" customHeight="1" x14ac:dyDescent="0.3">
      <c r="A1340" s="245"/>
      <c r="B1340" s="245"/>
      <c r="C1340" s="246"/>
      <c r="D1340" s="245"/>
      <c r="E1340" s="247"/>
      <c r="F1340" s="157"/>
    </row>
    <row r="1341" spans="1:6" s="243" customFormat="1" ht="13.5" customHeight="1" x14ac:dyDescent="0.3">
      <c r="A1341" s="245"/>
      <c r="B1341" s="245"/>
      <c r="C1341" s="246"/>
      <c r="D1341" s="245"/>
      <c r="E1341" s="247"/>
      <c r="F1341" s="157"/>
    </row>
    <row r="1342" spans="1:6" s="243" customFormat="1" ht="13.5" customHeight="1" x14ac:dyDescent="0.3">
      <c r="A1342" s="245"/>
      <c r="B1342" s="245"/>
      <c r="C1342" s="246"/>
      <c r="D1342" s="245"/>
      <c r="E1342" s="247"/>
      <c r="F1342" s="157"/>
    </row>
    <row r="1343" spans="1:6" s="243" customFormat="1" ht="13.5" customHeight="1" x14ac:dyDescent="0.3">
      <c r="A1343" s="245"/>
      <c r="B1343" s="245"/>
      <c r="C1343" s="246"/>
      <c r="D1343" s="245"/>
      <c r="E1343" s="247"/>
      <c r="F1343" s="157"/>
    </row>
    <row r="1344" spans="1:6" s="243" customFormat="1" ht="13.5" customHeight="1" x14ac:dyDescent="0.3">
      <c r="A1344" s="245"/>
      <c r="B1344" s="245"/>
      <c r="C1344" s="246"/>
      <c r="D1344" s="245"/>
      <c r="E1344" s="247"/>
      <c r="F1344" s="157"/>
    </row>
    <row r="1345" spans="1:6" s="243" customFormat="1" ht="13.5" customHeight="1" x14ac:dyDescent="0.3">
      <c r="A1345" s="245"/>
      <c r="B1345" s="245"/>
      <c r="C1345" s="246"/>
      <c r="D1345" s="245"/>
      <c r="E1345" s="247"/>
      <c r="F1345" s="157"/>
    </row>
    <row r="1346" spans="1:6" s="243" customFormat="1" ht="13.5" customHeight="1" x14ac:dyDescent="0.3">
      <c r="A1346" s="245"/>
      <c r="B1346" s="245"/>
      <c r="C1346" s="246"/>
      <c r="D1346" s="245"/>
      <c r="E1346" s="247"/>
      <c r="F1346" s="157"/>
    </row>
    <row r="1347" spans="1:6" s="243" customFormat="1" ht="13.5" customHeight="1" x14ac:dyDescent="0.3">
      <c r="A1347" s="245"/>
      <c r="B1347" s="245"/>
      <c r="C1347" s="246"/>
      <c r="D1347" s="245"/>
      <c r="E1347" s="247"/>
      <c r="F1347" s="157"/>
    </row>
    <row r="1348" spans="1:6" s="243" customFormat="1" ht="13.5" customHeight="1" x14ac:dyDescent="0.3">
      <c r="A1348" s="245"/>
      <c r="B1348" s="245"/>
      <c r="C1348" s="246"/>
      <c r="D1348" s="245"/>
      <c r="E1348" s="247"/>
      <c r="F1348" s="157"/>
    </row>
    <row r="1349" spans="1:6" s="243" customFormat="1" ht="13.5" customHeight="1" x14ac:dyDescent="0.3">
      <c r="A1349" s="245"/>
      <c r="B1349" s="245"/>
      <c r="C1349" s="246"/>
      <c r="D1349" s="245"/>
      <c r="E1349" s="247"/>
      <c r="F1349" s="157"/>
    </row>
    <row r="1350" spans="1:6" s="243" customFormat="1" ht="13.5" customHeight="1" x14ac:dyDescent="0.3">
      <c r="A1350" s="245"/>
      <c r="B1350" s="245"/>
      <c r="C1350" s="246"/>
      <c r="D1350" s="245"/>
      <c r="E1350" s="247"/>
      <c r="F1350" s="157"/>
    </row>
    <row r="1351" spans="1:6" s="243" customFormat="1" ht="13.5" customHeight="1" x14ac:dyDescent="0.3">
      <c r="A1351" s="245"/>
      <c r="B1351" s="245"/>
      <c r="C1351" s="246"/>
      <c r="D1351" s="245"/>
      <c r="E1351" s="247"/>
      <c r="F1351" s="157"/>
    </row>
    <row r="1352" spans="1:6" s="243" customFormat="1" ht="13.5" customHeight="1" x14ac:dyDescent="0.3">
      <c r="A1352" s="245"/>
      <c r="B1352" s="245"/>
      <c r="C1352" s="246"/>
      <c r="D1352" s="245"/>
      <c r="E1352" s="247"/>
      <c r="F1352" s="157"/>
    </row>
    <row r="1353" spans="1:6" s="243" customFormat="1" ht="13.5" customHeight="1" x14ac:dyDescent="0.3">
      <c r="A1353" s="245"/>
      <c r="B1353" s="245"/>
      <c r="C1353" s="246"/>
      <c r="D1353" s="245"/>
      <c r="E1353" s="247"/>
      <c r="F1353" s="157"/>
    </row>
    <row r="1354" spans="1:6" s="243" customFormat="1" ht="13.5" customHeight="1" x14ac:dyDescent="0.3">
      <c r="A1354" s="245"/>
      <c r="B1354" s="245"/>
      <c r="C1354" s="246"/>
      <c r="D1354" s="245"/>
      <c r="E1354" s="247"/>
      <c r="F1354" s="157"/>
    </row>
    <row r="1355" spans="1:6" s="243" customFormat="1" ht="13.5" customHeight="1" x14ac:dyDescent="0.3">
      <c r="A1355" s="245"/>
      <c r="B1355" s="245"/>
      <c r="C1355" s="246"/>
      <c r="D1355" s="245"/>
      <c r="E1355" s="247"/>
      <c r="F1355" s="157"/>
    </row>
    <row r="1356" spans="1:6" s="243" customFormat="1" ht="13.5" customHeight="1" x14ac:dyDescent="0.3">
      <c r="A1356" s="245"/>
      <c r="B1356" s="245"/>
      <c r="C1356" s="246"/>
      <c r="D1356" s="245"/>
      <c r="E1356" s="247"/>
      <c r="F1356" s="157"/>
    </row>
    <row r="1357" spans="1:6" s="243" customFormat="1" ht="13.5" customHeight="1" x14ac:dyDescent="0.3">
      <c r="A1357" s="245"/>
      <c r="B1357" s="245"/>
      <c r="C1357" s="246"/>
      <c r="D1357" s="245"/>
      <c r="E1357" s="247"/>
      <c r="F1357" s="157"/>
    </row>
    <row r="1358" spans="1:6" s="243" customFormat="1" ht="13.5" customHeight="1" x14ac:dyDescent="0.3">
      <c r="A1358" s="245"/>
      <c r="B1358" s="245"/>
      <c r="C1358" s="246"/>
      <c r="D1358" s="245"/>
      <c r="E1358" s="247"/>
      <c r="F1358" s="157"/>
    </row>
    <row r="1359" spans="1:6" s="243" customFormat="1" ht="13.5" customHeight="1" x14ac:dyDescent="0.3">
      <c r="A1359" s="245"/>
      <c r="B1359" s="245"/>
      <c r="C1359" s="246"/>
      <c r="D1359" s="245"/>
      <c r="E1359" s="247"/>
      <c r="F1359" s="157"/>
    </row>
    <row r="1360" spans="1:6" s="243" customFormat="1" ht="13.5" customHeight="1" x14ac:dyDescent="0.3">
      <c r="A1360" s="245"/>
      <c r="B1360" s="245"/>
      <c r="C1360" s="246"/>
      <c r="D1360" s="245"/>
      <c r="E1360" s="247"/>
      <c r="F1360" s="157"/>
    </row>
    <row r="1361" spans="1:6" s="243" customFormat="1" ht="13.5" customHeight="1" x14ac:dyDescent="0.3">
      <c r="A1361" s="245"/>
      <c r="B1361" s="245"/>
      <c r="C1361" s="246"/>
      <c r="D1361" s="245"/>
      <c r="E1361" s="247"/>
      <c r="F1361" s="157"/>
    </row>
    <row r="1362" spans="1:6" s="243" customFormat="1" ht="13.5" customHeight="1" x14ac:dyDescent="0.3">
      <c r="A1362" s="245"/>
      <c r="B1362" s="245"/>
      <c r="C1362" s="246"/>
      <c r="D1362" s="245"/>
      <c r="E1362" s="247"/>
      <c r="F1362" s="157"/>
    </row>
    <row r="1363" spans="1:6" s="243" customFormat="1" ht="13.5" customHeight="1" x14ac:dyDescent="0.3">
      <c r="A1363" s="245"/>
      <c r="B1363" s="245"/>
      <c r="C1363" s="246"/>
      <c r="D1363" s="245"/>
      <c r="E1363" s="247"/>
      <c r="F1363" s="157"/>
    </row>
    <row r="1364" spans="1:6" s="243" customFormat="1" ht="13.5" customHeight="1" x14ac:dyDescent="0.3">
      <c r="A1364" s="245"/>
      <c r="B1364" s="245"/>
      <c r="C1364" s="246"/>
      <c r="D1364" s="245"/>
      <c r="E1364" s="247"/>
      <c r="F1364" s="157"/>
    </row>
    <row r="1365" spans="1:6" s="243" customFormat="1" ht="13.5" customHeight="1" x14ac:dyDescent="0.3">
      <c r="A1365" s="245"/>
      <c r="B1365" s="245"/>
      <c r="C1365" s="246"/>
      <c r="D1365" s="245"/>
      <c r="E1365" s="247"/>
      <c r="F1365" s="157"/>
    </row>
    <row r="1366" spans="1:6" s="243" customFormat="1" ht="13.5" customHeight="1" x14ac:dyDescent="0.3">
      <c r="A1366" s="245"/>
      <c r="B1366" s="245"/>
      <c r="C1366" s="246"/>
      <c r="D1366" s="245"/>
      <c r="E1366" s="247"/>
      <c r="F1366" s="157"/>
    </row>
    <row r="1367" spans="1:6" s="243" customFormat="1" ht="13.5" customHeight="1" x14ac:dyDescent="0.3">
      <c r="A1367" s="245"/>
      <c r="B1367" s="245"/>
      <c r="C1367" s="246"/>
      <c r="D1367" s="245"/>
      <c r="E1367" s="247"/>
      <c r="F1367" s="157"/>
    </row>
    <row r="1368" spans="1:6" s="243" customFormat="1" ht="13.5" customHeight="1" x14ac:dyDescent="0.3">
      <c r="A1368" s="245"/>
      <c r="B1368" s="245"/>
      <c r="C1368" s="246"/>
      <c r="D1368" s="245"/>
      <c r="E1368" s="247"/>
      <c r="F1368" s="157"/>
    </row>
    <row r="1369" spans="1:6" s="243" customFormat="1" ht="13.5" customHeight="1" x14ac:dyDescent="0.3">
      <c r="A1369" s="245"/>
      <c r="B1369" s="245"/>
      <c r="C1369" s="246"/>
      <c r="D1369" s="245"/>
      <c r="E1369" s="247"/>
      <c r="F1369" s="157"/>
    </row>
    <row r="1370" spans="1:6" s="243" customFormat="1" ht="13.5" customHeight="1" x14ac:dyDescent="0.3">
      <c r="A1370" s="245"/>
      <c r="B1370" s="245"/>
      <c r="C1370" s="246"/>
      <c r="D1370" s="245"/>
      <c r="E1370" s="247"/>
      <c r="F1370" s="157"/>
    </row>
    <row r="1371" spans="1:6" s="243" customFormat="1" ht="13.5" customHeight="1" x14ac:dyDescent="0.3">
      <c r="A1371" s="245"/>
      <c r="B1371" s="245"/>
      <c r="C1371" s="246"/>
      <c r="D1371" s="245"/>
      <c r="E1371" s="247"/>
      <c r="F1371" s="157"/>
    </row>
    <row r="1372" spans="1:6" s="243" customFormat="1" ht="13.5" customHeight="1" x14ac:dyDescent="0.3">
      <c r="A1372" s="245"/>
      <c r="B1372" s="245"/>
      <c r="C1372" s="246"/>
      <c r="D1372" s="245"/>
      <c r="E1372" s="247"/>
      <c r="F1372" s="157"/>
    </row>
    <row r="1373" spans="1:6" s="243" customFormat="1" ht="13.5" customHeight="1" x14ac:dyDescent="0.3">
      <c r="A1373" s="245"/>
      <c r="B1373" s="245"/>
      <c r="C1373" s="246"/>
      <c r="D1373" s="245"/>
      <c r="E1373" s="247"/>
      <c r="F1373" s="157"/>
    </row>
    <row r="1374" spans="1:6" s="243" customFormat="1" ht="13.5" customHeight="1" x14ac:dyDescent="0.3">
      <c r="A1374" s="245"/>
      <c r="B1374" s="245"/>
      <c r="C1374" s="246"/>
      <c r="D1374" s="245"/>
      <c r="E1374" s="247"/>
      <c r="F1374" s="157"/>
    </row>
    <row r="1375" spans="1:6" s="243" customFormat="1" ht="13.5" customHeight="1" x14ac:dyDescent="0.3">
      <c r="A1375" s="245"/>
      <c r="B1375" s="245"/>
      <c r="C1375" s="246"/>
      <c r="D1375" s="245"/>
      <c r="E1375" s="247"/>
      <c r="F1375" s="157"/>
    </row>
    <row r="1376" spans="1:6" s="243" customFormat="1" ht="13.5" customHeight="1" x14ac:dyDescent="0.3">
      <c r="A1376" s="245"/>
      <c r="B1376" s="245"/>
      <c r="C1376" s="246"/>
      <c r="D1376" s="245"/>
      <c r="E1376" s="247"/>
      <c r="F1376" s="157"/>
    </row>
    <row r="1377" spans="1:6" s="243" customFormat="1" ht="13.5" customHeight="1" x14ac:dyDescent="0.3">
      <c r="A1377" s="245"/>
      <c r="B1377" s="245"/>
      <c r="C1377" s="246"/>
      <c r="D1377" s="245"/>
      <c r="E1377" s="247"/>
      <c r="F1377" s="157"/>
    </row>
    <row r="1378" spans="1:6" s="243" customFormat="1" ht="13.5" customHeight="1" x14ac:dyDescent="0.3">
      <c r="A1378" s="245"/>
      <c r="B1378" s="245"/>
      <c r="C1378" s="246"/>
      <c r="D1378" s="245"/>
      <c r="E1378" s="247"/>
      <c r="F1378" s="157"/>
    </row>
    <row r="1379" spans="1:6" s="243" customFormat="1" ht="13.5" customHeight="1" x14ac:dyDescent="0.3">
      <c r="A1379" s="245"/>
      <c r="B1379" s="245"/>
      <c r="C1379" s="246"/>
      <c r="D1379" s="245"/>
      <c r="E1379" s="247"/>
      <c r="F1379" s="157"/>
    </row>
    <row r="1380" spans="1:6" s="243" customFormat="1" ht="13.5" customHeight="1" x14ac:dyDescent="0.3">
      <c r="A1380" s="245"/>
      <c r="B1380" s="245"/>
      <c r="C1380" s="246"/>
      <c r="D1380" s="245"/>
      <c r="E1380" s="247"/>
      <c r="F1380" s="157"/>
    </row>
    <row r="1381" spans="1:6" s="243" customFormat="1" ht="13.5" customHeight="1" x14ac:dyDescent="0.3">
      <c r="A1381" s="245"/>
      <c r="B1381" s="245"/>
      <c r="C1381" s="246"/>
      <c r="D1381" s="245"/>
      <c r="E1381" s="247"/>
      <c r="F1381" s="157"/>
    </row>
    <row r="1382" spans="1:6" s="243" customFormat="1" ht="13.5" customHeight="1" x14ac:dyDescent="0.3">
      <c r="A1382" s="245"/>
      <c r="B1382" s="245"/>
      <c r="C1382" s="246"/>
      <c r="D1382" s="245"/>
      <c r="E1382" s="247"/>
      <c r="F1382" s="157"/>
    </row>
    <row r="1383" spans="1:6" s="243" customFormat="1" ht="13.5" customHeight="1" x14ac:dyDescent="0.3">
      <c r="A1383" s="245"/>
      <c r="B1383" s="245"/>
      <c r="C1383" s="246"/>
      <c r="D1383" s="245"/>
      <c r="E1383" s="247"/>
      <c r="F1383" s="157"/>
    </row>
    <row r="1384" spans="1:6" s="243" customFormat="1" ht="13.5" customHeight="1" x14ac:dyDescent="0.3">
      <c r="A1384" s="245"/>
      <c r="B1384" s="245"/>
      <c r="C1384" s="246"/>
      <c r="D1384" s="245"/>
      <c r="E1384" s="247"/>
      <c r="F1384" s="157"/>
    </row>
    <row r="1385" spans="1:6" s="243" customFormat="1" ht="13.5" customHeight="1" x14ac:dyDescent="0.3">
      <c r="A1385" s="245"/>
      <c r="B1385" s="245"/>
      <c r="C1385" s="246"/>
      <c r="D1385" s="245"/>
      <c r="E1385" s="247"/>
      <c r="F1385" s="157"/>
    </row>
    <row r="1386" spans="1:6" s="243" customFormat="1" ht="13.5" customHeight="1" x14ac:dyDescent="0.3">
      <c r="A1386" s="245"/>
      <c r="B1386" s="245"/>
      <c r="C1386" s="246"/>
      <c r="D1386" s="245"/>
      <c r="E1386" s="247"/>
      <c r="F1386" s="157"/>
    </row>
    <row r="1387" spans="1:6" s="243" customFormat="1" ht="13.5" customHeight="1" x14ac:dyDescent="0.3">
      <c r="A1387" s="245"/>
      <c r="B1387" s="245"/>
      <c r="C1387" s="246"/>
      <c r="D1387" s="245"/>
      <c r="E1387" s="247"/>
      <c r="F1387" s="157"/>
    </row>
    <row r="1388" spans="1:6" s="243" customFormat="1" ht="13.5" customHeight="1" x14ac:dyDescent="0.3">
      <c r="A1388" s="245"/>
      <c r="B1388" s="245"/>
      <c r="C1388" s="246"/>
      <c r="D1388" s="245"/>
      <c r="E1388" s="247"/>
      <c r="F1388" s="157"/>
    </row>
    <row r="1389" spans="1:6" s="243" customFormat="1" ht="13.5" customHeight="1" x14ac:dyDescent="0.3">
      <c r="A1389" s="245"/>
      <c r="B1389" s="245"/>
      <c r="C1389" s="246"/>
      <c r="D1389" s="245"/>
      <c r="E1389" s="247"/>
      <c r="F1389" s="157"/>
    </row>
    <row r="1390" spans="1:6" s="243" customFormat="1" ht="13.5" customHeight="1" x14ac:dyDescent="0.3">
      <c r="A1390" s="245"/>
      <c r="B1390" s="245"/>
      <c r="C1390" s="246"/>
      <c r="D1390" s="245"/>
      <c r="E1390" s="247"/>
      <c r="F1390" s="157"/>
    </row>
    <row r="1391" spans="1:6" s="243" customFormat="1" ht="13.5" customHeight="1" x14ac:dyDescent="0.3">
      <c r="A1391" s="245"/>
      <c r="B1391" s="245"/>
      <c r="C1391" s="246"/>
      <c r="D1391" s="245"/>
      <c r="E1391" s="247"/>
      <c r="F1391" s="157"/>
    </row>
    <row r="1392" spans="1:6" s="243" customFormat="1" ht="13.5" customHeight="1" x14ac:dyDescent="0.3">
      <c r="A1392" s="245"/>
      <c r="B1392" s="245"/>
      <c r="C1392" s="246"/>
      <c r="D1392" s="245"/>
      <c r="E1392" s="247"/>
      <c r="F1392" s="157"/>
    </row>
    <row r="1393" spans="1:6" s="243" customFormat="1" ht="13.5" customHeight="1" x14ac:dyDescent="0.3">
      <c r="A1393" s="245"/>
      <c r="B1393" s="245"/>
      <c r="C1393" s="246"/>
      <c r="D1393" s="245"/>
      <c r="E1393" s="247"/>
      <c r="F1393" s="157"/>
    </row>
    <row r="1394" spans="1:6" s="243" customFormat="1" ht="13.5" customHeight="1" x14ac:dyDescent="0.3">
      <c r="A1394" s="245"/>
      <c r="B1394" s="245"/>
      <c r="C1394" s="246"/>
      <c r="D1394" s="245"/>
      <c r="E1394" s="247"/>
      <c r="F1394" s="157"/>
    </row>
    <row r="1395" spans="1:6" s="243" customFormat="1" ht="13.5" customHeight="1" x14ac:dyDescent="0.3">
      <c r="A1395" s="245"/>
      <c r="B1395" s="245"/>
      <c r="C1395" s="246"/>
      <c r="D1395" s="245"/>
      <c r="E1395" s="247"/>
      <c r="F1395" s="157"/>
    </row>
    <row r="1396" spans="1:6" s="243" customFormat="1" ht="13.5" customHeight="1" x14ac:dyDescent="0.3">
      <c r="A1396" s="245"/>
      <c r="B1396" s="245"/>
      <c r="C1396" s="246"/>
      <c r="D1396" s="245"/>
      <c r="E1396" s="247"/>
      <c r="F1396" s="157"/>
    </row>
    <row r="1397" spans="1:6" s="243" customFormat="1" ht="13.5" customHeight="1" x14ac:dyDescent="0.3">
      <c r="A1397" s="245"/>
      <c r="B1397" s="245"/>
      <c r="C1397" s="246"/>
      <c r="D1397" s="245"/>
      <c r="E1397" s="247"/>
      <c r="F1397" s="157"/>
    </row>
    <row r="1398" spans="1:6" s="243" customFormat="1" ht="13.5" customHeight="1" x14ac:dyDescent="0.3">
      <c r="A1398" s="245"/>
      <c r="B1398" s="245"/>
      <c r="C1398" s="246"/>
      <c r="D1398" s="245"/>
      <c r="E1398" s="247"/>
      <c r="F1398" s="157"/>
    </row>
    <row r="1399" spans="1:6" s="243" customFormat="1" ht="13.5" customHeight="1" x14ac:dyDescent="0.3">
      <c r="A1399" s="245"/>
      <c r="B1399" s="245"/>
      <c r="C1399" s="246"/>
      <c r="D1399" s="245"/>
      <c r="E1399" s="247"/>
      <c r="F1399" s="157"/>
    </row>
    <row r="1400" spans="1:6" s="243" customFormat="1" ht="13.5" customHeight="1" x14ac:dyDescent="0.3">
      <c r="A1400" s="245"/>
      <c r="B1400" s="245"/>
      <c r="C1400" s="246"/>
      <c r="D1400" s="245"/>
      <c r="E1400" s="247"/>
      <c r="F1400" s="157"/>
    </row>
    <row r="1401" spans="1:6" s="243" customFormat="1" ht="13.5" customHeight="1" x14ac:dyDescent="0.3">
      <c r="A1401" s="245"/>
      <c r="B1401" s="245"/>
      <c r="C1401" s="246"/>
      <c r="D1401" s="245"/>
      <c r="E1401" s="247"/>
      <c r="F1401" s="157"/>
    </row>
    <row r="1402" spans="1:6" s="243" customFormat="1" ht="13.5" customHeight="1" x14ac:dyDescent="0.3">
      <c r="A1402" s="245"/>
      <c r="B1402" s="245"/>
      <c r="C1402" s="246"/>
      <c r="D1402" s="245"/>
      <c r="E1402" s="247"/>
      <c r="F1402" s="157"/>
    </row>
    <row r="1403" spans="1:6" s="243" customFormat="1" ht="13.5" customHeight="1" x14ac:dyDescent="0.3">
      <c r="A1403" s="245"/>
      <c r="B1403" s="245"/>
      <c r="C1403" s="246"/>
      <c r="D1403" s="245"/>
      <c r="E1403" s="247"/>
      <c r="F1403" s="157"/>
    </row>
    <row r="1404" spans="1:6" s="243" customFormat="1" ht="13.5" customHeight="1" x14ac:dyDescent="0.3">
      <c r="A1404" s="245"/>
      <c r="B1404" s="245"/>
      <c r="C1404" s="246"/>
      <c r="D1404" s="245"/>
      <c r="E1404" s="247"/>
      <c r="F1404" s="157"/>
    </row>
    <row r="1405" spans="1:6" s="243" customFormat="1" ht="13.5" customHeight="1" x14ac:dyDescent="0.3">
      <c r="A1405" s="245"/>
      <c r="B1405" s="245"/>
      <c r="C1405" s="246"/>
      <c r="D1405" s="245"/>
      <c r="E1405" s="247"/>
      <c r="F1405" s="157"/>
    </row>
    <row r="1406" spans="1:6" s="243" customFormat="1" ht="13.5" customHeight="1" x14ac:dyDescent="0.3">
      <c r="A1406" s="245"/>
      <c r="B1406" s="245"/>
      <c r="C1406" s="246"/>
      <c r="D1406" s="245"/>
      <c r="E1406" s="247"/>
      <c r="F1406" s="157"/>
    </row>
    <row r="1407" spans="1:6" s="243" customFormat="1" ht="13.5" customHeight="1" x14ac:dyDescent="0.3">
      <c r="A1407" s="245"/>
      <c r="B1407" s="245"/>
      <c r="C1407" s="246"/>
      <c r="D1407" s="245"/>
      <c r="E1407" s="247"/>
      <c r="F1407" s="157"/>
    </row>
    <row r="1408" spans="1:6" s="243" customFormat="1" ht="13.5" customHeight="1" x14ac:dyDescent="0.3">
      <c r="A1408" s="245"/>
      <c r="B1408" s="245"/>
      <c r="C1408" s="246"/>
      <c r="D1408" s="245"/>
      <c r="E1408" s="247"/>
      <c r="F1408" s="157"/>
    </row>
    <row r="1409" spans="1:6" s="243" customFormat="1" ht="13.5" customHeight="1" x14ac:dyDescent="0.3">
      <c r="A1409" s="245"/>
      <c r="B1409" s="245"/>
      <c r="C1409" s="246"/>
      <c r="D1409" s="245"/>
      <c r="E1409" s="247"/>
      <c r="F1409" s="157"/>
    </row>
    <row r="1410" spans="1:6" s="243" customFormat="1" ht="13.5" customHeight="1" x14ac:dyDescent="0.3">
      <c r="A1410" s="245"/>
      <c r="B1410" s="245"/>
      <c r="C1410" s="246"/>
      <c r="D1410" s="245"/>
      <c r="E1410" s="247"/>
      <c r="F1410" s="157"/>
    </row>
    <row r="1411" spans="1:6" s="243" customFormat="1" ht="13.5" customHeight="1" x14ac:dyDescent="0.3">
      <c r="A1411" s="245"/>
      <c r="B1411" s="245"/>
      <c r="C1411" s="246"/>
      <c r="D1411" s="245"/>
      <c r="E1411" s="247"/>
      <c r="F1411" s="157"/>
    </row>
    <row r="1412" spans="1:6" s="243" customFormat="1" ht="13.5" customHeight="1" x14ac:dyDescent="0.3">
      <c r="A1412" s="245"/>
      <c r="B1412" s="245"/>
      <c r="C1412" s="246"/>
      <c r="D1412" s="245"/>
      <c r="E1412" s="247"/>
      <c r="F1412" s="157"/>
    </row>
    <row r="1413" spans="1:6" s="243" customFormat="1" ht="13.5" customHeight="1" x14ac:dyDescent="0.3">
      <c r="A1413" s="245"/>
      <c r="B1413" s="245"/>
      <c r="C1413" s="246"/>
      <c r="D1413" s="245"/>
      <c r="E1413" s="247"/>
      <c r="F1413" s="157"/>
    </row>
    <row r="1414" spans="1:6" s="243" customFormat="1" ht="13.5" customHeight="1" x14ac:dyDescent="0.3">
      <c r="A1414" s="245"/>
      <c r="B1414" s="245"/>
      <c r="C1414" s="246"/>
      <c r="D1414" s="245"/>
      <c r="E1414" s="247"/>
      <c r="F1414" s="157"/>
    </row>
    <row r="1415" spans="1:6" s="243" customFormat="1" ht="13.5" customHeight="1" x14ac:dyDescent="0.3">
      <c r="A1415" s="245"/>
      <c r="B1415" s="245"/>
      <c r="C1415" s="246"/>
      <c r="D1415" s="245"/>
      <c r="E1415" s="247"/>
      <c r="F1415" s="157"/>
    </row>
    <row r="1416" spans="1:6" s="243" customFormat="1" ht="13.5" customHeight="1" x14ac:dyDescent="0.3">
      <c r="A1416" s="245"/>
      <c r="B1416" s="245"/>
      <c r="C1416" s="246"/>
      <c r="D1416" s="245"/>
      <c r="E1416" s="247"/>
      <c r="F1416" s="157"/>
    </row>
    <row r="1417" spans="1:6" s="243" customFormat="1" ht="13.5" customHeight="1" x14ac:dyDescent="0.3">
      <c r="A1417" s="245"/>
      <c r="B1417" s="245"/>
      <c r="C1417" s="246"/>
      <c r="D1417" s="245"/>
      <c r="E1417" s="247"/>
      <c r="F1417" s="157"/>
    </row>
    <row r="1418" spans="1:6" s="243" customFormat="1" ht="13.5" customHeight="1" x14ac:dyDescent="0.3">
      <c r="A1418" s="245"/>
      <c r="B1418" s="245"/>
      <c r="C1418" s="246"/>
      <c r="D1418" s="245"/>
      <c r="E1418" s="247"/>
      <c r="F1418" s="157"/>
    </row>
    <row r="1419" spans="1:6" s="243" customFormat="1" ht="13.5" customHeight="1" x14ac:dyDescent="0.3">
      <c r="A1419" s="245"/>
      <c r="B1419" s="245"/>
      <c r="C1419" s="246"/>
      <c r="D1419" s="245"/>
      <c r="E1419" s="247"/>
      <c r="F1419" s="157"/>
    </row>
    <row r="1420" spans="1:6" s="243" customFormat="1" ht="13.5" customHeight="1" x14ac:dyDescent="0.3">
      <c r="A1420" s="245"/>
      <c r="B1420" s="245"/>
      <c r="C1420" s="246"/>
      <c r="D1420" s="245"/>
      <c r="E1420" s="247"/>
      <c r="F1420" s="157"/>
    </row>
    <row r="1421" spans="1:6" s="243" customFormat="1" ht="13.5" customHeight="1" x14ac:dyDescent="0.3">
      <c r="A1421" s="245"/>
      <c r="B1421" s="245"/>
      <c r="C1421" s="246"/>
      <c r="D1421" s="245"/>
      <c r="E1421" s="247"/>
      <c r="F1421" s="157"/>
    </row>
    <row r="1422" spans="1:6" s="243" customFormat="1" ht="13.5" customHeight="1" x14ac:dyDescent="0.3">
      <c r="A1422" s="245"/>
      <c r="B1422" s="245"/>
      <c r="C1422" s="246"/>
      <c r="D1422" s="245"/>
      <c r="E1422" s="247"/>
      <c r="F1422" s="157"/>
    </row>
    <row r="1423" spans="1:6" s="243" customFormat="1" ht="13.5" customHeight="1" x14ac:dyDescent="0.3">
      <c r="A1423" s="245"/>
      <c r="B1423" s="245"/>
      <c r="C1423" s="246"/>
      <c r="D1423" s="245"/>
      <c r="E1423" s="247"/>
      <c r="F1423" s="157"/>
    </row>
    <row r="1424" spans="1:6" s="243" customFormat="1" ht="13.5" customHeight="1" x14ac:dyDescent="0.3">
      <c r="A1424" s="245"/>
      <c r="B1424" s="245"/>
      <c r="C1424" s="246"/>
      <c r="D1424" s="245"/>
      <c r="E1424" s="247"/>
      <c r="F1424" s="157"/>
    </row>
    <row r="1425" spans="1:6" s="243" customFormat="1" ht="13.5" customHeight="1" x14ac:dyDescent="0.3">
      <c r="A1425" s="245"/>
      <c r="B1425" s="245"/>
      <c r="C1425" s="246"/>
      <c r="D1425" s="245"/>
      <c r="E1425" s="247"/>
      <c r="F1425" s="157"/>
    </row>
    <row r="1426" spans="1:6" s="243" customFormat="1" ht="13.5" customHeight="1" x14ac:dyDescent="0.3">
      <c r="A1426" s="245"/>
      <c r="B1426" s="245"/>
      <c r="C1426" s="246"/>
      <c r="D1426" s="245"/>
      <c r="E1426" s="247"/>
      <c r="F1426" s="157"/>
    </row>
    <row r="1427" spans="1:6" s="243" customFormat="1" ht="13.5" customHeight="1" x14ac:dyDescent="0.3">
      <c r="A1427" s="245"/>
      <c r="B1427" s="245"/>
      <c r="C1427" s="246"/>
      <c r="D1427" s="245"/>
      <c r="E1427" s="247"/>
      <c r="F1427" s="157"/>
    </row>
    <row r="1428" spans="1:6" s="243" customFormat="1" ht="13.5" customHeight="1" x14ac:dyDescent="0.3">
      <c r="A1428" s="245"/>
      <c r="B1428" s="245"/>
      <c r="C1428" s="246"/>
      <c r="D1428" s="245"/>
      <c r="E1428" s="247"/>
      <c r="F1428" s="157"/>
    </row>
    <row r="1429" spans="1:6" s="243" customFormat="1" ht="13.5" customHeight="1" x14ac:dyDescent="0.3">
      <c r="A1429" s="245"/>
      <c r="B1429" s="245"/>
      <c r="C1429" s="246"/>
      <c r="D1429" s="245"/>
      <c r="E1429" s="247"/>
      <c r="F1429" s="157"/>
    </row>
    <row r="1430" spans="1:6" s="243" customFormat="1" ht="13.5" customHeight="1" x14ac:dyDescent="0.3">
      <c r="A1430" s="245"/>
      <c r="B1430" s="245"/>
      <c r="C1430" s="246"/>
      <c r="D1430" s="245"/>
      <c r="E1430" s="247"/>
      <c r="F1430" s="157"/>
    </row>
    <row r="1431" spans="1:6" s="243" customFormat="1" ht="13.5" customHeight="1" x14ac:dyDescent="0.3">
      <c r="A1431" s="245"/>
      <c r="B1431" s="245"/>
      <c r="C1431" s="246"/>
      <c r="D1431" s="245"/>
      <c r="E1431" s="247"/>
      <c r="F1431" s="157"/>
    </row>
    <row r="1432" spans="1:6" s="243" customFormat="1" ht="13.5" customHeight="1" x14ac:dyDescent="0.3">
      <c r="A1432" s="245"/>
      <c r="B1432" s="245"/>
      <c r="C1432" s="246"/>
      <c r="D1432" s="245"/>
      <c r="E1432" s="247"/>
      <c r="F1432" s="157"/>
    </row>
    <row r="1433" spans="1:6" s="243" customFormat="1" ht="13.5" customHeight="1" x14ac:dyDescent="0.3">
      <c r="A1433" s="245"/>
      <c r="B1433" s="245"/>
      <c r="C1433" s="246"/>
      <c r="D1433" s="245"/>
      <c r="E1433" s="247"/>
      <c r="F1433" s="157"/>
    </row>
    <row r="1434" spans="1:6" s="243" customFormat="1" ht="13.5" customHeight="1" x14ac:dyDescent="0.3">
      <c r="A1434" s="245"/>
      <c r="B1434" s="245"/>
      <c r="C1434" s="246"/>
      <c r="D1434" s="245"/>
      <c r="E1434" s="247"/>
      <c r="F1434" s="157"/>
    </row>
    <row r="1435" spans="1:6" s="243" customFormat="1" ht="13.5" customHeight="1" x14ac:dyDescent="0.3">
      <c r="A1435" s="245"/>
      <c r="B1435" s="245"/>
      <c r="C1435" s="246"/>
      <c r="D1435" s="245"/>
      <c r="E1435" s="247"/>
      <c r="F1435" s="157"/>
    </row>
    <row r="1436" spans="1:6" s="243" customFormat="1" ht="13.5" customHeight="1" x14ac:dyDescent="0.3">
      <c r="A1436" s="245"/>
      <c r="B1436" s="245"/>
      <c r="C1436" s="246"/>
      <c r="D1436" s="245"/>
      <c r="E1436" s="247"/>
      <c r="F1436" s="157"/>
    </row>
    <row r="1437" spans="1:6" s="243" customFormat="1" ht="13.5" customHeight="1" x14ac:dyDescent="0.3">
      <c r="A1437" s="245"/>
      <c r="B1437" s="245"/>
      <c r="C1437" s="246"/>
      <c r="D1437" s="245"/>
      <c r="E1437" s="247"/>
      <c r="F1437" s="157"/>
    </row>
    <row r="1438" spans="1:6" s="243" customFormat="1" ht="13.5" customHeight="1" x14ac:dyDescent="0.3">
      <c r="A1438" s="245"/>
      <c r="B1438" s="245"/>
      <c r="C1438" s="246"/>
      <c r="D1438" s="245"/>
      <c r="E1438" s="247"/>
      <c r="F1438" s="157"/>
    </row>
    <row r="1439" spans="1:6" s="243" customFormat="1" ht="13.5" customHeight="1" x14ac:dyDescent="0.3">
      <c r="A1439" s="245"/>
      <c r="B1439" s="245"/>
      <c r="C1439" s="246"/>
      <c r="D1439" s="245"/>
      <c r="E1439" s="247"/>
      <c r="F1439" s="157"/>
    </row>
    <row r="1440" spans="1:6" s="243" customFormat="1" ht="13.5" customHeight="1" x14ac:dyDescent="0.3">
      <c r="A1440" s="245"/>
      <c r="B1440" s="245"/>
      <c r="C1440" s="246"/>
      <c r="D1440" s="245"/>
      <c r="E1440" s="247"/>
      <c r="F1440" s="157"/>
    </row>
    <row r="1441" spans="1:6" s="243" customFormat="1" ht="13.5" customHeight="1" x14ac:dyDescent="0.3">
      <c r="A1441" s="245"/>
      <c r="B1441" s="245"/>
      <c r="C1441" s="246"/>
      <c r="D1441" s="245"/>
      <c r="E1441" s="247"/>
      <c r="F1441" s="157"/>
    </row>
    <row r="1442" spans="1:6" s="243" customFormat="1" ht="13.5" customHeight="1" x14ac:dyDescent="0.3">
      <c r="A1442" s="245"/>
      <c r="B1442" s="245"/>
      <c r="C1442" s="246"/>
      <c r="D1442" s="245"/>
      <c r="E1442" s="247"/>
      <c r="F1442" s="157"/>
    </row>
    <row r="1443" spans="1:6" s="243" customFormat="1" ht="13.5" customHeight="1" x14ac:dyDescent="0.3">
      <c r="A1443" s="245"/>
      <c r="B1443" s="245"/>
      <c r="C1443" s="246"/>
      <c r="D1443" s="245"/>
      <c r="E1443" s="247"/>
      <c r="F1443" s="157"/>
    </row>
    <row r="1444" spans="1:6" s="243" customFormat="1" ht="13.5" customHeight="1" x14ac:dyDescent="0.3">
      <c r="A1444" s="245"/>
      <c r="B1444" s="245"/>
      <c r="C1444" s="246"/>
      <c r="D1444" s="245"/>
      <c r="E1444" s="247"/>
      <c r="F1444" s="157"/>
    </row>
    <row r="1445" spans="1:6" s="243" customFormat="1" ht="13.5" customHeight="1" x14ac:dyDescent="0.3">
      <c r="A1445" s="245"/>
      <c r="B1445" s="245"/>
      <c r="C1445" s="246"/>
      <c r="D1445" s="245"/>
      <c r="E1445" s="247"/>
      <c r="F1445" s="157"/>
    </row>
    <row r="1446" spans="1:6" s="243" customFormat="1" ht="13.5" customHeight="1" x14ac:dyDescent="0.3">
      <c r="A1446" s="245"/>
      <c r="B1446" s="245"/>
      <c r="C1446" s="246"/>
      <c r="D1446" s="245"/>
      <c r="E1446" s="247"/>
      <c r="F1446" s="157"/>
    </row>
    <row r="1447" spans="1:6" s="243" customFormat="1" ht="13.5" customHeight="1" x14ac:dyDescent="0.3">
      <c r="A1447" s="245"/>
      <c r="B1447" s="245"/>
      <c r="C1447" s="246"/>
      <c r="D1447" s="245"/>
      <c r="E1447" s="247"/>
      <c r="F1447" s="157"/>
    </row>
    <row r="1448" spans="1:6" s="243" customFormat="1" ht="13.5" customHeight="1" x14ac:dyDescent="0.3">
      <c r="A1448" s="245"/>
      <c r="B1448" s="245"/>
      <c r="C1448" s="246"/>
      <c r="D1448" s="245"/>
      <c r="E1448" s="247"/>
      <c r="F1448" s="157"/>
    </row>
    <row r="1449" spans="1:6" s="243" customFormat="1" ht="13.5" customHeight="1" x14ac:dyDescent="0.3">
      <c r="A1449" s="245"/>
      <c r="B1449" s="245"/>
      <c r="C1449" s="246"/>
      <c r="D1449" s="245"/>
      <c r="E1449" s="247"/>
      <c r="F1449" s="157"/>
    </row>
    <row r="1450" spans="1:6" s="243" customFormat="1" ht="13.5" customHeight="1" x14ac:dyDescent="0.3">
      <c r="A1450" s="245"/>
      <c r="B1450" s="245"/>
      <c r="C1450" s="246"/>
      <c r="D1450" s="245"/>
      <c r="E1450" s="247"/>
      <c r="F1450" s="157"/>
    </row>
    <row r="1451" spans="1:6" s="243" customFormat="1" ht="13.5" customHeight="1" x14ac:dyDescent="0.3">
      <c r="A1451" s="245"/>
      <c r="B1451" s="245"/>
      <c r="C1451" s="246"/>
      <c r="D1451" s="245"/>
      <c r="E1451" s="247"/>
      <c r="F1451" s="157"/>
    </row>
    <row r="1452" spans="1:6" s="243" customFormat="1" ht="13.5" customHeight="1" x14ac:dyDescent="0.3">
      <c r="A1452" s="245"/>
      <c r="B1452" s="245"/>
      <c r="C1452" s="246"/>
      <c r="D1452" s="245"/>
      <c r="E1452" s="247"/>
      <c r="F1452" s="157"/>
    </row>
    <row r="1453" spans="1:6" s="243" customFormat="1" ht="13.5" customHeight="1" x14ac:dyDescent="0.3">
      <c r="A1453" s="245"/>
      <c r="B1453" s="245"/>
      <c r="C1453" s="246"/>
      <c r="D1453" s="245"/>
      <c r="E1453" s="247"/>
      <c r="F1453" s="157"/>
    </row>
    <row r="1454" spans="1:6" s="243" customFormat="1" ht="13.5" customHeight="1" x14ac:dyDescent="0.3">
      <c r="A1454" s="245"/>
      <c r="B1454" s="245"/>
      <c r="C1454" s="246"/>
      <c r="D1454" s="245"/>
      <c r="E1454" s="247"/>
      <c r="F1454" s="157"/>
    </row>
    <row r="1455" spans="1:6" s="243" customFormat="1" ht="13.5" customHeight="1" x14ac:dyDescent="0.3">
      <c r="A1455" s="245"/>
      <c r="B1455" s="245"/>
      <c r="C1455" s="246"/>
      <c r="D1455" s="245"/>
      <c r="E1455" s="247"/>
      <c r="F1455" s="157"/>
    </row>
    <row r="1456" spans="1:6" s="243" customFormat="1" ht="13.5" customHeight="1" x14ac:dyDescent="0.3">
      <c r="A1456" s="245"/>
      <c r="B1456" s="245"/>
      <c r="C1456" s="246"/>
      <c r="D1456" s="245"/>
      <c r="E1456" s="247"/>
      <c r="F1456" s="157"/>
    </row>
    <row r="1457" spans="1:6" s="243" customFormat="1" ht="13.5" customHeight="1" x14ac:dyDescent="0.3">
      <c r="A1457" s="245"/>
      <c r="B1457" s="245"/>
      <c r="C1457" s="246"/>
      <c r="D1457" s="245"/>
      <c r="E1457" s="247"/>
      <c r="F1457" s="157"/>
    </row>
    <row r="1458" spans="1:6" s="243" customFormat="1" ht="13.5" customHeight="1" x14ac:dyDescent="0.3">
      <c r="A1458" s="245"/>
      <c r="B1458" s="245"/>
      <c r="C1458" s="246"/>
      <c r="D1458" s="245"/>
      <c r="E1458" s="247"/>
      <c r="F1458" s="157"/>
    </row>
    <row r="1459" spans="1:6" s="243" customFormat="1" ht="13.5" customHeight="1" x14ac:dyDescent="0.3">
      <c r="A1459" s="245"/>
      <c r="B1459" s="245"/>
      <c r="C1459" s="246"/>
      <c r="D1459" s="245"/>
      <c r="E1459" s="247"/>
      <c r="F1459" s="157"/>
    </row>
    <row r="1460" spans="1:6" s="243" customFormat="1" ht="13.5" customHeight="1" x14ac:dyDescent="0.3">
      <c r="A1460" s="245"/>
      <c r="B1460" s="245"/>
      <c r="C1460" s="246"/>
      <c r="D1460" s="245"/>
      <c r="E1460" s="247"/>
      <c r="F1460" s="157"/>
    </row>
    <row r="1461" spans="1:6" s="243" customFormat="1" ht="13.5" customHeight="1" x14ac:dyDescent="0.3">
      <c r="A1461" s="245"/>
      <c r="B1461" s="245"/>
      <c r="C1461" s="246"/>
      <c r="D1461" s="245"/>
      <c r="E1461" s="247"/>
      <c r="F1461" s="157"/>
    </row>
    <row r="1462" spans="1:6" s="243" customFormat="1" ht="13.5" customHeight="1" x14ac:dyDescent="0.3">
      <c r="A1462" s="245"/>
      <c r="B1462" s="245"/>
      <c r="C1462" s="246"/>
      <c r="D1462" s="245"/>
      <c r="E1462" s="247"/>
      <c r="F1462" s="157"/>
    </row>
    <row r="1463" spans="1:6" s="243" customFormat="1" ht="13.5" customHeight="1" x14ac:dyDescent="0.3">
      <c r="A1463" s="245"/>
      <c r="B1463" s="245"/>
      <c r="C1463" s="246"/>
      <c r="D1463" s="245"/>
      <c r="E1463" s="247"/>
      <c r="F1463" s="157"/>
    </row>
    <row r="1464" spans="1:6" s="243" customFormat="1" ht="13.5" customHeight="1" x14ac:dyDescent="0.3">
      <c r="A1464" s="245"/>
      <c r="B1464" s="245"/>
      <c r="C1464" s="246"/>
      <c r="D1464" s="245"/>
      <c r="E1464" s="247"/>
      <c r="F1464" s="157"/>
    </row>
    <row r="1465" spans="1:6" s="243" customFormat="1" ht="13.5" customHeight="1" x14ac:dyDescent="0.3">
      <c r="A1465" s="245"/>
      <c r="B1465" s="245"/>
      <c r="C1465" s="246"/>
      <c r="D1465" s="245"/>
      <c r="E1465" s="247"/>
      <c r="F1465" s="157"/>
    </row>
    <row r="1466" spans="1:6" s="243" customFormat="1" ht="13.5" customHeight="1" x14ac:dyDescent="0.3">
      <c r="A1466" s="245"/>
      <c r="B1466" s="245"/>
      <c r="C1466" s="246"/>
      <c r="D1466" s="245"/>
      <c r="E1466" s="247"/>
      <c r="F1466" s="157"/>
    </row>
    <row r="1467" spans="1:6" s="243" customFormat="1" ht="13.5" customHeight="1" x14ac:dyDescent="0.3">
      <c r="A1467" s="245"/>
      <c r="B1467" s="245"/>
      <c r="C1467" s="246"/>
      <c r="D1467" s="245"/>
      <c r="E1467" s="247"/>
      <c r="F1467" s="157"/>
    </row>
    <row r="1468" spans="1:6" s="243" customFormat="1" ht="13.5" customHeight="1" x14ac:dyDescent="0.3">
      <c r="A1468" s="245"/>
      <c r="B1468" s="245"/>
      <c r="C1468" s="246"/>
      <c r="D1468" s="245"/>
      <c r="E1468" s="247"/>
      <c r="F1468" s="157"/>
    </row>
    <row r="1469" spans="1:6" s="243" customFormat="1" ht="13.5" customHeight="1" x14ac:dyDescent="0.3">
      <c r="A1469" s="245"/>
      <c r="B1469" s="245"/>
      <c r="C1469" s="246"/>
      <c r="D1469" s="245"/>
      <c r="E1469" s="247"/>
      <c r="F1469" s="157"/>
    </row>
    <row r="1470" spans="1:6" s="243" customFormat="1" ht="13.5" customHeight="1" x14ac:dyDescent="0.3">
      <c r="A1470" s="245"/>
      <c r="B1470" s="245"/>
      <c r="C1470" s="246"/>
      <c r="D1470" s="245"/>
      <c r="E1470" s="247"/>
      <c r="F1470" s="157"/>
    </row>
    <row r="1471" spans="1:6" s="243" customFormat="1" ht="13.5" customHeight="1" x14ac:dyDescent="0.3">
      <c r="A1471" s="245"/>
      <c r="B1471" s="245"/>
      <c r="C1471" s="246"/>
      <c r="D1471" s="245"/>
      <c r="E1471" s="247"/>
      <c r="F1471" s="157"/>
    </row>
    <row r="1472" spans="1:6" s="243" customFormat="1" ht="13.5" customHeight="1" x14ac:dyDescent="0.3">
      <c r="A1472" s="245"/>
      <c r="B1472" s="245"/>
      <c r="C1472" s="246"/>
      <c r="D1472" s="245"/>
      <c r="E1472" s="247"/>
      <c r="F1472" s="157"/>
    </row>
    <row r="1473" spans="1:6" s="243" customFormat="1" ht="13.5" customHeight="1" x14ac:dyDescent="0.3">
      <c r="A1473" s="245"/>
      <c r="B1473" s="245"/>
      <c r="C1473" s="246"/>
      <c r="D1473" s="245"/>
      <c r="E1473" s="247"/>
      <c r="F1473" s="157"/>
    </row>
    <row r="1474" spans="1:6" s="243" customFormat="1" ht="13.5" customHeight="1" x14ac:dyDescent="0.3">
      <c r="A1474" s="245"/>
      <c r="B1474" s="245"/>
      <c r="C1474" s="246"/>
      <c r="D1474" s="245"/>
      <c r="E1474" s="247"/>
      <c r="F1474" s="157"/>
    </row>
    <row r="1475" spans="1:6" s="243" customFormat="1" ht="13.5" customHeight="1" x14ac:dyDescent="0.3">
      <c r="A1475" s="245"/>
      <c r="B1475" s="245"/>
      <c r="C1475" s="246"/>
      <c r="D1475" s="245"/>
      <c r="E1475" s="247"/>
      <c r="F1475" s="157"/>
    </row>
    <row r="1476" spans="1:6" s="243" customFormat="1" ht="13.5" customHeight="1" x14ac:dyDescent="0.3">
      <c r="A1476" s="245"/>
      <c r="B1476" s="245"/>
      <c r="C1476" s="246"/>
      <c r="D1476" s="245"/>
      <c r="E1476" s="247"/>
      <c r="F1476" s="157"/>
    </row>
    <row r="1477" spans="1:6" s="243" customFormat="1" ht="13.5" customHeight="1" x14ac:dyDescent="0.3">
      <c r="A1477" s="245"/>
      <c r="B1477" s="245"/>
      <c r="C1477" s="246"/>
      <c r="D1477" s="245"/>
      <c r="E1477" s="247"/>
      <c r="F1477" s="157"/>
    </row>
    <row r="1478" spans="1:6" s="243" customFormat="1" ht="13.5" customHeight="1" x14ac:dyDescent="0.3">
      <c r="A1478" s="245"/>
      <c r="B1478" s="245"/>
      <c r="C1478" s="246"/>
      <c r="D1478" s="245"/>
      <c r="E1478" s="247"/>
      <c r="F1478" s="157"/>
    </row>
    <row r="1479" spans="1:6" s="243" customFormat="1" ht="13.5" customHeight="1" x14ac:dyDescent="0.3">
      <c r="A1479" s="245"/>
      <c r="B1479" s="245"/>
      <c r="C1479" s="246"/>
      <c r="D1479" s="245"/>
      <c r="E1479" s="247"/>
      <c r="F1479" s="157"/>
    </row>
    <row r="1480" spans="1:6" s="243" customFormat="1" ht="13.5" customHeight="1" x14ac:dyDescent="0.3">
      <c r="A1480" s="245"/>
      <c r="B1480" s="245"/>
      <c r="C1480" s="246"/>
      <c r="D1480" s="245"/>
      <c r="E1480" s="247"/>
      <c r="F1480" s="157"/>
    </row>
    <row r="1481" spans="1:6" s="243" customFormat="1" ht="13.5" customHeight="1" x14ac:dyDescent="0.3">
      <c r="A1481" s="245"/>
      <c r="B1481" s="245"/>
      <c r="C1481" s="246"/>
      <c r="D1481" s="245"/>
      <c r="E1481" s="247"/>
      <c r="F1481" s="157"/>
    </row>
    <row r="1482" spans="1:6" s="243" customFormat="1" ht="13.5" customHeight="1" x14ac:dyDescent="0.3">
      <c r="A1482" s="245"/>
      <c r="B1482" s="245"/>
      <c r="C1482" s="246"/>
      <c r="D1482" s="245"/>
      <c r="E1482" s="247"/>
      <c r="F1482" s="157"/>
    </row>
    <row r="1483" spans="1:6" s="243" customFormat="1" ht="13.5" customHeight="1" x14ac:dyDescent="0.3">
      <c r="A1483" s="245"/>
      <c r="B1483" s="245"/>
      <c r="C1483" s="246"/>
      <c r="D1483" s="245"/>
      <c r="E1483" s="247"/>
      <c r="F1483" s="157"/>
    </row>
    <row r="1484" spans="1:6" s="243" customFormat="1" ht="13.5" customHeight="1" x14ac:dyDescent="0.3">
      <c r="A1484" s="245"/>
      <c r="B1484" s="245"/>
      <c r="C1484" s="246"/>
      <c r="D1484" s="245"/>
      <c r="E1484" s="247"/>
      <c r="F1484" s="157"/>
    </row>
    <row r="1485" spans="1:6" s="243" customFormat="1" ht="13.5" customHeight="1" x14ac:dyDescent="0.3">
      <c r="A1485" s="245"/>
      <c r="B1485" s="245"/>
      <c r="C1485" s="246"/>
      <c r="D1485" s="245"/>
      <c r="E1485" s="247"/>
      <c r="F1485" s="157"/>
    </row>
    <row r="1486" spans="1:6" s="243" customFormat="1" ht="13.5" customHeight="1" x14ac:dyDescent="0.3">
      <c r="A1486" s="245"/>
      <c r="B1486" s="245"/>
      <c r="C1486" s="246"/>
      <c r="D1486" s="245"/>
      <c r="E1486" s="247"/>
      <c r="F1486" s="157"/>
    </row>
    <row r="1487" spans="1:6" s="243" customFormat="1" ht="13.5" customHeight="1" x14ac:dyDescent="0.3">
      <c r="A1487" s="245"/>
      <c r="B1487" s="245"/>
      <c r="C1487" s="246"/>
      <c r="D1487" s="245"/>
      <c r="E1487" s="247"/>
      <c r="F1487" s="157"/>
    </row>
    <row r="1488" spans="1:6" s="243" customFormat="1" ht="13.5" customHeight="1" x14ac:dyDescent="0.3">
      <c r="A1488" s="245"/>
      <c r="B1488" s="245"/>
      <c r="C1488" s="246"/>
      <c r="D1488" s="245"/>
      <c r="E1488" s="247"/>
      <c r="F1488" s="157"/>
    </row>
    <row r="1489" spans="1:6" s="243" customFormat="1" ht="13.5" customHeight="1" x14ac:dyDescent="0.3">
      <c r="A1489" s="245"/>
      <c r="B1489" s="245"/>
      <c r="C1489" s="246"/>
      <c r="D1489" s="245"/>
      <c r="E1489" s="247"/>
      <c r="F1489" s="157"/>
    </row>
    <row r="1490" spans="1:6" s="243" customFormat="1" ht="13.5" customHeight="1" x14ac:dyDescent="0.3">
      <c r="A1490" s="245"/>
      <c r="B1490" s="245"/>
      <c r="C1490" s="246"/>
      <c r="D1490" s="245"/>
      <c r="E1490" s="247"/>
      <c r="F1490" s="157"/>
    </row>
    <row r="1491" spans="1:6" s="243" customFormat="1" ht="13.5" customHeight="1" x14ac:dyDescent="0.3">
      <c r="A1491" s="245"/>
      <c r="B1491" s="245"/>
      <c r="C1491" s="246"/>
      <c r="D1491" s="245"/>
      <c r="E1491" s="247"/>
      <c r="F1491" s="157"/>
    </row>
    <row r="1492" spans="1:6" s="243" customFormat="1" ht="13.5" customHeight="1" x14ac:dyDescent="0.3">
      <c r="A1492" s="245"/>
      <c r="B1492" s="245"/>
      <c r="C1492" s="246"/>
      <c r="D1492" s="245"/>
      <c r="E1492" s="247"/>
      <c r="F1492" s="157"/>
    </row>
    <row r="1493" spans="1:6" s="243" customFormat="1" ht="13.5" customHeight="1" x14ac:dyDescent="0.3">
      <c r="A1493" s="245"/>
      <c r="B1493" s="245"/>
      <c r="C1493" s="246"/>
      <c r="D1493" s="245"/>
      <c r="E1493" s="247"/>
      <c r="F1493" s="157"/>
    </row>
    <row r="1494" spans="1:6" s="243" customFormat="1" ht="13.5" customHeight="1" x14ac:dyDescent="0.3">
      <c r="A1494" s="245"/>
      <c r="B1494" s="245"/>
      <c r="C1494" s="246"/>
      <c r="D1494" s="245"/>
      <c r="E1494" s="247"/>
      <c r="F1494" s="157"/>
    </row>
    <row r="1495" spans="1:6" s="243" customFormat="1" ht="13.5" customHeight="1" x14ac:dyDescent="0.3">
      <c r="A1495" s="245"/>
      <c r="B1495" s="245"/>
      <c r="C1495" s="246"/>
      <c r="D1495" s="245"/>
      <c r="E1495" s="247"/>
      <c r="F1495" s="157"/>
    </row>
    <row r="1496" spans="1:6" s="243" customFormat="1" ht="13.5" customHeight="1" x14ac:dyDescent="0.3">
      <c r="A1496" s="245"/>
      <c r="B1496" s="245"/>
      <c r="C1496" s="246"/>
      <c r="D1496" s="245"/>
      <c r="E1496" s="247"/>
      <c r="F1496" s="157"/>
    </row>
    <row r="1497" spans="1:6" s="243" customFormat="1" ht="13.5" customHeight="1" x14ac:dyDescent="0.3">
      <c r="A1497" s="245"/>
      <c r="B1497" s="245"/>
      <c r="C1497" s="246"/>
      <c r="D1497" s="245"/>
      <c r="E1497" s="247"/>
      <c r="F1497" s="157"/>
    </row>
    <row r="1498" spans="1:6" s="243" customFormat="1" ht="13.5" customHeight="1" x14ac:dyDescent="0.3">
      <c r="A1498" s="245"/>
      <c r="B1498" s="245"/>
      <c r="C1498" s="246"/>
      <c r="D1498" s="245"/>
      <c r="E1498" s="247"/>
      <c r="F1498" s="157"/>
    </row>
    <row r="1499" spans="1:6" s="243" customFormat="1" ht="13.5" customHeight="1" x14ac:dyDescent="0.3">
      <c r="A1499" s="245"/>
      <c r="B1499" s="245"/>
      <c r="C1499" s="246"/>
      <c r="D1499" s="245"/>
      <c r="E1499" s="247"/>
      <c r="F1499" s="157"/>
    </row>
    <row r="1500" spans="1:6" s="243" customFormat="1" ht="13.5" customHeight="1" x14ac:dyDescent="0.3">
      <c r="A1500" s="245"/>
      <c r="B1500" s="245"/>
      <c r="C1500" s="246"/>
      <c r="D1500" s="245"/>
      <c r="E1500" s="247"/>
      <c r="F1500" s="157"/>
    </row>
    <row r="1501" spans="1:6" s="243" customFormat="1" ht="13.5" customHeight="1" x14ac:dyDescent="0.3">
      <c r="A1501" s="245"/>
      <c r="B1501" s="245"/>
      <c r="C1501" s="246"/>
      <c r="D1501" s="245"/>
      <c r="E1501" s="247"/>
      <c r="F1501" s="157"/>
    </row>
    <row r="1502" spans="1:6" s="243" customFormat="1" ht="13.5" customHeight="1" x14ac:dyDescent="0.3">
      <c r="A1502" s="245"/>
      <c r="B1502" s="245"/>
      <c r="C1502" s="246"/>
      <c r="D1502" s="245"/>
      <c r="E1502" s="247"/>
      <c r="F1502" s="157"/>
    </row>
    <row r="1503" spans="1:6" s="243" customFormat="1" ht="13.5" customHeight="1" x14ac:dyDescent="0.3">
      <c r="A1503" s="245"/>
      <c r="B1503" s="245"/>
      <c r="C1503" s="246"/>
      <c r="D1503" s="245"/>
      <c r="E1503" s="247"/>
      <c r="F1503" s="157"/>
    </row>
    <row r="1504" spans="1:6" s="243" customFormat="1" ht="13.5" customHeight="1" x14ac:dyDescent="0.3">
      <c r="A1504" s="245"/>
      <c r="B1504" s="245"/>
      <c r="C1504" s="246"/>
      <c r="D1504" s="245"/>
      <c r="E1504" s="247"/>
      <c r="F1504" s="157"/>
    </row>
    <row r="1505" spans="1:6" s="243" customFormat="1" ht="13.5" customHeight="1" x14ac:dyDescent="0.3">
      <c r="A1505" s="245"/>
      <c r="B1505" s="245"/>
      <c r="C1505" s="246"/>
      <c r="D1505" s="245"/>
      <c r="E1505" s="247"/>
      <c r="F1505" s="157"/>
    </row>
    <row r="1506" spans="1:6" s="243" customFormat="1" ht="13.5" customHeight="1" x14ac:dyDescent="0.3">
      <c r="A1506" s="245"/>
      <c r="B1506" s="245"/>
      <c r="C1506" s="246"/>
      <c r="D1506" s="245"/>
      <c r="E1506" s="247"/>
      <c r="F1506" s="157"/>
    </row>
    <row r="1507" spans="1:6" s="243" customFormat="1" ht="13.5" customHeight="1" x14ac:dyDescent="0.3">
      <c r="A1507" s="245"/>
      <c r="B1507" s="245"/>
      <c r="C1507" s="246"/>
      <c r="D1507" s="245"/>
      <c r="E1507" s="247"/>
      <c r="F1507" s="157"/>
    </row>
    <row r="1508" spans="1:6" s="243" customFormat="1" ht="13.5" customHeight="1" x14ac:dyDescent="0.3">
      <c r="A1508" s="245"/>
      <c r="B1508" s="245"/>
      <c r="C1508" s="246"/>
      <c r="D1508" s="245"/>
      <c r="E1508" s="247"/>
      <c r="F1508" s="157"/>
    </row>
    <row r="1509" spans="1:6" s="243" customFormat="1" ht="13.5" customHeight="1" x14ac:dyDescent="0.3">
      <c r="A1509" s="245"/>
      <c r="B1509" s="245"/>
      <c r="C1509" s="246"/>
      <c r="D1509" s="245"/>
      <c r="E1509" s="247"/>
      <c r="F1509" s="157"/>
    </row>
    <row r="1510" spans="1:6" s="243" customFormat="1" ht="13.5" customHeight="1" x14ac:dyDescent="0.3">
      <c r="A1510" s="245"/>
      <c r="B1510" s="245"/>
      <c r="C1510" s="246"/>
      <c r="D1510" s="245"/>
      <c r="E1510" s="247"/>
      <c r="F1510" s="157"/>
    </row>
    <row r="1511" spans="1:6" s="243" customFormat="1" ht="13.5" customHeight="1" x14ac:dyDescent="0.3">
      <c r="A1511" s="245"/>
      <c r="B1511" s="245"/>
      <c r="C1511" s="246"/>
      <c r="D1511" s="245"/>
      <c r="E1511" s="247"/>
      <c r="F1511" s="157"/>
    </row>
    <row r="1512" spans="1:6" s="243" customFormat="1" ht="13.5" customHeight="1" x14ac:dyDescent="0.3">
      <c r="A1512" s="245"/>
      <c r="B1512" s="245"/>
      <c r="C1512" s="246"/>
      <c r="D1512" s="245"/>
      <c r="E1512" s="247"/>
      <c r="F1512" s="157"/>
    </row>
    <row r="1513" spans="1:6" s="243" customFormat="1" ht="13.5" customHeight="1" x14ac:dyDescent="0.3">
      <c r="A1513" s="245"/>
      <c r="B1513" s="245"/>
      <c r="C1513" s="246"/>
      <c r="D1513" s="245"/>
      <c r="E1513" s="247"/>
      <c r="F1513" s="157"/>
    </row>
    <row r="1514" spans="1:6" s="243" customFormat="1" ht="13.5" customHeight="1" x14ac:dyDescent="0.3">
      <c r="A1514" s="245"/>
      <c r="B1514" s="245"/>
      <c r="C1514" s="246"/>
      <c r="D1514" s="245"/>
      <c r="E1514" s="247"/>
      <c r="F1514" s="157"/>
    </row>
    <row r="1515" spans="1:6" s="243" customFormat="1" ht="13.5" customHeight="1" x14ac:dyDescent="0.3">
      <c r="A1515" s="245"/>
      <c r="B1515" s="245"/>
      <c r="C1515" s="246"/>
      <c r="D1515" s="245"/>
      <c r="E1515" s="247"/>
      <c r="F1515" s="157"/>
    </row>
    <row r="1516" spans="1:6" s="243" customFormat="1" ht="13.5" customHeight="1" x14ac:dyDescent="0.3">
      <c r="A1516" s="245"/>
      <c r="B1516" s="245"/>
      <c r="C1516" s="246"/>
      <c r="D1516" s="245"/>
      <c r="E1516" s="247"/>
      <c r="F1516" s="157"/>
    </row>
    <row r="1517" spans="1:6" s="243" customFormat="1" ht="13.5" customHeight="1" x14ac:dyDescent="0.3">
      <c r="A1517" s="245"/>
      <c r="B1517" s="245"/>
      <c r="C1517" s="246"/>
      <c r="D1517" s="245"/>
      <c r="E1517" s="247"/>
      <c r="F1517" s="157"/>
    </row>
    <row r="1518" spans="1:6" s="243" customFormat="1" ht="13.5" customHeight="1" x14ac:dyDescent="0.3">
      <c r="A1518" s="245"/>
      <c r="B1518" s="245"/>
      <c r="C1518" s="246"/>
      <c r="D1518" s="245"/>
      <c r="E1518" s="247"/>
      <c r="F1518" s="157"/>
    </row>
    <row r="1519" spans="1:6" s="243" customFormat="1" ht="13.5" customHeight="1" x14ac:dyDescent="0.3">
      <c r="A1519" s="245"/>
      <c r="B1519" s="245"/>
      <c r="C1519" s="246"/>
      <c r="D1519" s="245"/>
      <c r="E1519" s="247"/>
      <c r="F1519" s="157"/>
    </row>
    <row r="1520" spans="1:6" s="243" customFormat="1" ht="13.5" customHeight="1" x14ac:dyDescent="0.3">
      <c r="A1520" s="245"/>
      <c r="B1520" s="245"/>
      <c r="C1520" s="246"/>
      <c r="D1520" s="245"/>
      <c r="E1520" s="247"/>
      <c r="F1520" s="157"/>
    </row>
    <row r="1521" spans="1:6" s="243" customFormat="1" ht="13.5" customHeight="1" x14ac:dyDescent="0.3">
      <c r="A1521" s="245"/>
      <c r="B1521" s="245"/>
      <c r="C1521" s="246"/>
      <c r="D1521" s="245"/>
      <c r="E1521" s="247"/>
      <c r="F1521" s="157"/>
    </row>
    <row r="1522" spans="1:6" s="243" customFormat="1" ht="13.5" customHeight="1" x14ac:dyDescent="0.3">
      <c r="A1522" s="245"/>
      <c r="B1522" s="245"/>
      <c r="C1522" s="246"/>
      <c r="D1522" s="245"/>
      <c r="E1522" s="247"/>
      <c r="F1522" s="157"/>
    </row>
    <row r="1523" spans="1:6" s="243" customFormat="1" ht="13.5" customHeight="1" x14ac:dyDescent="0.3">
      <c r="A1523" s="245"/>
      <c r="B1523" s="245"/>
      <c r="C1523" s="246"/>
      <c r="D1523" s="245"/>
      <c r="E1523" s="247"/>
      <c r="F1523" s="157"/>
    </row>
    <row r="1524" spans="1:6" s="243" customFormat="1" ht="13.5" customHeight="1" x14ac:dyDescent="0.3">
      <c r="A1524" s="245"/>
      <c r="B1524" s="245"/>
      <c r="C1524" s="246"/>
      <c r="D1524" s="245"/>
      <c r="E1524" s="247"/>
      <c r="F1524" s="157"/>
    </row>
    <row r="1525" spans="1:6" s="243" customFormat="1" ht="13.5" customHeight="1" x14ac:dyDescent="0.3">
      <c r="A1525" s="245"/>
      <c r="B1525" s="245"/>
      <c r="C1525" s="246"/>
      <c r="D1525" s="245"/>
      <c r="E1525" s="247"/>
      <c r="F1525" s="157"/>
    </row>
    <row r="1526" spans="1:6" s="243" customFormat="1" ht="13.5" customHeight="1" x14ac:dyDescent="0.3">
      <c r="A1526" s="245"/>
      <c r="B1526" s="245"/>
      <c r="C1526" s="246"/>
      <c r="D1526" s="245"/>
      <c r="E1526" s="247"/>
      <c r="F1526" s="157"/>
    </row>
    <row r="1527" spans="1:6" s="243" customFormat="1" ht="13.5" customHeight="1" x14ac:dyDescent="0.3">
      <c r="A1527" s="245"/>
      <c r="B1527" s="245"/>
      <c r="C1527" s="246"/>
      <c r="D1527" s="245"/>
      <c r="E1527" s="247"/>
      <c r="F1527" s="157"/>
    </row>
    <row r="1528" spans="1:6" s="243" customFormat="1" ht="13.5" customHeight="1" x14ac:dyDescent="0.3">
      <c r="A1528" s="245"/>
      <c r="B1528" s="245"/>
      <c r="C1528" s="246"/>
      <c r="D1528" s="245"/>
      <c r="E1528" s="247"/>
      <c r="F1528" s="157"/>
    </row>
    <row r="1529" spans="1:6" s="243" customFormat="1" ht="13.5" customHeight="1" x14ac:dyDescent="0.3">
      <c r="A1529" s="245"/>
      <c r="B1529" s="245"/>
      <c r="C1529" s="246"/>
      <c r="D1529" s="245"/>
      <c r="E1529" s="247"/>
      <c r="F1529" s="157"/>
    </row>
    <row r="1530" spans="1:6" s="243" customFormat="1" ht="13.5" customHeight="1" x14ac:dyDescent="0.3">
      <c r="A1530" s="245"/>
      <c r="B1530" s="245"/>
      <c r="C1530" s="246"/>
      <c r="D1530" s="245"/>
      <c r="E1530" s="247"/>
      <c r="F1530" s="157"/>
    </row>
    <row r="1531" spans="1:6" s="243" customFormat="1" ht="13.5" customHeight="1" x14ac:dyDescent="0.3">
      <c r="A1531" s="245"/>
      <c r="B1531" s="245"/>
      <c r="C1531" s="246"/>
      <c r="D1531" s="245"/>
      <c r="E1531" s="247"/>
      <c r="F1531" s="157"/>
    </row>
    <row r="1532" spans="1:6" s="243" customFormat="1" ht="13.5" customHeight="1" x14ac:dyDescent="0.3">
      <c r="A1532" s="245"/>
      <c r="B1532" s="245"/>
      <c r="C1532" s="246"/>
      <c r="D1532" s="245"/>
      <c r="E1532" s="247"/>
      <c r="F1532" s="157"/>
    </row>
    <row r="1533" spans="1:6" s="243" customFormat="1" ht="13.5" customHeight="1" x14ac:dyDescent="0.3">
      <c r="A1533" s="245"/>
      <c r="B1533" s="245"/>
      <c r="C1533" s="246"/>
      <c r="D1533" s="245"/>
      <c r="E1533" s="247"/>
      <c r="F1533" s="157"/>
    </row>
    <row r="1534" spans="1:6" s="243" customFormat="1" ht="13.5" customHeight="1" x14ac:dyDescent="0.3">
      <c r="A1534" s="245"/>
      <c r="B1534" s="245"/>
      <c r="C1534" s="246"/>
      <c r="D1534" s="245"/>
      <c r="E1534" s="247"/>
      <c r="F1534" s="157"/>
    </row>
    <row r="1535" spans="1:6" s="243" customFormat="1" ht="13.5" customHeight="1" x14ac:dyDescent="0.3">
      <c r="A1535" s="245"/>
      <c r="B1535" s="245"/>
      <c r="C1535" s="246"/>
      <c r="D1535" s="245"/>
      <c r="E1535" s="247"/>
      <c r="F1535" s="157"/>
    </row>
    <row r="1536" spans="1:6" s="243" customFormat="1" ht="13.5" customHeight="1" x14ac:dyDescent="0.3">
      <c r="A1536" s="245"/>
      <c r="B1536" s="245"/>
      <c r="C1536" s="246"/>
      <c r="D1536" s="245"/>
      <c r="E1536" s="247"/>
      <c r="F1536" s="157"/>
    </row>
    <row r="1537" spans="1:6" s="243" customFormat="1" ht="13.5" customHeight="1" x14ac:dyDescent="0.3">
      <c r="A1537" s="245"/>
      <c r="B1537" s="245"/>
      <c r="C1537" s="246"/>
      <c r="D1537" s="245"/>
      <c r="E1537" s="247"/>
      <c r="F1537" s="157"/>
    </row>
    <row r="1538" spans="1:6" s="243" customFormat="1" ht="13.5" customHeight="1" x14ac:dyDescent="0.3">
      <c r="A1538" s="245"/>
      <c r="B1538" s="245"/>
      <c r="C1538" s="246"/>
      <c r="D1538" s="245"/>
      <c r="E1538" s="247"/>
      <c r="F1538" s="157"/>
    </row>
    <row r="1539" spans="1:6" s="243" customFormat="1" ht="13.5" customHeight="1" x14ac:dyDescent="0.3">
      <c r="A1539" s="245"/>
      <c r="B1539" s="245"/>
      <c r="C1539" s="246"/>
      <c r="D1539" s="245"/>
      <c r="E1539" s="247"/>
      <c r="F1539" s="157"/>
    </row>
    <row r="1540" spans="1:6" s="243" customFormat="1" ht="13.5" customHeight="1" x14ac:dyDescent="0.3">
      <c r="A1540" s="245"/>
      <c r="B1540" s="245"/>
      <c r="C1540" s="246"/>
      <c r="D1540" s="245"/>
      <c r="E1540" s="247"/>
      <c r="F1540" s="157"/>
    </row>
    <row r="1541" spans="1:6" s="243" customFormat="1" ht="13.5" customHeight="1" x14ac:dyDescent="0.3">
      <c r="A1541" s="245"/>
      <c r="B1541" s="245"/>
      <c r="C1541" s="246"/>
      <c r="D1541" s="245"/>
      <c r="E1541" s="247"/>
      <c r="F1541" s="157"/>
    </row>
    <row r="1542" spans="1:6" s="243" customFormat="1" ht="13.5" customHeight="1" x14ac:dyDescent="0.3">
      <c r="A1542" s="245"/>
      <c r="B1542" s="245"/>
      <c r="C1542" s="246"/>
      <c r="D1542" s="245"/>
      <c r="E1542" s="247"/>
      <c r="F1542" s="157"/>
    </row>
    <row r="1543" spans="1:6" s="243" customFormat="1" ht="13.5" customHeight="1" x14ac:dyDescent="0.3">
      <c r="A1543" s="245"/>
      <c r="B1543" s="245"/>
      <c r="C1543" s="246"/>
      <c r="D1543" s="245"/>
      <c r="E1543" s="247"/>
      <c r="F1543" s="157"/>
    </row>
    <row r="1544" spans="1:6" s="243" customFormat="1" ht="13.5" customHeight="1" x14ac:dyDescent="0.3">
      <c r="A1544" s="245"/>
      <c r="B1544" s="245"/>
      <c r="C1544" s="246"/>
      <c r="D1544" s="245"/>
      <c r="E1544" s="247"/>
      <c r="F1544" s="157"/>
    </row>
    <row r="1545" spans="1:6" s="243" customFormat="1" ht="13.5" customHeight="1" x14ac:dyDescent="0.3">
      <c r="A1545" s="245"/>
      <c r="B1545" s="245"/>
      <c r="C1545" s="246"/>
      <c r="D1545" s="245"/>
      <c r="E1545" s="247"/>
      <c r="F1545" s="157"/>
    </row>
    <row r="1546" spans="1:6" s="243" customFormat="1" ht="13.5" customHeight="1" x14ac:dyDescent="0.3">
      <c r="A1546" s="245"/>
      <c r="B1546" s="245"/>
      <c r="C1546" s="246"/>
      <c r="D1546" s="245"/>
      <c r="E1546" s="247"/>
      <c r="F1546" s="157"/>
    </row>
    <row r="1547" spans="1:6" s="243" customFormat="1" ht="13.5" customHeight="1" x14ac:dyDescent="0.3">
      <c r="A1547" s="245"/>
      <c r="B1547" s="245"/>
      <c r="C1547" s="246"/>
      <c r="D1547" s="245"/>
      <c r="E1547" s="247"/>
      <c r="F1547" s="157"/>
    </row>
    <row r="1548" spans="1:6" s="243" customFormat="1" ht="13.5" customHeight="1" x14ac:dyDescent="0.3">
      <c r="A1548" s="245"/>
      <c r="B1548" s="245"/>
      <c r="C1548" s="246"/>
      <c r="D1548" s="245"/>
      <c r="E1548" s="247"/>
      <c r="F1548" s="157"/>
    </row>
    <row r="1549" spans="1:6" s="243" customFormat="1" ht="13.5" customHeight="1" x14ac:dyDescent="0.3">
      <c r="A1549" s="245"/>
      <c r="B1549" s="245"/>
      <c r="C1549" s="246"/>
      <c r="D1549" s="245"/>
      <c r="E1549" s="247"/>
      <c r="F1549" s="157"/>
    </row>
    <row r="1550" spans="1:6" s="243" customFormat="1" ht="13.5" customHeight="1" x14ac:dyDescent="0.3">
      <c r="A1550" s="245"/>
      <c r="B1550" s="245"/>
      <c r="C1550" s="246"/>
      <c r="D1550" s="245"/>
      <c r="E1550" s="247"/>
      <c r="F1550" s="157"/>
    </row>
    <row r="1551" spans="1:6" s="243" customFormat="1" ht="13.5" customHeight="1" x14ac:dyDescent="0.3">
      <c r="A1551" s="245"/>
      <c r="B1551" s="245"/>
      <c r="C1551" s="246"/>
      <c r="D1551" s="245"/>
      <c r="E1551" s="247"/>
      <c r="F1551" s="157"/>
    </row>
    <row r="1552" spans="1:6" s="243" customFormat="1" ht="13.5" customHeight="1" x14ac:dyDescent="0.3">
      <c r="A1552" s="245"/>
      <c r="B1552" s="245"/>
      <c r="C1552" s="246"/>
      <c r="D1552" s="245"/>
      <c r="E1552" s="247"/>
      <c r="F1552" s="157"/>
    </row>
    <row r="1553" spans="1:6" s="243" customFormat="1" ht="13.5" customHeight="1" x14ac:dyDescent="0.3">
      <c r="A1553" s="245"/>
      <c r="B1553" s="245"/>
      <c r="C1553" s="246"/>
      <c r="D1553" s="245"/>
      <c r="E1553" s="247"/>
      <c r="F1553" s="157"/>
    </row>
    <row r="1554" spans="1:6" s="243" customFormat="1" ht="13.5" customHeight="1" x14ac:dyDescent="0.3">
      <c r="A1554" s="245"/>
      <c r="B1554" s="245"/>
      <c r="C1554" s="246"/>
      <c r="D1554" s="245"/>
      <c r="E1554" s="247"/>
      <c r="F1554" s="157"/>
    </row>
    <row r="1555" spans="1:6" s="243" customFormat="1" ht="13.5" customHeight="1" x14ac:dyDescent="0.3">
      <c r="A1555" s="245"/>
      <c r="B1555" s="245"/>
      <c r="C1555" s="246"/>
      <c r="D1555" s="245"/>
      <c r="E1555" s="247"/>
      <c r="F1555" s="157"/>
    </row>
    <row r="1556" spans="1:6" s="243" customFormat="1" ht="13.5" customHeight="1" x14ac:dyDescent="0.3">
      <c r="A1556" s="245"/>
      <c r="B1556" s="245"/>
      <c r="C1556" s="246"/>
      <c r="D1556" s="245"/>
      <c r="E1556" s="247"/>
      <c r="F1556" s="157"/>
    </row>
    <row r="1557" spans="1:6" s="243" customFormat="1" ht="13.5" customHeight="1" x14ac:dyDescent="0.3">
      <c r="A1557" s="245"/>
      <c r="B1557" s="245"/>
      <c r="C1557" s="246"/>
      <c r="D1557" s="245"/>
      <c r="E1557" s="247"/>
      <c r="F1557" s="157"/>
    </row>
    <row r="1558" spans="1:6" s="243" customFormat="1" ht="13.5" customHeight="1" x14ac:dyDescent="0.3">
      <c r="A1558" s="245"/>
      <c r="B1558" s="245"/>
      <c r="C1558" s="246"/>
      <c r="D1558" s="245"/>
      <c r="E1558" s="247"/>
      <c r="F1558" s="157"/>
    </row>
    <row r="1559" spans="1:6" s="243" customFormat="1" ht="13.5" customHeight="1" x14ac:dyDescent="0.3">
      <c r="A1559" s="245"/>
      <c r="B1559" s="245"/>
      <c r="C1559" s="246"/>
      <c r="D1559" s="245"/>
      <c r="E1559" s="247"/>
      <c r="F1559" s="157"/>
    </row>
    <row r="1560" spans="1:6" s="243" customFormat="1" ht="13.5" customHeight="1" x14ac:dyDescent="0.3">
      <c r="A1560" s="245"/>
      <c r="B1560" s="245"/>
      <c r="C1560" s="246"/>
      <c r="D1560" s="245"/>
      <c r="E1560" s="247"/>
      <c r="F1560" s="157"/>
    </row>
    <row r="1561" spans="1:6" s="243" customFormat="1" ht="13.5" customHeight="1" x14ac:dyDescent="0.3">
      <c r="A1561" s="245"/>
      <c r="B1561" s="245"/>
      <c r="C1561" s="246"/>
      <c r="D1561" s="245"/>
      <c r="E1561" s="247"/>
      <c r="F1561" s="157"/>
    </row>
    <row r="1562" spans="1:6" s="243" customFormat="1" ht="13.5" customHeight="1" x14ac:dyDescent="0.3">
      <c r="A1562" s="245"/>
      <c r="B1562" s="245"/>
      <c r="C1562" s="246"/>
      <c r="D1562" s="245"/>
      <c r="E1562" s="247"/>
      <c r="F1562" s="157"/>
    </row>
    <row r="1563" spans="1:6" s="243" customFormat="1" ht="13.5" customHeight="1" x14ac:dyDescent="0.3">
      <c r="A1563" s="245"/>
      <c r="B1563" s="245"/>
      <c r="C1563" s="246"/>
      <c r="D1563" s="245"/>
      <c r="E1563" s="247"/>
      <c r="F1563" s="157"/>
    </row>
    <row r="1564" spans="1:6" s="243" customFormat="1" ht="13.5" customHeight="1" x14ac:dyDescent="0.3">
      <c r="A1564" s="245"/>
      <c r="B1564" s="245"/>
      <c r="C1564" s="246"/>
      <c r="D1564" s="245"/>
      <c r="E1564" s="247"/>
      <c r="F1564" s="157"/>
    </row>
    <row r="1565" spans="1:6" s="243" customFormat="1" ht="13.5" customHeight="1" x14ac:dyDescent="0.3">
      <c r="A1565" s="245"/>
      <c r="B1565" s="245"/>
      <c r="C1565" s="246"/>
      <c r="D1565" s="245"/>
      <c r="E1565" s="247"/>
      <c r="F1565" s="157"/>
    </row>
    <row r="1566" spans="1:6" s="243" customFormat="1" ht="13.5" customHeight="1" x14ac:dyDescent="0.3">
      <c r="A1566" s="245"/>
      <c r="B1566" s="245"/>
      <c r="C1566" s="246"/>
      <c r="D1566" s="245"/>
      <c r="E1566" s="247"/>
      <c r="F1566" s="157"/>
    </row>
    <row r="1567" spans="1:6" s="243" customFormat="1" ht="13.5" customHeight="1" x14ac:dyDescent="0.3">
      <c r="A1567" s="245"/>
      <c r="B1567" s="245"/>
      <c r="C1567" s="246"/>
      <c r="D1567" s="245"/>
      <c r="E1567" s="247"/>
      <c r="F1567" s="157"/>
    </row>
    <row r="1568" spans="1:6" s="243" customFormat="1" ht="13.5" customHeight="1" x14ac:dyDescent="0.3">
      <c r="A1568" s="245"/>
      <c r="B1568" s="245"/>
      <c r="C1568" s="246"/>
      <c r="D1568" s="245"/>
      <c r="E1568" s="247"/>
      <c r="F1568" s="157"/>
    </row>
    <row r="1569" spans="1:6" s="243" customFormat="1" ht="13.5" customHeight="1" x14ac:dyDescent="0.3">
      <c r="A1569" s="245"/>
      <c r="B1569" s="245"/>
      <c r="C1569" s="246"/>
      <c r="D1569" s="245"/>
      <c r="E1569" s="247"/>
      <c r="F1569" s="157"/>
    </row>
    <row r="1570" spans="1:6" s="243" customFormat="1" ht="13.5" customHeight="1" x14ac:dyDescent="0.3">
      <c r="A1570" s="245"/>
      <c r="B1570" s="245"/>
      <c r="C1570" s="246"/>
      <c r="D1570" s="245"/>
      <c r="E1570" s="247"/>
      <c r="F1570" s="157"/>
    </row>
    <row r="1571" spans="1:6" s="243" customFormat="1" ht="13.5" customHeight="1" x14ac:dyDescent="0.3">
      <c r="A1571" s="245"/>
      <c r="B1571" s="245"/>
      <c r="C1571" s="246"/>
      <c r="D1571" s="245"/>
      <c r="E1571" s="247"/>
      <c r="F1571" s="157"/>
    </row>
    <row r="1572" spans="1:6" s="243" customFormat="1" ht="13.5" customHeight="1" x14ac:dyDescent="0.3">
      <c r="A1572" s="245"/>
      <c r="B1572" s="245"/>
      <c r="C1572" s="246"/>
      <c r="D1572" s="245"/>
      <c r="E1572" s="247"/>
      <c r="F1572" s="157"/>
    </row>
    <row r="1573" spans="1:6" s="243" customFormat="1" ht="13.5" customHeight="1" x14ac:dyDescent="0.3">
      <c r="A1573" s="245"/>
      <c r="B1573" s="245"/>
      <c r="C1573" s="246"/>
      <c r="D1573" s="245"/>
      <c r="E1573" s="247"/>
      <c r="F1573" s="157"/>
    </row>
    <row r="1574" spans="1:6" s="243" customFormat="1" ht="13.5" customHeight="1" x14ac:dyDescent="0.3">
      <c r="A1574" s="245"/>
      <c r="B1574" s="245"/>
      <c r="C1574" s="246"/>
      <c r="D1574" s="245"/>
      <c r="E1574" s="247"/>
      <c r="F1574" s="157"/>
    </row>
    <row r="1575" spans="1:6" s="243" customFormat="1" ht="13.5" customHeight="1" x14ac:dyDescent="0.3">
      <c r="A1575" s="245"/>
      <c r="B1575" s="245"/>
      <c r="C1575" s="246"/>
      <c r="D1575" s="245"/>
      <c r="E1575" s="247"/>
      <c r="F1575" s="157"/>
    </row>
    <row r="1576" spans="1:6" s="243" customFormat="1" ht="13.5" customHeight="1" x14ac:dyDescent="0.3">
      <c r="A1576" s="245"/>
      <c r="B1576" s="245"/>
      <c r="C1576" s="246"/>
      <c r="D1576" s="245"/>
      <c r="E1576" s="247"/>
      <c r="F1576" s="157"/>
    </row>
    <row r="1577" spans="1:6" s="243" customFormat="1" ht="13.5" customHeight="1" x14ac:dyDescent="0.3">
      <c r="A1577" s="245"/>
      <c r="B1577" s="245"/>
      <c r="C1577" s="246"/>
      <c r="D1577" s="245"/>
      <c r="E1577" s="247"/>
      <c r="F1577" s="157"/>
    </row>
    <row r="1578" spans="1:6" s="243" customFormat="1" ht="13.5" customHeight="1" x14ac:dyDescent="0.3">
      <c r="A1578" s="245"/>
      <c r="B1578" s="245"/>
      <c r="C1578" s="246"/>
      <c r="D1578" s="245"/>
      <c r="E1578" s="247"/>
      <c r="F1578" s="157"/>
    </row>
    <row r="1579" spans="1:6" s="243" customFormat="1" ht="13.5" customHeight="1" x14ac:dyDescent="0.3">
      <c r="A1579" s="245"/>
      <c r="B1579" s="245"/>
      <c r="C1579" s="246"/>
      <c r="D1579" s="245"/>
      <c r="E1579" s="247"/>
      <c r="F1579" s="157"/>
    </row>
    <row r="1580" spans="1:6" s="243" customFormat="1" ht="13.5" customHeight="1" x14ac:dyDescent="0.3">
      <c r="A1580" s="245"/>
      <c r="B1580" s="245"/>
      <c r="C1580" s="246"/>
      <c r="D1580" s="245"/>
      <c r="E1580" s="247"/>
      <c r="F1580" s="157"/>
    </row>
    <row r="1581" spans="1:6" s="243" customFormat="1" ht="13.5" customHeight="1" x14ac:dyDescent="0.3">
      <c r="A1581" s="245"/>
      <c r="B1581" s="245"/>
      <c r="C1581" s="246"/>
      <c r="D1581" s="245"/>
      <c r="E1581" s="247"/>
      <c r="F1581" s="157"/>
    </row>
    <row r="1582" spans="1:6" s="243" customFormat="1" ht="13.5" customHeight="1" x14ac:dyDescent="0.3">
      <c r="A1582" s="245"/>
      <c r="B1582" s="245"/>
      <c r="C1582" s="246"/>
      <c r="D1582" s="245"/>
      <c r="E1582" s="247"/>
      <c r="F1582" s="157"/>
    </row>
    <row r="1583" spans="1:6" s="243" customFormat="1" ht="13.5" customHeight="1" x14ac:dyDescent="0.3">
      <c r="A1583" s="245"/>
      <c r="B1583" s="245"/>
      <c r="C1583" s="246"/>
      <c r="D1583" s="245"/>
      <c r="E1583" s="247"/>
      <c r="F1583" s="157"/>
    </row>
    <row r="1584" spans="1:6" s="243" customFormat="1" ht="13.5" customHeight="1" x14ac:dyDescent="0.3">
      <c r="A1584" s="245"/>
      <c r="B1584" s="245"/>
      <c r="C1584" s="246"/>
      <c r="D1584" s="245"/>
      <c r="E1584" s="247"/>
      <c r="F1584" s="157"/>
    </row>
    <row r="1585" spans="1:6" s="243" customFormat="1" ht="13.5" customHeight="1" x14ac:dyDescent="0.3">
      <c r="A1585" s="245"/>
      <c r="B1585" s="245"/>
      <c r="C1585" s="246"/>
      <c r="D1585" s="245"/>
      <c r="E1585" s="247"/>
      <c r="F1585" s="157"/>
    </row>
    <row r="1586" spans="1:6" s="243" customFormat="1" ht="13.5" customHeight="1" x14ac:dyDescent="0.3">
      <c r="A1586" s="245"/>
      <c r="B1586" s="245"/>
      <c r="C1586" s="246"/>
      <c r="D1586" s="245"/>
      <c r="E1586" s="247"/>
      <c r="F1586" s="157"/>
    </row>
    <row r="1587" spans="1:6" s="243" customFormat="1" ht="13.5" customHeight="1" x14ac:dyDescent="0.3">
      <c r="A1587" s="245"/>
      <c r="B1587" s="245"/>
      <c r="C1587" s="246"/>
      <c r="D1587" s="245"/>
      <c r="E1587" s="247"/>
      <c r="F1587" s="157"/>
    </row>
    <row r="1588" spans="1:6" s="243" customFormat="1" ht="13.5" customHeight="1" x14ac:dyDescent="0.3">
      <c r="A1588" s="245"/>
      <c r="B1588" s="245"/>
      <c r="C1588" s="246"/>
      <c r="D1588" s="245"/>
      <c r="E1588" s="247"/>
      <c r="F1588" s="157"/>
    </row>
    <row r="1589" spans="1:6" s="243" customFormat="1" ht="13.5" customHeight="1" x14ac:dyDescent="0.3">
      <c r="A1589" s="245"/>
      <c r="B1589" s="245"/>
      <c r="C1589" s="246"/>
      <c r="D1589" s="245"/>
      <c r="E1589" s="247"/>
      <c r="F1589" s="157"/>
    </row>
    <row r="1590" spans="1:6" s="243" customFormat="1" ht="13.5" customHeight="1" x14ac:dyDescent="0.3">
      <c r="A1590" s="245"/>
      <c r="B1590" s="245"/>
      <c r="C1590" s="246"/>
      <c r="D1590" s="245"/>
      <c r="E1590" s="247"/>
      <c r="F1590" s="157"/>
    </row>
    <row r="1591" spans="1:6" s="243" customFormat="1" ht="13.5" customHeight="1" x14ac:dyDescent="0.3">
      <c r="A1591" s="245"/>
      <c r="B1591" s="245"/>
      <c r="C1591" s="246"/>
      <c r="D1591" s="245"/>
      <c r="E1591" s="247"/>
      <c r="F1591" s="157"/>
    </row>
    <row r="1592" spans="1:6" s="243" customFormat="1" ht="13.5" customHeight="1" x14ac:dyDescent="0.3">
      <c r="A1592" s="245"/>
      <c r="B1592" s="245"/>
      <c r="C1592" s="246"/>
      <c r="D1592" s="245"/>
      <c r="E1592" s="247"/>
      <c r="F1592" s="157"/>
    </row>
    <row r="1593" spans="1:6" s="243" customFormat="1" ht="13.5" customHeight="1" x14ac:dyDescent="0.3">
      <c r="A1593" s="245"/>
      <c r="B1593" s="245"/>
      <c r="C1593" s="246"/>
      <c r="D1593" s="245"/>
      <c r="E1593" s="247"/>
      <c r="F1593" s="157"/>
    </row>
    <row r="1594" spans="1:6" s="243" customFormat="1" ht="13.5" customHeight="1" x14ac:dyDescent="0.3">
      <c r="A1594" s="245"/>
      <c r="B1594" s="245"/>
      <c r="C1594" s="246"/>
      <c r="D1594" s="245"/>
      <c r="E1594" s="247"/>
      <c r="F1594" s="157"/>
    </row>
    <row r="1595" spans="1:6" s="243" customFormat="1" ht="13.5" customHeight="1" x14ac:dyDescent="0.3">
      <c r="A1595" s="245"/>
      <c r="B1595" s="245"/>
      <c r="C1595" s="246"/>
      <c r="D1595" s="245"/>
      <c r="E1595" s="247"/>
      <c r="F1595" s="157"/>
    </row>
    <row r="1596" spans="1:6" s="243" customFormat="1" ht="13.5" customHeight="1" x14ac:dyDescent="0.3">
      <c r="A1596" s="245"/>
      <c r="B1596" s="245"/>
      <c r="C1596" s="246"/>
      <c r="D1596" s="245"/>
      <c r="E1596" s="247"/>
      <c r="F1596" s="157"/>
    </row>
    <row r="1597" spans="1:6" s="243" customFormat="1" ht="13.5" customHeight="1" x14ac:dyDescent="0.3">
      <c r="A1597" s="245"/>
      <c r="B1597" s="245"/>
      <c r="C1597" s="246"/>
      <c r="D1597" s="245"/>
      <c r="E1597" s="247"/>
      <c r="F1597" s="157"/>
    </row>
    <row r="1598" spans="1:6" s="243" customFormat="1" ht="13.5" customHeight="1" x14ac:dyDescent="0.3">
      <c r="A1598" s="245"/>
      <c r="B1598" s="245"/>
      <c r="C1598" s="246"/>
      <c r="D1598" s="245"/>
      <c r="E1598" s="247"/>
      <c r="F1598" s="157"/>
    </row>
    <row r="1599" spans="1:6" s="243" customFormat="1" ht="13.5" customHeight="1" x14ac:dyDescent="0.3">
      <c r="A1599" s="245"/>
      <c r="B1599" s="245"/>
      <c r="C1599" s="246"/>
      <c r="D1599" s="245"/>
      <c r="E1599" s="247"/>
      <c r="F1599" s="157"/>
    </row>
    <row r="1600" spans="1:6" s="243" customFormat="1" ht="13.5" customHeight="1" x14ac:dyDescent="0.3">
      <c r="A1600" s="245"/>
      <c r="B1600" s="245"/>
      <c r="C1600" s="246"/>
      <c r="D1600" s="245"/>
      <c r="E1600" s="247"/>
      <c r="F1600" s="157"/>
    </row>
    <row r="1601" spans="1:6" s="243" customFormat="1" ht="13.5" customHeight="1" x14ac:dyDescent="0.3">
      <c r="A1601" s="245"/>
      <c r="B1601" s="245"/>
      <c r="C1601" s="246"/>
      <c r="D1601" s="245"/>
      <c r="E1601" s="247"/>
      <c r="F1601" s="157"/>
    </row>
    <row r="1602" spans="1:6" s="243" customFormat="1" ht="13.5" customHeight="1" x14ac:dyDescent="0.3">
      <c r="A1602" s="245"/>
      <c r="B1602" s="245"/>
      <c r="C1602" s="246"/>
      <c r="D1602" s="245"/>
      <c r="E1602" s="247"/>
      <c r="F1602" s="157"/>
    </row>
    <row r="1603" spans="1:6" s="243" customFormat="1" ht="13.5" customHeight="1" x14ac:dyDescent="0.3">
      <c r="A1603" s="245"/>
      <c r="B1603" s="245"/>
      <c r="C1603" s="246"/>
      <c r="D1603" s="245"/>
      <c r="E1603" s="247"/>
      <c r="F1603" s="157"/>
    </row>
    <row r="1604" spans="1:6" s="243" customFormat="1" ht="13.5" customHeight="1" x14ac:dyDescent="0.3">
      <c r="A1604" s="245"/>
      <c r="B1604" s="245"/>
      <c r="C1604" s="246"/>
      <c r="D1604" s="245"/>
      <c r="E1604" s="247"/>
      <c r="F1604" s="157"/>
    </row>
    <row r="1605" spans="1:6" s="243" customFormat="1" ht="13.5" customHeight="1" x14ac:dyDescent="0.3">
      <c r="A1605" s="245"/>
      <c r="B1605" s="245"/>
      <c r="C1605" s="246"/>
      <c r="D1605" s="245"/>
      <c r="E1605" s="247"/>
      <c r="F1605" s="157"/>
    </row>
    <row r="1606" spans="1:6" s="243" customFormat="1" ht="13.5" customHeight="1" x14ac:dyDescent="0.3">
      <c r="A1606" s="245"/>
      <c r="B1606" s="245"/>
      <c r="C1606" s="246"/>
      <c r="D1606" s="245"/>
      <c r="E1606" s="247"/>
      <c r="F1606" s="157"/>
    </row>
    <row r="1607" spans="1:6" s="243" customFormat="1" ht="13.5" customHeight="1" x14ac:dyDescent="0.3">
      <c r="A1607" s="245"/>
      <c r="B1607" s="245"/>
      <c r="C1607" s="246"/>
      <c r="D1607" s="245"/>
      <c r="E1607" s="247"/>
      <c r="F1607" s="157"/>
    </row>
    <row r="1608" spans="1:6" s="243" customFormat="1" ht="13.5" customHeight="1" x14ac:dyDescent="0.3">
      <c r="A1608" s="245"/>
      <c r="B1608" s="245"/>
      <c r="C1608" s="246"/>
      <c r="D1608" s="245"/>
      <c r="E1608" s="247"/>
      <c r="F1608" s="157"/>
    </row>
    <row r="1609" spans="1:6" s="243" customFormat="1" ht="13.5" customHeight="1" x14ac:dyDescent="0.3">
      <c r="A1609" s="245"/>
      <c r="B1609" s="245"/>
      <c r="C1609" s="246"/>
      <c r="D1609" s="245"/>
      <c r="E1609" s="247"/>
      <c r="F1609" s="157"/>
    </row>
    <row r="1610" spans="1:6" s="243" customFormat="1" ht="13.5" customHeight="1" x14ac:dyDescent="0.3">
      <c r="A1610" s="245"/>
      <c r="B1610" s="245"/>
      <c r="C1610" s="246"/>
      <c r="D1610" s="245"/>
      <c r="E1610" s="247"/>
      <c r="F1610" s="157"/>
    </row>
    <row r="1611" spans="1:6" s="243" customFormat="1" ht="13.5" customHeight="1" x14ac:dyDescent="0.3">
      <c r="A1611" s="245"/>
      <c r="B1611" s="245"/>
      <c r="C1611" s="246"/>
      <c r="D1611" s="245"/>
      <c r="E1611" s="247"/>
      <c r="F1611" s="157"/>
    </row>
    <row r="1612" spans="1:6" s="243" customFormat="1" ht="13.5" customHeight="1" x14ac:dyDescent="0.3">
      <c r="A1612" s="245"/>
      <c r="B1612" s="245"/>
      <c r="C1612" s="246"/>
      <c r="D1612" s="245"/>
      <c r="E1612" s="247"/>
      <c r="F1612" s="157"/>
    </row>
    <row r="1613" spans="1:6" s="243" customFormat="1" ht="13.5" customHeight="1" x14ac:dyDescent="0.3">
      <c r="A1613" s="245"/>
      <c r="B1613" s="245"/>
      <c r="C1613" s="246"/>
      <c r="D1613" s="245"/>
      <c r="E1613" s="247"/>
      <c r="F1613" s="157"/>
    </row>
    <row r="1614" spans="1:6" s="243" customFormat="1" ht="13.5" customHeight="1" x14ac:dyDescent="0.3">
      <c r="A1614" s="245"/>
      <c r="B1614" s="245"/>
      <c r="C1614" s="246"/>
      <c r="D1614" s="245"/>
      <c r="E1614" s="247"/>
      <c r="F1614" s="157"/>
    </row>
    <row r="1615" spans="1:6" s="243" customFormat="1" ht="13.5" customHeight="1" x14ac:dyDescent="0.3">
      <c r="A1615" s="245"/>
      <c r="B1615" s="245"/>
      <c r="C1615" s="246"/>
      <c r="D1615" s="245"/>
      <c r="E1615" s="247"/>
      <c r="F1615" s="157"/>
    </row>
    <row r="1616" spans="1:6" s="243" customFormat="1" ht="13.5" customHeight="1" x14ac:dyDescent="0.3">
      <c r="A1616" s="245"/>
      <c r="B1616" s="245"/>
      <c r="C1616" s="246"/>
      <c r="D1616" s="245"/>
      <c r="E1616" s="247"/>
      <c r="F1616" s="157"/>
    </row>
    <row r="1617" spans="1:6" s="243" customFormat="1" ht="13.5" customHeight="1" x14ac:dyDescent="0.3">
      <c r="A1617" s="245"/>
      <c r="B1617" s="245"/>
      <c r="C1617" s="246"/>
      <c r="D1617" s="245"/>
      <c r="E1617" s="247"/>
      <c r="F1617" s="157"/>
    </row>
    <row r="1618" spans="1:6" s="243" customFormat="1" ht="13.5" customHeight="1" x14ac:dyDescent="0.3">
      <c r="A1618" s="245"/>
      <c r="B1618" s="245"/>
      <c r="C1618" s="246"/>
      <c r="D1618" s="245"/>
      <c r="E1618" s="247"/>
      <c r="F1618" s="157"/>
    </row>
    <row r="1619" spans="1:6" s="243" customFormat="1" ht="13.5" customHeight="1" x14ac:dyDescent="0.3">
      <c r="A1619" s="245"/>
      <c r="B1619" s="245"/>
      <c r="C1619" s="246"/>
      <c r="D1619" s="245"/>
      <c r="E1619" s="247"/>
      <c r="F1619" s="157"/>
    </row>
    <row r="1620" spans="1:6" s="243" customFormat="1" ht="13.5" customHeight="1" x14ac:dyDescent="0.3">
      <c r="A1620" s="245"/>
      <c r="B1620" s="245"/>
      <c r="C1620" s="246"/>
      <c r="D1620" s="245"/>
      <c r="E1620" s="247"/>
      <c r="F1620" s="157"/>
    </row>
    <row r="1621" spans="1:6" s="243" customFormat="1" ht="13.5" customHeight="1" x14ac:dyDescent="0.3">
      <c r="A1621" s="245"/>
      <c r="B1621" s="245"/>
      <c r="C1621" s="246"/>
      <c r="D1621" s="245"/>
      <c r="E1621" s="247"/>
      <c r="F1621" s="157"/>
    </row>
    <row r="1622" spans="1:6" s="243" customFormat="1" ht="13.5" customHeight="1" x14ac:dyDescent="0.3">
      <c r="A1622" s="245"/>
      <c r="B1622" s="245"/>
      <c r="C1622" s="246"/>
      <c r="D1622" s="245"/>
      <c r="E1622" s="247"/>
      <c r="F1622" s="157"/>
    </row>
    <row r="1623" spans="1:6" s="243" customFormat="1" ht="13.5" customHeight="1" x14ac:dyDescent="0.3">
      <c r="A1623" s="245"/>
      <c r="B1623" s="245"/>
      <c r="C1623" s="246"/>
      <c r="D1623" s="245"/>
      <c r="E1623" s="247"/>
      <c r="F1623" s="157"/>
    </row>
    <row r="1624" spans="1:6" s="243" customFormat="1" ht="13.5" customHeight="1" x14ac:dyDescent="0.3">
      <c r="A1624" s="245"/>
      <c r="B1624" s="245"/>
      <c r="C1624" s="246"/>
      <c r="D1624" s="245"/>
      <c r="E1624" s="247"/>
      <c r="F1624" s="157"/>
    </row>
    <row r="1625" spans="1:6" s="243" customFormat="1" ht="13.5" customHeight="1" x14ac:dyDescent="0.3">
      <c r="A1625" s="245"/>
      <c r="B1625" s="245"/>
      <c r="C1625" s="246"/>
      <c r="D1625" s="245"/>
      <c r="E1625" s="247"/>
      <c r="F1625" s="157"/>
    </row>
    <row r="1626" spans="1:6" s="243" customFormat="1" ht="13.5" customHeight="1" x14ac:dyDescent="0.3">
      <c r="A1626" s="245"/>
      <c r="B1626" s="245"/>
      <c r="C1626" s="246"/>
      <c r="D1626" s="245"/>
      <c r="E1626" s="247"/>
      <c r="F1626" s="157"/>
    </row>
    <row r="1627" spans="1:6" s="243" customFormat="1" ht="13.5" customHeight="1" x14ac:dyDescent="0.3">
      <c r="A1627" s="245"/>
      <c r="B1627" s="245"/>
      <c r="C1627" s="246"/>
      <c r="D1627" s="245"/>
      <c r="E1627" s="247"/>
      <c r="F1627" s="157"/>
    </row>
    <row r="1628" spans="1:6" s="243" customFormat="1" ht="13.5" customHeight="1" x14ac:dyDescent="0.3">
      <c r="A1628" s="245"/>
      <c r="B1628" s="245"/>
      <c r="C1628" s="246"/>
      <c r="D1628" s="245"/>
      <c r="E1628" s="247"/>
      <c r="F1628" s="157"/>
    </row>
    <row r="1629" spans="1:6" s="243" customFormat="1" ht="13.5" customHeight="1" x14ac:dyDescent="0.3">
      <c r="A1629" s="245"/>
      <c r="B1629" s="245"/>
      <c r="C1629" s="246"/>
      <c r="D1629" s="245"/>
      <c r="E1629" s="247"/>
      <c r="F1629" s="157"/>
    </row>
    <row r="1630" spans="1:6" s="243" customFormat="1" ht="13.5" customHeight="1" x14ac:dyDescent="0.3">
      <c r="A1630" s="245"/>
      <c r="B1630" s="245"/>
      <c r="C1630" s="246"/>
      <c r="D1630" s="245"/>
      <c r="E1630" s="247"/>
      <c r="F1630" s="157"/>
    </row>
    <row r="1631" spans="1:6" s="243" customFormat="1" ht="13.5" customHeight="1" x14ac:dyDescent="0.3">
      <c r="A1631" s="245"/>
      <c r="B1631" s="245"/>
      <c r="C1631" s="246"/>
      <c r="D1631" s="245"/>
      <c r="E1631" s="247"/>
      <c r="F1631" s="157"/>
    </row>
    <row r="1632" spans="1:6" s="243" customFormat="1" ht="13.5" customHeight="1" x14ac:dyDescent="0.3">
      <c r="A1632" s="245"/>
      <c r="B1632" s="245"/>
      <c r="C1632" s="246"/>
      <c r="D1632" s="245"/>
      <c r="E1632" s="247"/>
      <c r="F1632" s="157"/>
    </row>
    <row r="1633" spans="1:6" s="243" customFormat="1" ht="13.5" customHeight="1" x14ac:dyDescent="0.3">
      <c r="A1633" s="245"/>
      <c r="B1633" s="245"/>
      <c r="C1633" s="246"/>
      <c r="D1633" s="245"/>
      <c r="E1633" s="247"/>
      <c r="F1633" s="157"/>
    </row>
    <row r="1634" spans="1:6" s="243" customFormat="1" ht="13.5" customHeight="1" x14ac:dyDescent="0.3">
      <c r="A1634" s="245"/>
      <c r="B1634" s="245"/>
      <c r="C1634" s="246"/>
      <c r="D1634" s="245"/>
      <c r="E1634" s="247"/>
      <c r="F1634" s="157"/>
    </row>
    <row r="1635" spans="1:6" s="243" customFormat="1" ht="13.5" customHeight="1" x14ac:dyDescent="0.3">
      <c r="A1635" s="245"/>
      <c r="B1635" s="245"/>
      <c r="C1635" s="246"/>
      <c r="D1635" s="245"/>
      <c r="E1635" s="247"/>
      <c r="F1635" s="157"/>
    </row>
    <row r="1636" spans="1:6" s="243" customFormat="1" ht="13.5" customHeight="1" x14ac:dyDescent="0.3">
      <c r="A1636" s="245"/>
      <c r="B1636" s="245"/>
      <c r="C1636" s="246"/>
      <c r="D1636" s="245"/>
      <c r="E1636" s="247"/>
      <c r="F1636" s="157"/>
    </row>
    <row r="1637" spans="1:6" s="243" customFormat="1" ht="13.5" customHeight="1" x14ac:dyDescent="0.3">
      <c r="A1637" s="245"/>
      <c r="B1637" s="245"/>
      <c r="C1637" s="246"/>
      <c r="D1637" s="245"/>
      <c r="E1637" s="247"/>
      <c r="F1637" s="157"/>
    </row>
    <row r="1638" spans="1:6" s="243" customFormat="1" ht="13.5" customHeight="1" x14ac:dyDescent="0.3">
      <c r="A1638" s="245"/>
      <c r="B1638" s="245"/>
      <c r="C1638" s="246"/>
      <c r="D1638" s="245"/>
      <c r="E1638" s="247"/>
      <c r="F1638" s="157"/>
    </row>
    <row r="1639" spans="1:6" s="243" customFormat="1" ht="13.5" customHeight="1" x14ac:dyDescent="0.3">
      <c r="A1639" s="245"/>
      <c r="B1639" s="245"/>
      <c r="C1639" s="246"/>
      <c r="D1639" s="245"/>
      <c r="E1639" s="247"/>
      <c r="F1639" s="157"/>
    </row>
    <row r="1640" spans="1:6" s="243" customFormat="1" ht="13.5" customHeight="1" x14ac:dyDescent="0.3">
      <c r="A1640" s="245"/>
      <c r="B1640" s="245"/>
      <c r="C1640" s="246"/>
      <c r="D1640" s="245"/>
      <c r="E1640" s="247"/>
      <c r="F1640" s="157"/>
    </row>
    <row r="1641" spans="1:6" s="243" customFormat="1" ht="13.5" customHeight="1" x14ac:dyDescent="0.3">
      <c r="A1641" s="245"/>
      <c r="B1641" s="245"/>
      <c r="C1641" s="246"/>
      <c r="D1641" s="245"/>
      <c r="E1641" s="247"/>
      <c r="F1641" s="157"/>
    </row>
    <row r="1642" spans="1:6" s="243" customFormat="1" ht="13.5" customHeight="1" x14ac:dyDescent="0.3">
      <c r="A1642" s="245"/>
      <c r="B1642" s="245"/>
      <c r="C1642" s="246"/>
      <c r="D1642" s="245"/>
      <c r="E1642" s="247"/>
      <c r="F1642" s="157"/>
    </row>
    <row r="1643" spans="1:6" s="243" customFormat="1" ht="13.5" customHeight="1" x14ac:dyDescent="0.3">
      <c r="A1643" s="245"/>
      <c r="B1643" s="245"/>
      <c r="C1643" s="246"/>
      <c r="D1643" s="245"/>
      <c r="E1643" s="247"/>
      <c r="F1643" s="157"/>
    </row>
    <row r="1644" spans="1:6" s="243" customFormat="1" ht="13.5" customHeight="1" x14ac:dyDescent="0.3">
      <c r="A1644" s="245"/>
      <c r="B1644" s="245"/>
      <c r="C1644" s="246"/>
      <c r="D1644" s="245"/>
      <c r="E1644" s="247"/>
      <c r="F1644" s="157"/>
    </row>
    <row r="1645" spans="1:6" s="243" customFormat="1" ht="13.5" customHeight="1" x14ac:dyDescent="0.3">
      <c r="A1645" s="245"/>
      <c r="B1645" s="245"/>
      <c r="C1645" s="246"/>
      <c r="D1645" s="245"/>
      <c r="E1645" s="247"/>
      <c r="F1645" s="157"/>
    </row>
    <row r="1646" spans="1:6" s="243" customFormat="1" ht="13.5" customHeight="1" x14ac:dyDescent="0.3">
      <c r="A1646" s="245"/>
      <c r="B1646" s="245"/>
      <c r="C1646" s="246"/>
      <c r="D1646" s="245"/>
      <c r="E1646" s="247"/>
      <c r="F1646" s="157"/>
    </row>
    <row r="1647" spans="1:6" s="243" customFormat="1" ht="13.5" customHeight="1" x14ac:dyDescent="0.3">
      <c r="A1647" s="245"/>
      <c r="B1647" s="245"/>
      <c r="C1647" s="246"/>
      <c r="D1647" s="245"/>
      <c r="E1647" s="247"/>
      <c r="F1647" s="157"/>
    </row>
    <row r="1648" spans="1:6" s="243" customFormat="1" ht="13.5" customHeight="1" x14ac:dyDescent="0.3">
      <c r="A1648" s="245"/>
      <c r="B1648" s="245"/>
      <c r="C1648" s="246"/>
      <c r="D1648" s="245"/>
      <c r="E1648" s="247"/>
      <c r="F1648" s="157"/>
    </row>
    <row r="1649" spans="1:6" s="243" customFormat="1" ht="13.5" customHeight="1" x14ac:dyDescent="0.3">
      <c r="A1649" s="245"/>
      <c r="B1649" s="245"/>
      <c r="C1649" s="246"/>
      <c r="D1649" s="245"/>
      <c r="E1649" s="247"/>
      <c r="F1649" s="157"/>
    </row>
    <row r="1650" spans="1:6" s="243" customFormat="1" ht="13.5" customHeight="1" x14ac:dyDescent="0.3">
      <c r="A1650" s="245"/>
      <c r="B1650" s="245"/>
      <c r="C1650" s="246"/>
      <c r="D1650" s="245"/>
      <c r="E1650" s="247"/>
      <c r="F1650" s="157"/>
    </row>
    <row r="1651" spans="1:6" s="243" customFormat="1" ht="13.5" customHeight="1" x14ac:dyDescent="0.3">
      <c r="A1651" s="245"/>
      <c r="B1651" s="245"/>
      <c r="C1651" s="246"/>
      <c r="D1651" s="245"/>
      <c r="E1651" s="247"/>
      <c r="F1651" s="157"/>
    </row>
    <row r="1652" spans="1:6" s="243" customFormat="1" ht="13.5" customHeight="1" x14ac:dyDescent="0.3">
      <c r="A1652" s="245"/>
      <c r="B1652" s="245"/>
      <c r="C1652" s="246"/>
      <c r="D1652" s="245"/>
      <c r="E1652" s="247"/>
      <c r="F1652" s="157"/>
    </row>
    <row r="1653" spans="1:6" s="243" customFormat="1" ht="13.5" customHeight="1" x14ac:dyDescent="0.3">
      <c r="A1653" s="245"/>
      <c r="B1653" s="245"/>
      <c r="C1653" s="246"/>
      <c r="D1653" s="245"/>
      <c r="E1653" s="247"/>
      <c r="F1653" s="157"/>
    </row>
    <row r="1654" spans="1:6" s="243" customFormat="1" ht="13.5" customHeight="1" x14ac:dyDescent="0.3">
      <c r="A1654" s="245"/>
      <c r="B1654" s="245"/>
      <c r="C1654" s="246"/>
      <c r="D1654" s="245"/>
      <c r="E1654" s="247"/>
      <c r="F1654" s="157"/>
    </row>
    <row r="1655" spans="1:6" s="243" customFormat="1" ht="13.5" customHeight="1" x14ac:dyDescent="0.3">
      <c r="A1655" s="245"/>
      <c r="B1655" s="245"/>
      <c r="C1655" s="246"/>
      <c r="D1655" s="245"/>
      <c r="E1655" s="247"/>
      <c r="F1655" s="157"/>
    </row>
    <row r="1656" spans="1:6" s="243" customFormat="1" ht="13.5" customHeight="1" x14ac:dyDescent="0.3">
      <c r="A1656" s="245"/>
      <c r="B1656" s="245"/>
      <c r="C1656" s="246"/>
      <c r="D1656" s="245"/>
      <c r="E1656" s="247"/>
      <c r="F1656" s="157"/>
    </row>
    <row r="1657" spans="1:6" s="243" customFormat="1" ht="13.5" customHeight="1" x14ac:dyDescent="0.3">
      <c r="A1657" s="245"/>
      <c r="B1657" s="245"/>
      <c r="C1657" s="246"/>
      <c r="D1657" s="245"/>
      <c r="E1657" s="247"/>
      <c r="F1657" s="157"/>
    </row>
    <row r="1658" spans="1:6" s="243" customFormat="1" ht="13.5" customHeight="1" x14ac:dyDescent="0.3">
      <c r="A1658" s="245"/>
      <c r="B1658" s="245"/>
      <c r="C1658" s="246"/>
      <c r="D1658" s="245"/>
      <c r="E1658" s="247"/>
      <c r="F1658" s="157"/>
    </row>
    <row r="1659" spans="1:6" s="243" customFormat="1" ht="13.5" customHeight="1" x14ac:dyDescent="0.3">
      <c r="A1659" s="245"/>
      <c r="B1659" s="245"/>
      <c r="C1659" s="246"/>
      <c r="D1659" s="245"/>
      <c r="E1659" s="247"/>
      <c r="F1659" s="157"/>
    </row>
    <row r="1660" spans="1:6" s="243" customFormat="1" ht="13.5" customHeight="1" x14ac:dyDescent="0.3">
      <c r="A1660" s="245"/>
      <c r="B1660" s="245"/>
      <c r="C1660" s="246"/>
      <c r="D1660" s="245"/>
      <c r="E1660" s="247"/>
      <c r="F1660" s="157"/>
    </row>
    <row r="1661" spans="1:6" s="243" customFormat="1" ht="13.5" customHeight="1" x14ac:dyDescent="0.3">
      <c r="A1661" s="245"/>
      <c r="B1661" s="245"/>
      <c r="C1661" s="246"/>
      <c r="D1661" s="245"/>
      <c r="E1661" s="247"/>
      <c r="F1661" s="157"/>
    </row>
    <row r="1662" spans="1:6" s="243" customFormat="1" ht="13.5" customHeight="1" x14ac:dyDescent="0.3">
      <c r="A1662" s="245"/>
      <c r="B1662" s="245"/>
      <c r="C1662" s="246"/>
      <c r="D1662" s="245"/>
      <c r="E1662" s="247"/>
      <c r="F1662" s="157"/>
    </row>
    <row r="1663" spans="1:6" s="243" customFormat="1" ht="13.5" customHeight="1" x14ac:dyDescent="0.3">
      <c r="A1663" s="245"/>
      <c r="B1663" s="245"/>
      <c r="C1663" s="246"/>
      <c r="D1663" s="245"/>
      <c r="E1663" s="247"/>
      <c r="F1663" s="157"/>
    </row>
    <row r="1664" spans="1:6" s="243" customFormat="1" ht="13.5" customHeight="1" x14ac:dyDescent="0.3">
      <c r="A1664" s="245"/>
      <c r="B1664" s="245"/>
      <c r="C1664" s="246"/>
      <c r="D1664" s="245"/>
      <c r="E1664" s="247"/>
      <c r="F1664" s="157"/>
    </row>
    <row r="1665" spans="1:6" s="243" customFormat="1" ht="13.5" customHeight="1" x14ac:dyDescent="0.3">
      <c r="A1665" s="245"/>
      <c r="B1665" s="245"/>
      <c r="C1665" s="246"/>
      <c r="D1665" s="245"/>
      <c r="E1665" s="247"/>
      <c r="F1665" s="157"/>
    </row>
    <row r="1666" spans="1:6" s="243" customFormat="1" ht="13.5" customHeight="1" x14ac:dyDescent="0.3">
      <c r="A1666" s="245"/>
      <c r="B1666" s="245"/>
      <c r="C1666" s="246"/>
      <c r="D1666" s="245"/>
      <c r="E1666" s="247"/>
      <c r="F1666" s="157"/>
    </row>
    <row r="1667" spans="1:6" s="243" customFormat="1" ht="13.5" customHeight="1" x14ac:dyDescent="0.3">
      <c r="A1667" s="245"/>
      <c r="B1667" s="245"/>
      <c r="C1667" s="246"/>
      <c r="D1667" s="245"/>
      <c r="E1667" s="247"/>
      <c r="F1667" s="157"/>
    </row>
    <row r="1668" spans="1:6" s="243" customFormat="1" ht="13.5" customHeight="1" x14ac:dyDescent="0.3">
      <c r="A1668" s="245"/>
      <c r="B1668" s="245"/>
      <c r="C1668" s="246"/>
      <c r="D1668" s="245"/>
      <c r="E1668" s="247"/>
      <c r="F1668" s="157"/>
    </row>
    <row r="1669" spans="1:6" s="243" customFormat="1" ht="13.5" customHeight="1" x14ac:dyDescent="0.3">
      <c r="A1669" s="245"/>
      <c r="B1669" s="245"/>
      <c r="C1669" s="246"/>
      <c r="D1669" s="245"/>
      <c r="E1669" s="247"/>
      <c r="F1669" s="157"/>
    </row>
    <row r="1670" spans="1:6" s="243" customFormat="1" ht="13.5" customHeight="1" x14ac:dyDescent="0.3">
      <c r="A1670" s="245"/>
      <c r="B1670" s="245"/>
      <c r="C1670" s="246"/>
      <c r="D1670" s="245"/>
      <c r="E1670" s="247"/>
      <c r="F1670" s="157"/>
    </row>
    <row r="1671" spans="1:6" s="243" customFormat="1" ht="13.5" customHeight="1" x14ac:dyDescent="0.3">
      <c r="A1671" s="245"/>
      <c r="B1671" s="245"/>
      <c r="C1671" s="246"/>
      <c r="D1671" s="245"/>
      <c r="E1671" s="247"/>
      <c r="F1671" s="157"/>
    </row>
    <row r="1672" spans="1:6" s="243" customFormat="1" ht="13.5" customHeight="1" x14ac:dyDescent="0.3">
      <c r="A1672" s="245"/>
      <c r="B1672" s="245"/>
      <c r="C1672" s="246"/>
      <c r="D1672" s="245"/>
      <c r="E1672" s="247"/>
      <c r="F1672" s="157"/>
    </row>
    <row r="1673" spans="1:6" s="243" customFormat="1" ht="13.5" customHeight="1" x14ac:dyDescent="0.3">
      <c r="A1673" s="245"/>
      <c r="B1673" s="245"/>
      <c r="C1673" s="246"/>
      <c r="D1673" s="245"/>
      <c r="E1673" s="247"/>
      <c r="F1673" s="157"/>
    </row>
    <row r="1674" spans="1:6" s="243" customFormat="1" ht="13.5" customHeight="1" x14ac:dyDescent="0.3">
      <c r="A1674" s="245"/>
      <c r="B1674" s="245"/>
      <c r="C1674" s="246"/>
      <c r="D1674" s="245"/>
      <c r="E1674" s="247"/>
      <c r="F1674" s="157"/>
    </row>
    <row r="1675" spans="1:6" s="243" customFormat="1" ht="13.5" customHeight="1" x14ac:dyDescent="0.3">
      <c r="A1675" s="245"/>
      <c r="B1675" s="245"/>
      <c r="C1675" s="246"/>
      <c r="D1675" s="245"/>
      <c r="E1675" s="247"/>
      <c r="F1675" s="157"/>
    </row>
    <row r="1676" spans="1:6" s="243" customFormat="1" ht="13.5" customHeight="1" x14ac:dyDescent="0.3">
      <c r="A1676" s="245"/>
      <c r="B1676" s="245"/>
      <c r="C1676" s="246"/>
      <c r="D1676" s="245"/>
      <c r="E1676" s="247"/>
      <c r="F1676" s="157"/>
    </row>
    <row r="1677" spans="1:6" s="243" customFormat="1" ht="13.5" customHeight="1" x14ac:dyDescent="0.3">
      <c r="A1677" s="245"/>
      <c r="B1677" s="245"/>
      <c r="C1677" s="246"/>
      <c r="D1677" s="245"/>
      <c r="E1677" s="247"/>
      <c r="F1677" s="157"/>
    </row>
    <row r="1678" spans="1:6" s="243" customFormat="1" ht="13.5" customHeight="1" x14ac:dyDescent="0.3">
      <c r="A1678" s="245"/>
      <c r="B1678" s="245"/>
      <c r="C1678" s="246"/>
      <c r="D1678" s="245"/>
      <c r="E1678" s="247"/>
      <c r="F1678" s="157"/>
    </row>
    <row r="1679" spans="1:6" s="243" customFormat="1" ht="13.5" customHeight="1" x14ac:dyDescent="0.3">
      <c r="A1679" s="245"/>
      <c r="B1679" s="245"/>
      <c r="C1679" s="246"/>
      <c r="D1679" s="245"/>
      <c r="E1679" s="247"/>
      <c r="F1679" s="157"/>
    </row>
    <row r="1680" spans="1:6" s="243" customFormat="1" ht="13.5" customHeight="1" x14ac:dyDescent="0.3">
      <c r="A1680" s="245"/>
      <c r="B1680" s="245"/>
      <c r="C1680" s="246"/>
      <c r="D1680" s="245"/>
      <c r="E1680" s="247"/>
      <c r="F1680" s="157"/>
    </row>
    <row r="1681" spans="1:6" s="243" customFormat="1" ht="13.5" customHeight="1" x14ac:dyDescent="0.3">
      <c r="A1681" s="245"/>
      <c r="B1681" s="245"/>
      <c r="C1681" s="246"/>
      <c r="D1681" s="245"/>
      <c r="E1681" s="247"/>
      <c r="F1681" s="157"/>
    </row>
    <row r="1682" spans="1:6" s="243" customFormat="1" ht="13.5" customHeight="1" x14ac:dyDescent="0.3">
      <c r="A1682" s="245"/>
      <c r="B1682" s="245"/>
      <c r="C1682" s="246"/>
      <c r="D1682" s="245"/>
      <c r="E1682" s="247"/>
      <c r="F1682" s="157"/>
    </row>
    <row r="1683" spans="1:6" s="243" customFormat="1" ht="13.5" customHeight="1" x14ac:dyDescent="0.3">
      <c r="A1683" s="245"/>
      <c r="B1683" s="245"/>
      <c r="C1683" s="246"/>
      <c r="D1683" s="245"/>
      <c r="E1683" s="247"/>
      <c r="F1683" s="157"/>
    </row>
    <row r="1684" spans="1:6" s="243" customFormat="1" ht="13.5" customHeight="1" x14ac:dyDescent="0.3">
      <c r="A1684" s="245"/>
      <c r="B1684" s="245"/>
      <c r="C1684" s="246"/>
      <c r="D1684" s="245"/>
      <c r="E1684" s="247"/>
      <c r="F1684" s="157"/>
    </row>
    <row r="1685" spans="1:6" s="243" customFormat="1" ht="13.5" customHeight="1" x14ac:dyDescent="0.3">
      <c r="A1685" s="245"/>
      <c r="B1685" s="245"/>
      <c r="C1685" s="246"/>
      <c r="D1685" s="245"/>
      <c r="E1685" s="247"/>
      <c r="F1685" s="157"/>
    </row>
    <row r="1686" spans="1:6" s="243" customFormat="1" ht="13.5" customHeight="1" x14ac:dyDescent="0.3">
      <c r="A1686" s="245"/>
      <c r="B1686" s="245"/>
      <c r="C1686" s="246"/>
      <c r="D1686" s="245"/>
      <c r="E1686" s="247"/>
      <c r="F1686" s="157"/>
    </row>
    <row r="1687" spans="1:6" s="243" customFormat="1" ht="13.5" customHeight="1" x14ac:dyDescent="0.3">
      <c r="A1687" s="245"/>
      <c r="B1687" s="245"/>
      <c r="C1687" s="246"/>
      <c r="D1687" s="245"/>
      <c r="E1687" s="247"/>
      <c r="F1687" s="157"/>
    </row>
    <row r="1688" spans="1:6" s="243" customFormat="1" ht="13.5" customHeight="1" x14ac:dyDescent="0.3">
      <c r="A1688" s="245"/>
      <c r="B1688" s="245"/>
      <c r="C1688" s="246"/>
      <c r="D1688" s="245"/>
      <c r="E1688" s="247"/>
      <c r="F1688" s="157"/>
    </row>
    <row r="1689" spans="1:6" s="243" customFormat="1" ht="13.5" customHeight="1" x14ac:dyDescent="0.3">
      <c r="A1689" s="245"/>
      <c r="B1689" s="245"/>
      <c r="C1689" s="246"/>
      <c r="D1689" s="245"/>
      <c r="E1689" s="247"/>
      <c r="F1689" s="157"/>
    </row>
    <row r="1690" spans="1:6" s="243" customFormat="1" ht="13.5" customHeight="1" x14ac:dyDescent="0.3">
      <c r="A1690" s="245"/>
      <c r="B1690" s="245"/>
      <c r="C1690" s="246"/>
      <c r="D1690" s="245"/>
      <c r="E1690" s="247"/>
      <c r="F1690" s="157"/>
    </row>
    <row r="1691" spans="1:6" s="243" customFormat="1" ht="13.5" customHeight="1" x14ac:dyDescent="0.3">
      <c r="A1691" s="245"/>
      <c r="B1691" s="245"/>
      <c r="C1691" s="246"/>
      <c r="D1691" s="245"/>
      <c r="E1691" s="247"/>
      <c r="F1691" s="157"/>
    </row>
    <row r="1692" spans="1:6" s="243" customFormat="1" ht="13.5" customHeight="1" x14ac:dyDescent="0.3">
      <c r="A1692" s="245"/>
      <c r="B1692" s="245"/>
      <c r="C1692" s="246"/>
      <c r="D1692" s="245"/>
      <c r="E1692" s="247"/>
      <c r="F1692" s="157"/>
    </row>
    <row r="1693" spans="1:6" s="243" customFormat="1" ht="13.5" customHeight="1" x14ac:dyDescent="0.3">
      <c r="A1693" s="245"/>
      <c r="B1693" s="245"/>
      <c r="C1693" s="246"/>
      <c r="D1693" s="245"/>
      <c r="E1693" s="247"/>
      <c r="F1693" s="157"/>
    </row>
    <row r="1694" spans="1:6" s="243" customFormat="1" ht="13.5" customHeight="1" x14ac:dyDescent="0.3">
      <c r="A1694" s="245"/>
      <c r="B1694" s="245"/>
      <c r="C1694" s="246"/>
      <c r="D1694" s="245"/>
      <c r="E1694" s="247"/>
      <c r="F1694" s="157"/>
    </row>
    <row r="1695" spans="1:6" s="243" customFormat="1" ht="13.5" customHeight="1" x14ac:dyDescent="0.3">
      <c r="A1695" s="245"/>
      <c r="B1695" s="245"/>
      <c r="C1695" s="246"/>
      <c r="D1695" s="245"/>
      <c r="E1695" s="247"/>
      <c r="F1695" s="157"/>
    </row>
    <row r="1696" spans="1:6" s="243" customFormat="1" ht="13.5" customHeight="1" x14ac:dyDescent="0.3">
      <c r="A1696" s="245"/>
      <c r="B1696" s="245"/>
      <c r="C1696" s="246"/>
      <c r="D1696" s="245"/>
      <c r="E1696" s="247"/>
      <c r="F1696" s="157"/>
    </row>
    <row r="1697" spans="1:6" s="243" customFormat="1" ht="13.5" customHeight="1" x14ac:dyDescent="0.3">
      <c r="A1697" s="245"/>
      <c r="B1697" s="245"/>
      <c r="C1697" s="246"/>
      <c r="D1697" s="245"/>
      <c r="E1697" s="247"/>
      <c r="F1697" s="157"/>
    </row>
    <row r="1698" spans="1:6" s="243" customFormat="1" ht="13.5" customHeight="1" x14ac:dyDescent="0.3">
      <c r="A1698" s="245"/>
      <c r="B1698" s="245"/>
      <c r="C1698" s="246"/>
      <c r="D1698" s="245"/>
      <c r="E1698" s="247"/>
      <c r="F1698" s="157"/>
    </row>
    <row r="1699" spans="1:6" s="243" customFormat="1" ht="13.5" customHeight="1" x14ac:dyDescent="0.3">
      <c r="A1699" s="245"/>
      <c r="B1699" s="245"/>
      <c r="C1699" s="246"/>
      <c r="D1699" s="245"/>
      <c r="E1699" s="247"/>
      <c r="F1699" s="157"/>
    </row>
    <row r="1700" spans="1:6" s="243" customFormat="1" ht="13.5" customHeight="1" x14ac:dyDescent="0.3">
      <c r="A1700" s="245"/>
      <c r="B1700" s="245"/>
      <c r="C1700" s="246"/>
      <c r="D1700" s="245"/>
      <c r="E1700" s="247"/>
      <c r="F1700" s="157"/>
    </row>
    <row r="1701" spans="1:6" s="243" customFormat="1" ht="13.5" customHeight="1" x14ac:dyDescent="0.3">
      <c r="A1701" s="245"/>
      <c r="B1701" s="245"/>
      <c r="C1701" s="246"/>
      <c r="D1701" s="245"/>
      <c r="E1701" s="247"/>
      <c r="F1701" s="157"/>
    </row>
    <row r="1702" spans="1:6" s="243" customFormat="1" ht="13.5" customHeight="1" x14ac:dyDescent="0.3">
      <c r="A1702" s="245"/>
      <c r="B1702" s="245"/>
      <c r="C1702" s="246"/>
      <c r="D1702" s="245"/>
      <c r="E1702" s="247"/>
      <c r="F1702" s="157"/>
    </row>
    <row r="1703" spans="1:6" s="243" customFormat="1" ht="13.5" customHeight="1" x14ac:dyDescent="0.3">
      <c r="A1703" s="245"/>
      <c r="B1703" s="245"/>
      <c r="C1703" s="246"/>
      <c r="D1703" s="245"/>
      <c r="E1703" s="247"/>
      <c r="F1703" s="157"/>
    </row>
    <row r="1704" spans="1:6" s="243" customFormat="1" ht="13.5" customHeight="1" x14ac:dyDescent="0.3">
      <c r="A1704" s="245"/>
      <c r="B1704" s="245"/>
      <c r="C1704" s="246"/>
      <c r="D1704" s="245"/>
      <c r="E1704" s="247"/>
      <c r="F1704" s="157"/>
    </row>
    <row r="1705" spans="1:6" s="243" customFormat="1" ht="13.5" customHeight="1" x14ac:dyDescent="0.3">
      <c r="A1705" s="245"/>
      <c r="B1705" s="245"/>
      <c r="C1705" s="246"/>
      <c r="D1705" s="245"/>
      <c r="E1705" s="247"/>
      <c r="F1705" s="157"/>
    </row>
    <row r="1706" spans="1:6" s="243" customFormat="1" ht="13.5" customHeight="1" x14ac:dyDescent="0.3">
      <c r="A1706" s="245"/>
      <c r="B1706" s="245"/>
      <c r="C1706" s="246"/>
      <c r="D1706" s="245"/>
      <c r="E1706" s="247"/>
      <c r="F1706" s="157"/>
    </row>
    <row r="1707" spans="1:6" s="243" customFormat="1" ht="13.5" customHeight="1" x14ac:dyDescent="0.3">
      <c r="A1707" s="245"/>
      <c r="B1707" s="245"/>
      <c r="C1707" s="246"/>
      <c r="D1707" s="245"/>
      <c r="E1707" s="247"/>
      <c r="F1707" s="157"/>
    </row>
    <row r="1708" spans="1:6" s="243" customFormat="1" ht="13.5" customHeight="1" x14ac:dyDescent="0.3">
      <c r="A1708" s="245"/>
      <c r="B1708" s="245"/>
      <c r="C1708" s="246"/>
      <c r="D1708" s="245"/>
      <c r="E1708" s="247"/>
      <c r="F1708" s="157"/>
    </row>
    <row r="1709" spans="1:6" s="243" customFormat="1" ht="13.5" customHeight="1" x14ac:dyDescent="0.3">
      <c r="A1709" s="245"/>
      <c r="B1709" s="245"/>
      <c r="C1709" s="246"/>
      <c r="D1709" s="245"/>
      <c r="E1709" s="247"/>
      <c r="F1709" s="157"/>
    </row>
    <row r="1710" spans="1:6" s="243" customFormat="1" ht="13.5" customHeight="1" x14ac:dyDescent="0.3">
      <c r="A1710" s="245"/>
      <c r="B1710" s="245"/>
      <c r="C1710" s="246"/>
      <c r="D1710" s="245"/>
      <c r="E1710" s="247"/>
      <c r="F1710" s="157"/>
    </row>
    <row r="1711" spans="1:6" s="243" customFormat="1" ht="13.5" customHeight="1" x14ac:dyDescent="0.3">
      <c r="A1711" s="245"/>
      <c r="B1711" s="245"/>
      <c r="C1711" s="246"/>
      <c r="D1711" s="245"/>
      <c r="E1711" s="247"/>
      <c r="F1711" s="157"/>
    </row>
    <row r="1712" spans="1:6" s="243" customFormat="1" ht="13.5" customHeight="1" x14ac:dyDescent="0.3">
      <c r="A1712" s="245"/>
      <c r="B1712" s="245"/>
      <c r="C1712" s="246"/>
      <c r="D1712" s="245"/>
      <c r="E1712" s="247"/>
      <c r="F1712" s="157"/>
    </row>
    <row r="1713" spans="1:6" s="243" customFormat="1" ht="13.5" customHeight="1" x14ac:dyDescent="0.3">
      <c r="A1713" s="245"/>
      <c r="B1713" s="245"/>
      <c r="C1713" s="246"/>
      <c r="D1713" s="245"/>
      <c r="E1713" s="247"/>
      <c r="F1713" s="157"/>
    </row>
    <row r="1714" spans="1:6" s="243" customFormat="1" ht="13.5" customHeight="1" x14ac:dyDescent="0.3">
      <c r="A1714" s="245"/>
      <c r="B1714" s="245"/>
      <c r="C1714" s="246"/>
      <c r="D1714" s="245"/>
      <c r="E1714" s="247"/>
      <c r="F1714" s="157"/>
    </row>
    <row r="1715" spans="1:6" s="243" customFormat="1" ht="13.5" customHeight="1" x14ac:dyDescent="0.3">
      <c r="A1715" s="245"/>
      <c r="B1715" s="245"/>
      <c r="C1715" s="246"/>
      <c r="D1715" s="245"/>
      <c r="E1715" s="247"/>
      <c r="F1715" s="157"/>
    </row>
    <row r="1716" spans="1:6" s="243" customFormat="1" ht="13.5" customHeight="1" x14ac:dyDescent="0.3">
      <c r="A1716" s="245"/>
      <c r="B1716" s="245"/>
      <c r="C1716" s="246"/>
      <c r="D1716" s="245"/>
      <c r="E1716" s="247"/>
      <c r="F1716" s="157"/>
    </row>
    <row r="1717" spans="1:6" s="243" customFormat="1" ht="13.5" customHeight="1" x14ac:dyDescent="0.3">
      <c r="A1717" s="245"/>
      <c r="B1717" s="245"/>
      <c r="C1717" s="246"/>
      <c r="D1717" s="245"/>
      <c r="E1717" s="247"/>
      <c r="F1717" s="157"/>
    </row>
    <row r="1718" spans="1:6" s="243" customFormat="1" ht="13.5" customHeight="1" x14ac:dyDescent="0.3">
      <c r="A1718" s="245"/>
      <c r="B1718" s="245"/>
      <c r="C1718" s="246"/>
      <c r="D1718" s="245"/>
      <c r="E1718" s="247"/>
      <c r="F1718" s="157"/>
    </row>
    <row r="1719" spans="1:6" s="243" customFormat="1" ht="13.5" customHeight="1" x14ac:dyDescent="0.3">
      <c r="A1719" s="245"/>
      <c r="B1719" s="245"/>
      <c r="C1719" s="246"/>
      <c r="D1719" s="245"/>
      <c r="E1719" s="247"/>
      <c r="F1719" s="157"/>
    </row>
    <row r="1720" spans="1:6" s="243" customFormat="1" ht="13.5" customHeight="1" x14ac:dyDescent="0.3">
      <c r="A1720" s="245"/>
      <c r="B1720" s="245"/>
      <c r="C1720" s="246"/>
      <c r="D1720" s="245"/>
      <c r="E1720" s="247"/>
      <c r="F1720" s="157"/>
    </row>
    <row r="1721" spans="1:6" s="243" customFormat="1" ht="13.5" customHeight="1" x14ac:dyDescent="0.3">
      <c r="A1721" s="245"/>
      <c r="B1721" s="245"/>
      <c r="C1721" s="246"/>
      <c r="D1721" s="245"/>
      <c r="E1721" s="247"/>
      <c r="F1721" s="157"/>
    </row>
    <row r="1722" spans="1:6" s="243" customFormat="1" ht="13.5" customHeight="1" x14ac:dyDescent="0.3">
      <c r="A1722" s="245"/>
      <c r="B1722" s="245"/>
      <c r="C1722" s="246"/>
      <c r="D1722" s="245"/>
      <c r="E1722" s="247"/>
      <c r="F1722" s="157"/>
    </row>
    <row r="1723" spans="1:6" s="243" customFormat="1" ht="13.5" customHeight="1" x14ac:dyDescent="0.3">
      <c r="A1723" s="245"/>
      <c r="B1723" s="245"/>
      <c r="C1723" s="246"/>
      <c r="D1723" s="245"/>
      <c r="E1723" s="247"/>
      <c r="F1723" s="157"/>
    </row>
    <row r="1724" spans="1:6" s="243" customFormat="1" ht="13.5" customHeight="1" x14ac:dyDescent="0.3">
      <c r="A1724" s="245"/>
      <c r="B1724" s="245"/>
      <c r="C1724" s="246"/>
      <c r="D1724" s="245"/>
      <c r="E1724" s="247"/>
      <c r="F1724" s="157"/>
    </row>
    <row r="1725" spans="1:6" s="243" customFormat="1" ht="13.5" customHeight="1" x14ac:dyDescent="0.3">
      <c r="A1725" s="245"/>
      <c r="B1725" s="245"/>
      <c r="C1725" s="246"/>
      <c r="D1725" s="245"/>
      <c r="E1725" s="247"/>
      <c r="F1725" s="157"/>
    </row>
    <row r="1726" spans="1:6" s="243" customFormat="1" ht="13.5" customHeight="1" x14ac:dyDescent="0.3">
      <c r="A1726" s="245"/>
      <c r="B1726" s="245"/>
      <c r="C1726" s="246"/>
      <c r="D1726" s="245"/>
      <c r="E1726" s="247"/>
      <c r="F1726" s="157"/>
    </row>
    <row r="1727" spans="1:6" s="243" customFormat="1" ht="13.5" customHeight="1" x14ac:dyDescent="0.3">
      <c r="A1727" s="245"/>
      <c r="B1727" s="245"/>
      <c r="C1727" s="246"/>
      <c r="D1727" s="245"/>
      <c r="E1727" s="247"/>
      <c r="F1727" s="157"/>
    </row>
    <row r="1728" spans="1:6" s="243" customFormat="1" ht="13.5" customHeight="1" x14ac:dyDescent="0.3">
      <c r="A1728" s="245"/>
      <c r="B1728" s="245"/>
      <c r="C1728" s="246"/>
      <c r="D1728" s="245"/>
      <c r="E1728" s="247"/>
      <c r="F1728" s="157"/>
    </row>
    <row r="1729" spans="1:6" s="243" customFormat="1" ht="13.5" customHeight="1" x14ac:dyDescent="0.3">
      <c r="A1729" s="245"/>
      <c r="B1729" s="245"/>
      <c r="C1729" s="246"/>
      <c r="D1729" s="245"/>
      <c r="E1729" s="247"/>
      <c r="F1729" s="157"/>
    </row>
    <row r="1730" spans="1:6" s="243" customFormat="1" ht="13.5" customHeight="1" x14ac:dyDescent="0.3">
      <c r="A1730" s="245"/>
      <c r="B1730" s="245"/>
      <c r="C1730" s="246"/>
      <c r="D1730" s="245"/>
      <c r="E1730" s="247"/>
      <c r="F1730" s="157"/>
    </row>
    <row r="1731" spans="1:6" s="243" customFormat="1" ht="13.5" customHeight="1" x14ac:dyDescent="0.3">
      <c r="A1731" s="245"/>
      <c r="B1731" s="245"/>
      <c r="C1731" s="246"/>
      <c r="D1731" s="245"/>
      <c r="E1731" s="247"/>
      <c r="F1731" s="157"/>
    </row>
    <row r="1732" spans="1:6" s="243" customFormat="1" ht="13.5" customHeight="1" x14ac:dyDescent="0.3">
      <c r="A1732" s="245"/>
      <c r="B1732" s="245"/>
      <c r="C1732" s="246"/>
      <c r="D1732" s="245"/>
      <c r="E1732" s="247"/>
      <c r="F1732" s="157"/>
    </row>
    <row r="1733" spans="1:6" s="243" customFormat="1" ht="13.5" customHeight="1" x14ac:dyDescent="0.3">
      <c r="A1733" s="245"/>
      <c r="B1733" s="245"/>
      <c r="C1733" s="246"/>
      <c r="D1733" s="245"/>
      <c r="E1733" s="247"/>
      <c r="F1733" s="157"/>
    </row>
    <row r="1734" spans="1:6" s="243" customFormat="1" ht="13.5" customHeight="1" x14ac:dyDescent="0.3">
      <c r="A1734" s="245"/>
      <c r="B1734" s="245"/>
      <c r="C1734" s="246"/>
      <c r="D1734" s="245"/>
      <c r="E1734" s="247"/>
      <c r="F1734" s="157"/>
    </row>
    <row r="1735" spans="1:6" s="243" customFormat="1" ht="13.5" customHeight="1" x14ac:dyDescent="0.3">
      <c r="A1735" s="245"/>
      <c r="B1735" s="245"/>
      <c r="C1735" s="246"/>
      <c r="D1735" s="245"/>
      <c r="E1735" s="247"/>
      <c r="F1735" s="157"/>
    </row>
    <row r="1736" spans="1:6" s="243" customFormat="1" ht="13.5" customHeight="1" x14ac:dyDescent="0.3">
      <c r="A1736" s="245"/>
      <c r="B1736" s="245"/>
      <c r="C1736" s="246"/>
      <c r="D1736" s="245"/>
      <c r="E1736" s="247"/>
      <c r="F1736" s="157"/>
    </row>
    <row r="1737" spans="1:6" s="243" customFormat="1" ht="13.5" customHeight="1" x14ac:dyDescent="0.3">
      <c r="A1737" s="245"/>
      <c r="B1737" s="245"/>
      <c r="C1737" s="246"/>
      <c r="D1737" s="245"/>
      <c r="E1737" s="247"/>
      <c r="F1737" s="157"/>
    </row>
    <row r="1738" spans="1:6" s="243" customFormat="1" ht="13.5" customHeight="1" x14ac:dyDescent="0.3">
      <c r="A1738" s="245"/>
      <c r="B1738" s="245"/>
      <c r="C1738" s="246"/>
      <c r="D1738" s="245"/>
      <c r="E1738" s="247"/>
      <c r="F1738" s="157"/>
    </row>
    <row r="1739" spans="1:6" s="243" customFormat="1" ht="13.5" customHeight="1" x14ac:dyDescent="0.3">
      <c r="A1739" s="245"/>
      <c r="B1739" s="245"/>
      <c r="C1739" s="246"/>
      <c r="D1739" s="245"/>
      <c r="E1739" s="247"/>
      <c r="F1739" s="157"/>
    </row>
    <row r="1740" spans="1:6" s="243" customFormat="1" ht="13.5" customHeight="1" x14ac:dyDescent="0.3">
      <c r="A1740" s="245"/>
      <c r="B1740" s="245"/>
      <c r="C1740" s="246"/>
      <c r="D1740" s="245"/>
      <c r="E1740" s="247"/>
      <c r="F1740" s="157"/>
    </row>
    <row r="1741" spans="1:6" s="243" customFormat="1" ht="13.5" customHeight="1" x14ac:dyDescent="0.3">
      <c r="A1741" s="245"/>
      <c r="B1741" s="245"/>
      <c r="C1741" s="246"/>
      <c r="D1741" s="245"/>
      <c r="E1741" s="247"/>
      <c r="F1741" s="157"/>
    </row>
    <row r="1742" spans="1:6" s="243" customFormat="1" ht="13.5" customHeight="1" x14ac:dyDescent="0.3">
      <c r="A1742" s="245"/>
      <c r="B1742" s="245"/>
      <c r="C1742" s="246"/>
      <c r="D1742" s="245"/>
      <c r="E1742" s="247"/>
      <c r="F1742" s="157"/>
    </row>
    <row r="1743" spans="1:6" s="243" customFormat="1" ht="13.5" customHeight="1" x14ac:dyDescent="0.3">
      <c r="A1743" s="245"/>
      <c r="B1743" s="245"/>
      <c r="C1743" s="246"/>
      <c r="D1743" s="245"/>
      <c r="E1743" s="247"/>
      <c r="F1743" s="157"/>
    </row>
    <row r="1744" spans="1:6" s="243" customFormat="1" ht="13.5" customHeight="1" x14ac:dyDescent="0.3">
      <c r="A1744" s="245"/>
      <c r="B1744" s="245"/>
      <c r="C1744" s="246"/>
      <c r="D1744" s="245"/>
      <c r="E1744" s="247"/>
      <c r="F1744" s="157"/>
    </row>
    <row r="1745" spans="1:6" s="243" customFormat="1" ht="13.5" customHeight="1" x14ac:dyDescent="0.3">
      <c r="A1745" s="245"/>
      <c r="B1745" s="245"/>
      <c r="C1745" s="246"/>
      <c r="D1745" s="245"/>
      <c r="E1745" s="247"/>
      <c r="F1745" s="157"/>
    </row>
    <row r="1746" spans="1:6" s="243" customFormat="1" ht="13.5" customHeight="1" x14ac:dyDescent="0.3">
      <c r="A1746" s="245"/>
      <c r="B1746" s="245"/>
      <c r="C1746" s="246"/>
      <c r="D1746" s="245"/>
      <c r="E1746" s="247"/>
      <c r="F1746" s="157"/>
    </row>
    <row r="1747" spans="1:6" s="243" customFormat="1" ht="13.5" customHeight="1" x14ac:dyDescent="0.3">
      <c r="A1747" s="245"/>
      <c r="B1747" s="245"/>
      <c r="C1747" s="246"/>
      <c r="D1747" s="245"/>
      <c r="E1747" s="247"/>
      <c r="F1747" s="157"/>
    </row>
    <row r="1748" spans="1:6" s="243" customFormat="1" ht="13.5" customHeight="1" x14ac:dyDescent="0.3">
      <c r="A1748" s="245"/>
      <c r="B1748" s="245"/>
      <c r="C1748" s="246"/>
      <c r="D1748" s="245"/>
      <c r="E1748" s="247"/>
      <c r="F1748" s="157"/>
    </row>
    <row r="1749" spans="1:6" s="243" customFormat="1" ht="13.5" customHeight="1" x14ac:dyDescent="0.3">
      <c r="A1749" s="245"/>
      <c r="B1749" s="245"/>
      <c r="C1749" s="246"/>
      <c r="D1749" s="245"/>
      <c r="E1749" s="247"/>
      <c r="F1749" s="157"/>
    </row>
    <row r="1750" spans="1:6" s="243" customFormat="1" ht="13.5" customHeight="1" x14ac:dyDescent="0.3">
      <c r="A1750" s="245"/>
      <c r="B1750" s="245"/>
      <c r="C1750" s="246"/>
      <c r="D1750" s="245"/>
      <c r="E1750" s="247"/>
      <c r="F1750" s="157"/>
    </row>
    <row r="1751" spans="1:6" s="243" customFormat="1" ht="13.5" customHeight="1" x14ac:dyDescent="0.3">
      <c r="A1751" s="245"/>
      <c r="B1751" s="245"/>
      <c r="C1751" s="246"/>
      <c r="D1751" s="245"/>
      <c r="E1751" s="247"/>
      <c r="F1751" s="157"/>
    </row>
    <row r="1752" spans="1:6" s="243" customFormat="1" ht="13.5" customHeight="1" x14ac:dyDescent="0.3">
      <c r="A1752" s="245"/>
      <c r="B1752" s="245"/>
      <c r="C1752" s="246"/>
      <c r="D1752" s="245"/>
      <c r="E1752" s="247"/>
      <c r="F1752" s="157"/>
    </row>
    <row r="1753" spans="1:6" s="243" customFormat="1" ht="13.5" customHeight="1" x14ac:dyDescent="0.3">
      <c r="A1753" s="245"/>
      <c r="B1753" s="245"/>
      <c r="C1753" s="246"/>
      <c r="D1753" s="245"/>
      <c r="E1753" s="247"/>
      <c r="F1753" s="157"/>
    </row>
    <row r="1754" spans="1:6" s="243" customFormat="1" ht="13.5" customHeight="1" x14ac:dyDescent="0.3">
      <c r="A1754" s="245"/>
      <c r="B1754" s="245"/>
      <c r="C1754" s="246"/>
      <c r="D1754" s="245"/>
      <c r="E1754" s="247"/>
      <c r="F1754" s="157"/>
    </row>
    <row r="1755" spans="1:6" s="243" customFormat="1" ht="13.5" customHeight="1" x14ac:dyDescent="0.3">
      <c r="A1755" s="245"/>
      <c r="B1755" s="245"/>
      <c r="C1755" s="246"/>
      <c r="D1755" s="245"/>
      <c r="E1755" s="247"/>
      <c r="F1755" s="157"/>
    </row>
    <row r="1756" spans="1:6" s="243" customFormat="1" ht="13.5" customHeight="1" x14ac:dyDescent="0.3">
      <c r="A1756" s="245"/>
      <c r="B1756" s="245"/>
      <c r="C1756" s="246"/>
      <c r="D1756" s="245"/>
      <c r="E1756" s="247"/>
      <c r="F1756" s="157"/>
    </row>
    <row r="1757" spans="1:6" s="243" customFormat="1" ht="13.5" customHeight="1" x14ac:dyDescent="0.3">
      <c r="A1757" s="245"/>
      <c r="B1757" s="245"/>
      <c r="C1757" s="246"/>
      <c r="D1757" s="245"/>
      <c r="E1757" s="247"/>
      <c r="F1757" s="157"/>
    </row>
    <row r="1758" spans="1:6" s="243" customFormat="1" ht="13.5" customHeight="1" x14ac:dyDescent="0.3">
      <c r="A1758" s="245"/>
      <c r="B1758" s="245"/>
      <c r="C1758" s="246"/>
      <c r="D1758" s="245"/>
      <c r="E1758" s="247"/>
      <c r="F1758" s="157"/>
    </row>
    <row r="1759" spans="1:6" s="243" customFormat="1" ht="13.5" customHeight="1" x14ac:dyDescent="0.3">
      <c r="A1759" s="245"/>
      <c r="B1759" s="245"/>
      <c r="C1759" s="246"/>
      <c r="D1759" s="245"/>
      <c r="E1759" s="247"/>
      <c r="F1759" s="157"/>
    </row>
    <row r="1760" spans="1:6" s="243" customFormat="1" ht="13.5" customHeight="1" x14ac:dyDescent="0.3">
      <c r="A1760" s="245"/>
      <c r="B1760" s="245"/>
      <c r="C1760" s="246"/>
      <c r="D1760" s="245"/>
      <c r="E1760" s="247"/>
      <c r="F1760" s="157"/>
    </row>
    <row r="1761" spans="1:6" s="243" customFormat="1" ht="13.5" customHeight="1" x14ac:dyDescent="0.3">
      <c r="A1761" s="245"/>
      <c r="B1761" s="245"/>
      <c r="C1761" s="246"/>
      <c r="D1761" s="245"/>
      <c r="E1761" s="247"/>
      <c r="F1761" s="157"/>
    </row>
    <row r="1762" spans="1:6" s="243" customFormat="1" ht="13.5" customHeight="1" x14ac:dyDescent="0.3">
      <c r="A1762" s="245"/>
      <c r="B1762" s="245"/>
      <c r="C1762" s="246"/>
      <c r="D1762" s="245"/>
      <c r="E1762" s="247"/>
      <c r="F1762" s="157"/>
    </row>
    <row r="1763" spans="1:6" s="243" customFormat="1" ht="13.5" customHeight="1" x14ac:dyDescent="0.3">
      <c r="A1763" s="245"/>
      <c r="B1763" s="245"/>
      <c r="C1763" s="246"/>
      <c r="D1763" s="245"/>
      <c r="E1763" s="247"/>
      <c r="F1763" s="157"/>
    </row>
    <row r="1764" spans="1:6" s="243" customFormat="1" ht="13.5" customHeight="1" x14ac:dyDescent="0.3">
      <c r="A1764" s="245"/>
      <c r="B1764" s="245"/>
      <c r="C1764" s="246"/>
      <c r="D1764" s="245"/>
      <c r="E1764" s="247"/>
      <c r="F1764" s="157"/>
    </row>
    <row r="1765" spans="1:6" s="243" customFormat="1" ht="13.5" customHeight="1" x14ac:dyDescent="0.3">
      <c r="A1765" s="245"/>
      <c r="B1765" s="245"/>
      <c r="C1765" s="246"/>
      <c r="D1765" s="245"/>
      <c r="E1765" s="247"/>
      <c r="F1765" s="157"/>
    </row>
    <row r="1766" spans="1:6" s="243" customFormat="1" ht="13.5" customHeight="1" x14ac:dyDescent="0.3">
      <c r="A1766" s="245"/>
      <c r="B1766" s="245"/>
      <c r="C1766" s="246"/>
      <c r="D1766" s="245"/>
      <c r="E1766" s="247"/>
      <c r="F1766" s="157"/>
    </row>
    <row r="1767" spans="1:6" s="243" customFormat="1" ht="13.5" customHeight="1" x14ac:dyDescent="0.3">
      <c r="A1767" s="245"/>
      <c r="B1767" s="245"/>
      <c r="C1767" s="246"/>
      <c r="D1767" s="245"/>
      <c r="E1767" s="247"/>
      <c r="F1767" s="157"/>
    </row>
    <row r="1768" spans="1:6" s="243" customFormat="1" ht="13.5" customHeight="1" x14ac:dyDescent="0.3">
      <c r="A1768" s="245"/>
      <c r="B1768" s="245"/>
      <c r="C1768" s="246"/>
      <c r="D1768" s="245"/>
      <c r="E1768" s="247"/>
      <c r="F1768" s="157"/>
    </row>
    <row r="1769" spans="1:6" s="243" customFormat="1" ht="13.5" customHeight="1" x14ac:dyDescent="0.3">
      <c r="A1769" s="245"/>
      <c r="B1769" s="245"/>
      <c r="C1769" s="246"/>
      <c r="D1769" s="245"/>
      <c r="E1769" s="247"/>
      <c r="F1769" s="157"/>
    </row>
    <row r="1770" spans="1:6" s="243" customFormat="1" ht="13.5" customHeight="1" x14ac:dyDescent="0.3">
      <c r="A1770" s="245"/>
      <c r="B1770" s="245"/>
      <c r="C1770" s="246"/>
      <c r="D1770" s="245"/>
      <c r="E1770" s="247"/>
      <c r="F1770" s="157"/>
    </row>
    <row r="1771" spans="1:6" s="243" customFormat="1" ht="13.5" customHeight="1" x14ac:dyDescent="0.3">
      <c r="A1771" s="245"/>
      <c r="B1771" s="245"/>
      <c r="C1771" s="246"/>
      <c r="D1771" s="245"/>
      <c r="E1771" s="247"/>
      <c r="F1771" s="157"/>
    </row>
    <row r="1772" spans="1:6" s="243" customFormat="1" ht="13.5" customHeight="1" x14ac:dyDescent="0.3">
      <c r="A1772" s="245"/>
      <c r="B1772" s="245"/>
      <c r="C1772" s="246"/>
      <c r="D1772" s="245"/>
      <c r="E1772" s="247"/>
      <c r="F1772" s="157"/>
    </row>
    <row r="1773" spans="1:6" s="243" customFormat="1" ht="13.5" customHeight="1" x14ac:dyDescent="0.3">
      <c r="A1773" s="245"/>
      <c r="B1773" s="245"/>
      <c r="C1773" s="246"/>
      <c r="D1773" s="245"/>
      <c r="E1773" s="247"/>
      <c r="F1773" s="157"/>
    </row>
    <row r="1774" spans="1:6" s="243" customFormat="1" ht="13.5" customHeight="1" x14ac:dyDescent="0.3">
      <c r="A1774" s="245"/>
      <c r="B1774" s="245"/>
      <c r="C1774" s="246"/>
      <c r="D1774" s="245"/>
      <c r="E1774" s="247"/>
      <c r="F1774" s="157"/>
    </row>
    <row r="1775" spans="1:6" s="243" customFormat="1" ht="13.5" customHeight="1" x14ac:dyDescent="0.3">
      <c r="A1775" s="245"/>
      <c r="B1775" s="245"/>
      <c r="C1775" s="246"/>
      <c r="D1775" s="245"/>
      <c r="E1775" s="247"/>
      <c r="F1775" s="157"/>
    </row>
    <row r="1776" spans="1:6" s="243" customFormat="1" ht="13.5" customHeight="1" x14ac:dyDescent="0.3">
      <c r="A1776" s="245"/>
      <c r="B1776" s="245"/>
      <c r="C1776" s="246"/>
      <c r="D1776" s="245"/>
      <c r="E1776" s="247"/>
      <c r="F1776" s="157"/>
    </row>
    <row r="1777" spans="1:6" s="243" customFormat="1" ht="13.5" customHeight="1" x14ac:dyDescent="0.3">
      <c r="A1777" s="245"/>
      <c r="B1777" s="245"/>
      <c r="C1777" s="246"/>
      <c r="D1777" s="245"/>
      <c r="E1777" s="247"/>
      <c r="F1777" s="157"/>
    </row>
    <row r="1778" spans="1:6" s="243" customFormat="1" ht="13.5" customHeight="1" x14ac:dyDescent="0.3">
      <c r="A1778" s="245"/>
      <c r="B1778" s="245"/>
      <c r="C1778" s="246"/>
      <c r="D1778" s="245"/>
      <c r="E1778" s="247"/>
      <c r="F1778" s="157"/>
    </row>
    <row r="1779" spans="1:6" s="243" customFormat="1" ht="13.5" customHeight="1" x14ac:dyDescent="0.3">
      <c r="A1779" s="245"/>
      <c r="B1779" s="245"/>
      <c r="C1779" s="246"/>
      <c r="D1779" s="245"/>
      <c r="E1779" s="247"/>
      <c r="F1779" s="157"/>
    </row>
    <row r="1780" spans="1:6" s="243" customFormat="1" ht="13.5" customHeight="1" x14ac:dyDescent="0.3">
      <c r="A1780" s="245"/>
      <c r="B1780" s="245"/>
      <c r="C1780" s="246"/>
      <c r="D1780" s="245"/>
      <c r="E1780" s="247"/>
      <c r="F1780" s="157"/>
    </row>
    <row r="1781" spans="1:6" s="243" customFormat="1" ht="13.5" customHeight="1" x14ac:dyDescent="0.3">
      <c r="A1781" s="245"/>
      <c r="B1781" s="245"/>
      <c r="C1781" s="246"/>
      <c r="D1781" s="245"/>
      <c r="E1781" s="247"/>
      <c r="F1781" s="157"/>
    </row>
    <row r="1782" spans="1:6" s="243" customFormat="1" ht="13.5" customHeight="1" x14ac:dyDescent="0.3">
      <c r="A1782" s="245"/>
      <c r="B1782" s="245"/>
      <c r="C1782" s="246"/>
      <c r="D1782" s="245"/>
      <c r="E1782" s="247"/>
      <c r="F1782" s="157"/>
    </row>
    <row r="1783" spans="1:6" s="243" customFormat="1" ht="13.5" customHeight="1" x14ac:dyDescent="0.3">
      <c r="A1783" s="245"/>
      <c r="B1783" s="245"/>
      <c r="C1783" s="246"/>
      <c r="D1783" s="245"/>
      <c r="E1783" s="247"/>
      <c r="F1783" s="157"/>
    </row>
    <row r="1784" spans="1:6" s="243" customFormat="1" ht="13.5" customHeight="1" x14ac:dyDescent="0.3">
      <c r="A1784" s="245"/>
      <c r="B1784" s="245"/>
      <c r="C1784" s="246"/>
      <c r="D1784" s="245"/>
      <c r="E1784" s="247"/>
      <c r="F1784" s="157"/>
    </row>
    <row r="1785" spans="1:6" s="243" customFormat="1" ht="13.5" customHeight="1" x14ac:dyDescent="0.3">
      <c r="A1785" s="245"/>
      <c r="B1785" s="245"/>
      <c r="C1785" s="246"/>
      <c r="D1785" s="245"/>
      <c r="E1785" s="247"/>
      <c r="F1785" s="157"/>
    </row>
    <row r="1786" spans="1:6" s="243" customFormat="1" ht="13.5" customHeight="1" x14ac:dyDescent="0.3">
      <c r="A1786" s="245"/>
      <c r="B1786" s="245"/>
      <c r="C1786" s="246"/>
      <c r="D1786" s="245"/>
      <c r="E1786" s="247"/>
      <c r="F1786" s="157"/>
    </row>
    <row r="1787" spans="1:6" s="243" customFormat="1" ht="13.5" customHeight="1" x14ac:dyDescent="0.3">
      <c r="A1787" s="245"/>
      <c r="B1787" s="245"/>
      <c r="C1787" s="246"/>
      <c r="D1787" s="245"/>
      <c r="E1787" s="247"/>
      <c r="F1787" s="157"/>
    </row>
    <row r="1788" spans="1:6" s="243" customFormat="1" ht="13.5" customHeight="1" x14ac:dyDescent="0.3">
      <c r="A1788" s="245"/>
      <c r="B1788" s="245"/>
      <c r="C1788" s="246"/>
      <c r="D1788" s="245"/>
      <c r="E1788" s="247"/>
      <c r="F1788" s="157"/>
    </row>
    <row r="1789" spans="1:6" s="243" customFormat="1" ht="13.5" customHeight="1" x14ac:dyDescent="0.3">
      <c r="A1789" s="245"/>
      <c r="B1789" s="245"/>
      <c r="C1789" s="246"/>
      <c r="D1789" s="245"/>
      <c r="E1789" s="247"/>
      <c r="F1789" s="157"/>
    </row>
    <row r="1790" spans="1:6" s="243" customFormat="1" ht="13.5" customHeight="1" x14ac:dyDescent="0.3">
      <c r="A1790" s="245"/>
      <c r="B1790" s="245"/>
      <c r="C1790" s="246"/>
      <c r="D1790" s="245"/>
      <c r="E1790" s="247"/>
      <c r="F1790" s="157"/>
    </row>
    <row r="1791" spans="1:6" s="243" customFormat="1" ht="13.5" customHeight="1" x14ac:dyDescent="0.3">
      <c r="A1791" s="245"/>
      <c r="B1791" s="245"/>
      <c r="C1791" s="246"/>
      <c r="D1791" s="245"/>
      <c r="E1791" s="247"/>
      <c r="F1791" s="157"/>
    </row>
    <row r="1792" spans="1:6" s="243" customFormat="1" ht="13.5" customHeight="1" x14ac:dyDescent="0.3">
      <c r="A1792" s="245"/>
      <c r="B1792" s="245"/>
      <c r="C1792" s="246"/>
      <c r="D1792" s="245"/>
      <c r="E1792" s="247"/>
      <c r="F1792" s="157"/>
    </row>
    <row r="1793" spans="1:6" s="243" customFormat="1" ht="13.5" customHeight="1" x14ac:dyDescent="0.3">
      <c r="A1793" s="245"/>
      <c r="B1793" s="245"/>
      <c r="C1793" s="246"/>
      <c r="D1793" s="245"/>
      <c r="E1793" s="247"/>
      <c r="F1793" s="157"/>
    </row>
    <row r="1794" spans="1:6" s="243" customFormat="1" ht="13.5" customHeight="1" x14ac:dyDescent="0.3">
      <c r="A1794" s="245"/>
      <c r="B1794" s="245"/>
      <c r="C1794" s="246"/>
      <c r="D1794" s="245"/>
      <c r="E1794" s="247"/>
      <c r="F1794" s="157"/>
    </row>
    <row r="1795" spans="1:6" s="243" customFormat="1" ht="13.5" customHeight="1" x14ac:dyDescent="0.3">
      <c r="A1795" s="245"/>
      <c r="B1795" s="245"/>
      <c r="C1795" s="246"/>
      <c r="D1795" s="245"/>
      <c r="E1795" s="247"/>
      <c r="F1795" s="157"/>
    </row>
    <row r="1796" spans="1:6" s="243" customFormat="1" ht="13.5" customHeight="1" x14ac:dyDescent="0.3">
      <c r="A1796" s="245"/>
      <c r="B1796" s="245"/>
      <c r="C1796" s="246"/>
      <c r="D1796" s="245"/>
      <c r="E1796" s="247"/>
      <c r="F1796" s="157"/>
    </row>
    <row r="1797" spans="1:6" s="243" customFormat="1" ht="13.5" customHeight="1" x14ac:dyDescent="0.3">
      <c r="A1797" s="245"/>
      <c r="B1797" s="245"/>
      <c r="C1797" s="246"/>
      <c r="D1797" s="245"/>
      <c r="E1797" s="247"/>
      <c r="F1797" s="157"/>
    </row>
    <row r="1798" spans="1:6" s="243" customFormat="1" ht="13.5" customHeight="1" x14ac:dyDescent="0.3">
      <c r="A1798" s="245"/>
      <c r="B1798" s="245"/>
      <c r="C1798" s="246"/>
      <c r="D1798" s="245"/>
      <c r="E1798" s="247"/>
      <c r="F1798" s="157"/>
    </row>
    <row r="1799" spans="1:6" s="243" customFormat="1" ht="13.5" customHeight="1" x14ac:dyDescent="0.3">
      <c r="A1799" s="245"/>
      <c r="B1799" s="245"/>
      <c r="C1799" s="246"/>
      <c r="D1799" s="245"/>
      <c r="E1799" s="247"/>
      <c r="F1799" s="157"/>
    </row>
    <row r="1800" spans="1:6" s="243" customFormat="1" ht="13.5" customHeight="1" x14ac:dyDescent="0.3">
      <c r="A1800" s="245"/>
      <c r="B1800" s="245"/>
      <c r="C1800" s="246"/>
      <c r="D1800" s="245"/>
      <c r="E1800" s="247"/>
      <c r="F1800" s="157"/>
    </row>
    <row r="1801" spans="1:6" s="243" customFormat="1" ht="13.5" customHeight="1" x14ac:dyDescent="0.3">
      <c r="A1801" s="245"/>
      <c r="B1801" s="245"/>
      <c r="C1801" s="246"/>
      <c r="D1801" s="245"/>
      <c r="E1801" s="247"/>
      <c r="F1801" s="157"/>
    </row>
    <row r="1802" spans="1:6" s="243" customFormat="1" ht="13.5" customHeight="1" x14ac:dyDescent="0.3">
      <c r="A1802" s="245"/>
      <c r="B1802" s="245"/>
      <c r="C1802" s="246"/>
      <c r="D1802" s="245"/>
      <c r="E1802" s="247"/>
      <c r="F1802" s="157"/>
    </row>
    <row r="1803" spans="1:6" s="243" customFormat="1" ht="13.5" customHeight="1" x14ac:dyDescent="0.3">
      <c r="A1803" s="245"/>
      <c r="B1803" s="245"/>
      <c r="C1803" s="246"/>
      <c r="D1803" s="245"/>
      <c r="E1803" s="247"/>
      <c r="F1803" s="157"/>
    </row>
    <row r="1804" spans="1:6" s="243" customFormat="1" ht="13.5" customHeight="1" x14ac:dyDescent="0.3">
      <c r="A1804" s="245"/>
      <c r="B1804" s="245"/>
      <c r="C1804" s="246"/>
      <c r="D1804" s="245"/>
      <c r="E1804" s="247"/>
      <c r="F1804" s="157"/>
    </row>
    <row r="1805" spans="1:6" s="243" customFormat="1" ht="13.5" customHeight="1" x14ac:dyDescent="0.3">
      <c r="A1805" s="245"/>
      <c r="B1805" s="245"/>
      <c r="C1805" s="246"/>
      <c r="D1805" s="245"/>
      <c r="E1805" s="247"/>
      <c r="F1805" s="157"/>
    </row>
    <row r="1806" spans="1:6" s="243" customFormat="1" ht="13.5" customHeight="1" x14ac:dyDescent="0.3">
      <c r="A1806" s="245"/>
      <c r="B1806" s="245"/>
      <c r="C1806" s="246"/>
      <c r="D1806" s="245"/>
      <c r="E1806" s="247"/>
      <c r="F1806" s="157"/>
    </row>
    <row r="1807" spans="1:6" s="243" customFormat="1" ht="13.5" customHeight="1" x14ac:dyDescent="0.3">
      <c r="A1807" s="245"/>
      <c r="B1807" s="245"/>
      <c r="C1807" s="246"/>
      <c r="D1807" s="245"/>
      <c r="E1807" s="247"/>
      <c r="F1807" s="157"/>
    </row>
    <row r="1808" spans="1:6" s="243" customFormat="1" ht="13.5" customHeight="1" x14ac:dyDescent="0.3">
      <c r="A1808" s="245"/>
      <c r="B1808" s="245"/>
      <c r="C1808" s="246"/>
      <c r="D1808" s="245"/>
      <c r="E1808" s="247"/>
      <c r="F1808" s="157"/>
    </row>
    <row r="1809" spans="1:6" s="243" customFormat="1" ht="13.5" customHeight="1" x14ac:dyDescent="0.3">
      <c r="A1809" s="245"/>
      <c r="B1809" s="245"/>
      <c r="C1809" s="246"/>
      <c r="D1809" s="245"/>
      <c r="E1809" s="247"/>
      <c r="F1809" s="157"/>
    </row>
    <row r="1810" spans="1:6" s="243" customFormat="1" ht="13.5" customHeight="1" x14ac:dyDescent="0.3">
      <c r="A1810" s="245"/>
      <c r="B1810" s="245"/>
      <c r="C1810" s="246"/>
      <c r="D1810" s="245"/>
      <c r="E1810" s="247"/>
      <c r="F1810" s="157"/>
    </row>
    <row r="1811" spans="1:6" s="243" customFormat="1" ht="13.5" customHeight="1" x14ac:dyDescent="0.3">
      <c r="A1811" s="245"/>
      <c r="B1811" s="245"/>
      <c r="C1811" s="246"/>
      <c r="D1811" s="245"/>
      <c r="E1811" s="247"/>
      <c r="F1811" s="157"/>
    </row>
    <row r="1812" spans="1:6" s="243" customFormat="1" ht="13.5" customHeight="1" x14ac:dyDescent="0.3">
      <c r="A1812" s="245"/>
      <c r="B1812" s="245"/>
      <c r="C1812" s="246"/>
      <c r="D1812" s="245"/>
      <c r="E1812" s="247"/>
      <c r="F1812" s="157"/>
    </row>
    <row r="1813" spans="1:6" s="243" customFormat="1" ht="13.5" customHeight="1" x14ac:dyDescent="0.3">
      <c r="A1813" s="245"/>
      <c r="B1813" s="245"/>
      <c r="C1813" s="246"/>
      <c r="D1813" s="245"/>
      <c r="E1813" s="247"/>
      <c r="F1813" s="157"/>
    </row>
    <row r="1814" spans="1:6" s="243" customFormat="1" ht="13.5" customHeight="1" x14ac:dyDescent="0.3">
      <c r="A1814" s="245"/>
      <c r="B1814" s="245"/>
      <c r="C1814" s="246"/>
      <c r="D1814" s="245"/>
      <c r="E1814" s="247"/>
      <c r="F1814" s="157"/>
    </row>
    <row r="1815" spans="1:6" s="243" customFormat="1" ht="13.5" customHeight="1" x14ac:dyDescent="0.3">
      <c r="A1815" s="245"/>
      <c r="B1815" s="245"/>
      <c r="C1815" s="246"/>
      <c r="D1815" s="245"/>
      <c r="E1815" s="247"/>
      <c r="F1815" s="157"/>
    </row>
    <row r="1816" spans="1:6" s="243" customFormat="1" ht="13.5" customHeight="1" x14ac:dyDescent="0.3">
      <c r="A1816" s="245"/>
      <c r="B1816" s="245"/>
      <c r="C1816" s="246"/>
      <c r="D1816" s="245"/>
      <c r="E1816" s="247"/>
      <c r="F1816" s="157"/>
    </row>
    <row r="1817" spans="1:6" s="243" customFormat="1" ht="13.5" customHeight="1" x14ac:dyDescent="0.3">
      <c r="A1817" s="245"/>
      <c r="B1817" s="245"/>
      <c r="C1817" s="246"/>
      <c r="D1817" s="245"/>
      <c r="E1817" s="247"/>
      <c r="F1817" s="157"/>
    </row>
    <row r="1818" spans="1:6" s="243" customFormat="1" ht="13.5" customHeight="1" x14ac:dyDescent="0.3">
      <c r="A1818" s="245"/>
      <c r="B1818" s="245"/>
      <c r="C1818" s="246"/>
      <c r="D1818" s="245"/>
      <c r="E1818" s="247"/>
      <c r="F1818" s="157"/>
    </row>
    <row r="1819" spans="1:6" s="243" customFormat="1" ht="13.5" customHeight="1" x14ac:dyDescent="0.3">
      <c r="A1819" s="245"/>
      <c r="B1819" s="245"/>
      <c r="C1819" s="246"/>
      <c r="D1819" s="245"/>
      <c r="E1819" s="247"/>
      <c r="F1819" s="157"/>
    </row>
    <row r="1820" spans="1:6" s="243" customFormat="1" ht="13.5" customHeight="1" x14ac:dyDescent="0.3">
      <c r="A1820" s="245"/>
      <c r="B1820" s="245"/>
      <c r="C1820" s="246"/>
      <c r="D1820" s="245"/>
      <c r="E1820" s="247"/>
      <c r="F1820" s="157"/>
    </row>
    <row r="1821" spans="1:6" s="243" customFormat="1" ht="13.5" customHeight="1" x14ac:dyDescent="0.3">
      <c r="A1821" s="245"/>
      <c r="B1821" s="245"/>
      <c r="C1821" s="246"/>
      <c r="D1821" s="245"/>
      <c r="E1821" s="247"/>
      <c r="F1821" s="157"/>
    </row>
    <row r="1822" spans="1:6" s="243" customFormat="1" ht="13.5" customHeight="1" x14ac:dyDescent="0.3">
      <c r="A1822" s="245"/>
      <c r="B1822" s="245"/>
      <c r="C1822" s="246"/>
      <c r="D1822" s="245"/>
      <c r="E1822" s="247"/>
      <c r="F1822" s="157"/>
    </row>
    <row r="1823" spans="1:6" s="243" customFormat="1" ht="13.5" customHeight="1" x14ac:dyDescent="0.3">
      <c r="A1823" s="245"/>
      <c r="B1823" s="245"/>
      <c r="C1823" s="246"/>
      <c r="D1823" s="245"/>
      <c r="E1823" s="247"/>
      <c r="F1823" s="157"/>
    </row>
    <row r="1824" spans="1:6" s="243" customFormat="1" ht="13.5" customHeight="1" x14ac:dyDescent="0.3">
      <c r="A1824" s="245"/>
      <c r="B1824" s="245"/>
      <c r="C1824" s="246"/>
      <c r="D1824" s="245"/>
      <c r="E1824" s="247"/>
      <c r="F1824" s="157"/>
    </row>
    <row r="1825" spans="1:6" s="243" customFormat="1" ht="13.5" customHeight="1" x14ac:dyDescent="0.3">
      <c r="A1825" s="245"/>
      <c r="B1825" s="245"/>
      <c r="C1825" s="246"/>
      <c r="D1825" s="245"/>
      <c r="E1825" s="247"/>
      <c r="F1825" s="157"/>
    </row>
    <row r="1826" spans="1:6" s="243" customFormat="1" ht="13.5" customHeight="1" x14ac:dyDescent="0.3">
      <c r="A1826" s="245"/>
      <c r="B1826" s="245"/>
      <c r="C1826" s="246"/>
      <c r="D1826" s="245"/>
      <c r="E1826" s="247"/>
      <c r="F1826" s="157"/>
    </row>
    <row r="1827" spans="1:6" s="243" customFormat="1" ht="13.5" customHeight="1" x14ac:dyDescent="0.3">
      <c r="A1827" s="245"/>
      <c r="B1827" s="245"/>
      <c r="C1827" s="246"/>
      <c r="D1827" s="245"/>
      <c r="E1827" s="247"/>
      <c r="F1827" s="157"/>
    </row>
    <row r="1828" spans="1:6" s="243" customFormat="1" ht="13.5" customHeight="1" x14ac:dyDescent="0.3">
      <c r="A1828" s="245"/>
      <c r="B1828" s="245"/>
      <c r="C1828" s="246"/>
      <c r="D1828" s="245"/>
      <c r="E1828" s="247"/>
      <c r="F1828" s="157"/>
    </row>
    <row r="1829" spans="1:6" s="243" customFormat="1" ht="13.5" customHeight="1" x14ac:dyDescent="0.3">
      <c r="A1829" s="245"/>
      <c r="B1829" s="245"/>
      <c r="C1829" s="246"/>
      <c r="D1829" s="245"/>
      <c r="E1829" s="247"/>
      <c r="F1829" s="157"/>
    </row>
    <row r="1830" spans="1:6" s="243" customFormat="1" ht="13.5" customHeight="1" x14ac:dyDescent="0.3">
      <c r="A1830" s="245"/>
      <c r="B1830" s="245"/>
      <c r="C1830" s="246"/>
      <c r="D1830" s="245"/>
      <c r="E1830" s="247"/>
      <c r="F1830" s="157"/>
    </row>
    <row r="1831" spans="1:6" s="243" customFormat="1" ht="13.5" customHeight="1" x14ac:dyDescent="0.3">
      <c r="A1831" s="245"/>
      <c r="B1831" s="245"/>
      <c r="C1831" s="246"/>
      <c r="D1831" s="245"/>
      <c r="E1831" s="247"/>
      <c r="F1831" s="157"/>
    </row>
    <row r="1832" spans="1:6" s="243" customFormat="1" ht="13.5" customHeight="1" x14ac:dyDescent="0.3">
      <c r="A1832" s="245"/>
      <c r="B1832" s="245"/>
      <c r="C1832" s="246"/>
      <c r="D1832" s="245"/>
      <c r="E1832" s="247"/>
      <c r="F1832" s="157"/>
    </row>
    <row r="1833" spans="1:6" s="243" customFormat="1" ht="13.5" customHeight="1" x14ac:dyDescent="0.3">
      <c r="A1833" s="245"/>
      <c r="B1833" s="245"/>
      <c r="C1833" s="246"/>
      <c r="D1833" s="245"/>
      <c r="E1833" s="247"/>
      <c r="F1833" s="157"/>
    </row>
    <row r="1834" spans="1:6" s="243" customFormat="1" ht="13.5" customHeight="1" x14ac:dyDescent="0.3">
      <c r="A1834" s="245"/>
      <c r="B1834" s="245"/>
      <c r="C1834" s="246"/>
      <c r="D1834" s="245"/>
      <c r="E1834" s="247"/>
      <c r="F1834" s="157"/>
    </row>
    <row r="1835" spans="1:6" s="243" customFormat="1" ht="13.5" customHeight="1" x14ac:dyDescent="0.3">
      <c r="A1835" s="245"/>
      <c r="B1835" s="245"/>
      <c r="C1835" s="246"/>
      <c r="D1835" s="245"/>
      <c r="E1835" s="247"/>
      <c r="F1835" s="157"/>
    </row>
    <row r="1836" spans="1:6" s="243" customFormat="1" ht="13.5" customHeight="1" x14ac:dyDescent="0.3">
      <c r="A1836" s="245"/>
      <c r="B1836" s="245"/>
      <c r="C1836" s="246"/>
      <c r="D1836" s="245"/>
      <c r="E1836" s="247"/>
      <c r="F1836" s="157"/>
    </row>
    <row r="1837" spans="1:6" s="243" customFormat="1" ht="13.5" customHeight="1" x14ac:dyDescent="0.3">
      <c r="A1837" s="245"/>
      <c r="B1837" s="245"/>
      <c r="C1837" s="246"/>
      <c r="D1837" s="245"/>
      <c r="E1837" s="247"/>
      <c r="F1837" s="157"/>
    </row>
    <row r="1838" spans="1:6" s="243" customFormat="1" ht="13.5" customHeight="1" x14ac:dyDescent="0.3">
      <c r="A1838" s="245"/>
      <c r="B1838" s="245"/>
      <c r="C1838" s="246"/>
      <c r="D1838" s="245"/>
      <c r="E1838" s="247"/>
      <c r="F1838" s="157"/>
    </row>
    <row r="1839" spans="1:6" s="243" customFormat="1" ht="13.5" customHeight="1" x14ac:dyDescent="0.3">
      <c r="A1839" s="245"/>
      <c r="B1839" s="245"/>
      <c r="C1839" s="246"/>
      <c r="D1839" s="245"/>
      <c r="E1839" s="247"/>
      <c r="F1839" s="157"/>
    </row>
    <row r="1840" spans="1:6" s="243" customFormat="1" ht="13.5" customHeight="1" x14ac:dyDescent="0.3">
      <c r="A1840" s="245"/>
      <c r="B1840" s="245"/>
      <c r="C1840" s="246"/>
      <c r="D1840" s="245"/>
      <c r="E1840" s="247"/>
      <c r="F1840" s="157"/>
    </row>
    <row r="1841" spans="1:6" s="243" customFormat="1" ht="13.5" customHeight="1" x14ac:dyDescent="0.3">
      <c r="A1841" s="245"/>
      <c r="B1841" s="245"/>
      <c r="C1841" s="246"/>
      <c r="D1841" s="245"/>
      <c r="E1841" s="247"/>
      <c r="F1841" s="157"/>
    </row>
    <row r="1842" spans="1:6" s="243" customFormat="1" ht="13.5" customHeight="1" x14ac:dyDescent="0.3">
      <c r="A1842" s="245"/>
      <c r="B1842" s="245"/>
      <c r="C1842" s="246"/>
      <c r="D1842" s="245"/>
      <c r="E1842" s="247"/>
      <c r="F1842" s="157"/>
    </row>
    <row r="1843" spans="1:6" s="243" customFormat="1" ht="13.5" customHeight="1" x14ac:dyDescent="0.3">
      <c r="A1843" s="245"/>
      <c r="B1843" s="245"/>
      <c r="C1843" s="246"/>
      <c r="D1843" s="245"/>
      <c r="E1843" s="247"/>
      <c r="F1843" s="157"/>
    </row>
    <row r="1844" spans="1:6" s="243" customFormat="1" ht="13.5" customHeight="1" x14ac:dyDescent="0.3">
      <c r="A1844" s="245"/>
      <c r="B1844" s="245"/>
      <c r="C1844" s="246"/>
      <c r="D1844" s="245"/>
      <c r="E1844" s="247"/>
      <c r="F1844" s="157"/>
    </row>
    <row r="1845" spans="1:6" s="243" customFormat="1" ht="13.5" customHeight="1" x14ac:dyDescent="0.3">
      <c r="A1845" s="245"/>
      <c r="B1845" s="245"/>
      <c r="C1845" s="246"/>
      <c r="D1845" s="245"/>
      <c r="E1845" s="247"/>
      <c r="F1845" s="157"/>
    </row>
    <row r="1846" spans="1:6" s="243" customFormat="1" ht="13.5" customHeight="1" x14ac:dyDescent="0.3">
      <c r="A1846" s="245"/>
      <c r="B1846" s="245"/>
      <c r="C1846" s="246"/>
      <c r="D1846" s="245"/>
      <c r="E1846" s="247"/>
      <c r="F1846" s="157"/>
    </row>
    <row r="1847" spans="1:6" s="243" customFormat="1" ht="13.5" customHeight="1" x14ac:dyDescent="0.3">
      <c r="A1847" s="245"/>
      <c r="B1847" s="245"/>
      <c r="C1847" s="246"/>
      <c r="D1847" s="245"/>
      <c r="E1847" s="247"/>
      <c r="F1847" s="157"/>
    </row>
    <row r="1848" spans="1:6" s="243" customFormat="1" ht="13.5" customHeight="1" x14ac:dyDescent="0.3">
      <c r="A1848" s="245"/>
      <c r="B1848" s="245"/>
      <c r="C1848" s="246"/>
      <c r="D1848" s="245"/>
      <c r="E1848" s="247"/>
      <c r="F1848" s="157"/>
    </row>
    <row r="1849" spans="1:6" s="243" customFormat="1" ht="13.5" customHeight="1" x14ac:dyDescent="0.3">
      <c r="A1849" s="245"/>
      <c r="B1849" s="245"/>
      <c r="C1849" s="246"/>
      <c r="D1849" s="245"/>
      <c r="E1849" s="247"/>
      <c r="F1849" s="157"/>
    </row>
    <row r="1850" spans="1:6" s="243" customFormat="1" ht="13.5" customHeight="1" x14ac:dyDescent="0.3">
      <c r="A1850" s="245"/>
      <c r="B1850" s="245"/>
      <c r="C1850" s="246"/>
      <c r="D1850" s="245"/>
      <c r="E1850" s="247"/>
      <c r="F1850" s="157"/>
    </row>
    <row r="1851" spans="1:6" s="243" customFormat="1" ht="13.5" customHeight="1" x14ac:dyDescent="0.3">
      <c r="A1851" s="245"/>
      <c r="B1851" s="245"/>
      <c r="C1851" s="246"/>
      <c r="D1851" s="245"/>
      <c r="E1851" s="247"/>
      <c r="F1851" s="157"/>
    </row>
    <row r="1852" spans="1:6" s="243" customFormat="1" ht="13.5" customHeight="1" x14ac:dyDescent="0.3">
      <c r="A1852" s="245"/>
      <c r="B1852" s="245"/>
      <c r="C1852" s="246"/>
      <c r="D1852" s="245"/>
      <c r="E1852" s="247"/>
      <c r="F1852" s="157"/>
    </row>
    <row r="1853" spans="1:6" s="243" customFormat="1" ht="13.5" customHeight="1" x14ac:dyDescent="0.3">
      <c r="A1853" s="245"/>
      <c r="B1853" s="245"/>
      <c r="C1853" s="246"/>
      <c r="D1853" s="245"/>
      <c r="E1853" s="247"/>
      <c r="F1853" s="157"/>
    </row>
    <row r="1854" spans="1:6" s="243" customFormat="1" ht="13.5" customHeight="1" x14ac:dyDescent="0.3">
      <c r="A1854" s="245"/>
      <c r="B1854" s="245"/>
      <c r="C1854" s="246"/>
      <c r="D1854" s="245"/>
      <c r="E1854" s="247"/>
      <c r="F1854" s="157"/>
    </row>
    <row r="1855" spans="1:6" s="243" customFormat="1" ht="13.5" customHeight="1" x14ac:dyDescent="0.3">
      <c r="A1855" s="245"/>
      <c r="B1855" s="245"/>
      <c r="C1855" s="246"/>
      <c r="D1855" s="245"/>
      <c r="E1855" s="247"/>
      <c r="F1855" s="157"/>
    </row>
    <row r="1856" spans="1:6" s="243" customFormat="1" ht="13.5" customHeight="1" x14ac:dyDescent="0.3">
      <c r="A1856" s="245"/>
      <c r="B1856" s="245"/>
      <c r="C1856" s="246"/>
      <c r="D1856" s="245"/>
      <c r="E1856" s="247"/>
      <c r="F1856" s="157"/>
    </row>
    <row r="1857" spans="1:6" s="243" customFormat="1" ht="13.5" customHeight="1" x14ac:dyDescent="0.3">
      <c r="A1857" s="245"/>
      <c r="B1857" s="245"/>
      <c r="C1857" s="246"/>
      <c r="D1857" s="245"/>
      <c r="E1857" s="247"/>
      <c r="F1857" s="157"/>
    </row>
    <row r="1858" spans="1:6" s="243" customFormat="1" ht="13.5" customHeight="1" x14ac:dyDescent="0.3">
      <c r="A1858" s="245"/>
      <c r="B1858" s="245"/>
      <c r="C1858" s="246"/>
      <c r="D1858" s="245"/>
      <c r="E1858" s="247"/>
      <c r="F1858" s="157"/>
    </row>
    <row r="1859" spans="1:6" s="243" customFormat="1" ht="13.5" customHeight="1" x14ac:dyDescent="0.3">
      <c r="A1859" s="245"/>
      <c r="B1859" s="245"/>
      <c r="C1859" s="246"/>
      <c r="D1859" s="245"/>
      <c r="E1859" s="247"/>
      <c r="F1859" s="157"/>
    </row>
    <row r="1860" spans="1:6" s="243" customFormat="1" ht="13.5" customHeight="1" x14ac:dyDescent="0.3">
      <c r="A1860" s="245"/>
      <c r="B1860" s="245"/>
      <c r="C1860" s="246"/>
      <c r="D1860" s="245"/>
      <c r="E1860" s="247"/>
      <c r="F1860" s="157"/>
    </row>
    <row r="1861" spans="1:6" s="243" customFormat="1" ht="13.5" customHeight="1" x14ac:dyDescent="0.3">
      <c r="A1861" s="245"/>
      <c r="B1861" s="245"/>
      <c r="C1861" s="246"/>
      <c r="D1861" s="245"/>
      <c r="E1861" s="247"/>
      <c r="F1861" s="157"/>
    </row>
    <row r="1862" spans="1:6" s="243" customFormat="1" ht="13.5" customHeight="1" x14ac:dyDescent="0.3">
      <c r="A1862" s="245"/>
      <c r="B1862" s="245"/>
      <c r="C1862" s="246"/>
      <c r="D1862" s="245"/>
      <c r="E1862" s="247"/>
      <c r="F1862" s="157"/>
    </row>
    <row r="1863" spans="1:6" s="243" customFormat="1" ht="13.5" customHeight="1" x14ac:dyDescent="0.3">
      <c r="A1863" s="245"/>
      <c r="B1863" s="245"/>
      <c r="C1863" s="246"/>
      <c r="D1863" s="245"/>
      <c r="E1863" s="247"/>
      <c r="F1863" s="157"/>
    </row>
    <row r="1864" spans="1:6" s="243" customFormat="1" ht="13.5" customHeight="1" x14ac:dyDescent="0.3">
      <c r="A1864" s="245"/>
      <c r="B1864" s="245"/>
      <c r="C1864" s="246"/>
      <c r="D1864" s="245"/>
      <c r="E1864" s="247"/>
      <c r="F1864" s="157"/>
    </row>
    <row r="1865" spans="1:6" s="243" customFormat="1" ht="13.5" customHeight="1" x14ac:dyDescent="0.3">
      <c r="A1865" s="245"/>
      <c r="B1865" s="245"/>
      <c r="C1865" s="246"/>
      <c r="D1865" s="245"/>
      <c r="E1865" s="247"/>
      <c r="F1865" s="157"/>
    </row>
    <row r="1866" spans="1:6" s="243" customFormat="1" ht="13.5" customHeight="1" x14ac:dyDescent="0.3">
      <c r="A1866" s="245"/>
      <c r="B1866" s="245"/>
      <c r="C1866" s="246"/>
      <c r="D1866" s="245"/>
      <c r="E1866" s="247"/>
      <c r="F1866" s="157"/>
    </row>
    <row r="1867" spans="1:6" s="243" customFormat="1" ht="13.5" customHeight="1" x14ac:dyDescent="0.3">
      <c r="A1867" s="245"/>
      <c r="B1867" s="245"/>
      <c r="C1867" s="246"/>
      <c r="D1867" s="245"/>
      <c r="E1867" s="247"/>
      <c r="F1867" s="157"/>
    </row>
    <row r="1868" spans="1:6" s="243" customFormat="1" ht="13.5" customHeight="1" x14ac:dyDescent="0.3">
      <c r="A1868" s="245"/>
      <c r="B1868" s="245"/>
      <c r="C1868" s="246"/>
      <c r="D1868" s="245"/>
      <c r="E1868" s="247"/>
      <c r="F1868" s="157"/>
    </row>
    <row r="1869" spans="1:6" s="243" customFormat="1" ht="13.5" customHeight="1" x14ac:dyDescent="0.3">
      <c r="A1869" s="245"/>
      <c r="B1869" s="245"/>
      <c r="C1869" s="246"/>
      <c r="D1869" s="245"/>
      <c r="E1869" s="247"/>
      <c r="F1869" s="157"/>
    </row>
    <row r="1870" spans="1:6" s="243" customFormat="1" ht="13.5" customHeight="1" x14ac:dyDescent="0.3">
      <c r="A1870" s="245"/>
      <c r="B1870" s="245"/>
      <c r="C1870" s="246"/>
      <c r="D1870" s="245"/>
      <c r="E1870" s="247"/>
      <c r="F1870" s="157"/>
    </row>
    <row r="1871" spans="1:6" s="243" customFormat="1" ht="13.5" customHeight="1" x14ac:dyDescent="0.3">
      <c r="A1871" s="245"/>
      <c r="B1871" s="245"/>
      <c r="C1871" s="246"/>
      <c r="D1871" s="245"/>
      <c r="E1871" s="247"/>
      <c r="F1871" s="157"/>
    </row>
    <row r="1872" spans="1:6" s="243" customFormat="1" ht="13.5" customHeight="1" x14ac:dyDescent="0.3">
      <c r="A1872" s="245"/>
      <c r="B1872" s="245"/>
      <c r="C1872" s="246"/>
      <c r="D1872" s="245"/>
      <c r="E1872" s="247"/>
      <c r="F1872" s="157"/>
    </row>
    <row r="1873" spans="1:6" s="243" customFormat="1" ht="13.5" customHeight="1" x14ac:dyDescent="0.3">
      <c r="A1873" s="245"/>
      <c r="B1873" s="245"/>
      <c r="C1873" s="246"/>
      <c r="D1873" s="245"/>
      <c r="E1873" s="247"/>
      <c r="F1873" s="157"/>
    </row>
    <row r="1874" spans="1:6" s="243" customFormat="1" ht="13.5" customHeight="1" x14ac:dyDescent="0.3">
      <c r="A1874" s="245"/>
      <c r="B1874" s="245"/>
      <c r="C1874" s="246"/>
      <c r="D1874" s="245"/>
      <c r="E1874" s="247"/>
      <c r="F1874" s="157"/>
    </row>
    <row r="1875" spans="1:6" s="243" customFormat="1" ht="13.5" customHeight="1" x14ac:dyDescent="0.3">
      <c r="A1875" s="245"/>
      <c r="B1875" s="245"/>
      <c r="C1875" s="246"/>
      <c r="D1875" s="245"/>
      <c r="E1875" s="247"/>
      <c r="F1875" s="157"/>
    </row>
    <row r="1876" spans="1:6" s="243" customFormat="1" ht="13.5" customHeight="1" x14ac:dyDescent="0.3">
      <c r="A1876" s="245"/>
      <c r="B1876" s="245"/>
      <c r="C1876" s="246"/>
      <c r="D1876" s="245"/>
      <c r="E1876" s="247"/>
      <c r="F1876" s="157"/>
    </row>
    <row r="1877" spans="1:6" s="243" customFormat="1" ht="13.5" customHeight="1" x14ac:dyDescent="0.3">
      <c r="A1877" s="245"/>
      <c r="B1877" s="245"/>
      <c r="C1877" s="246"/>
      <c r="D1877" s="245"/>
      <c r="E1877" s="247"/>
      <c r="F1877" s="157"/>
    </row>
    <row r="1878" spans="1:6" s="243" customFormat="1" ht="13.5" customHeight="1" x14ac:dyDescent="0.3">
      <c r="A1878" s="245"/>
      <c r="B1878" s="245"/>
      <c r="C1878" s="246"/>
      <c r="D1878" s="245"/>
      <c r="E1878" s="247"/>
      <c r="F1878" s="157"/>
    </row>
    <row r="1879" spans="1:6" s="243" customFormat="1" ht="13.5" customHeight="1" x14ac:dyDescent="0.3">
      <c r="A1879" s="245"/>
      <c r="B1879" s="245"/>
      <c r="C1879" s="246"/>
      <c r="D1879" s="245"/>
      <c r="E1879" s="247"/>
      <c r="F1879" s="157"/>
    </row>
    <row r="1880" spans="1:6" s="243" customFormat="1" ht="13.5" customHeight="1" x14ac:dyDescent="0.3">
      <c r="A1880" s="245"/>
      <c r="B1880" s="245"/>
      <c r="C1880" s="246"/>
      <c r="D1880" s="245"/>
      <c r="E1880" s="247"/>
      <c r="F1880" s="157"/>
    </row>
    <row r="1881" spans="1:6" s="243" customFormat="1" ht="13.5" customHeight="1" x14ac:dyDescent="0.3">
      <c r="A1881" s="245"/>
      <c r="B1881" s="245"/>
      <c r="C1881" s="246"/>
      <c r="D1881" s="245"/>
      <c r="E1881" s="247"/>
      <c r="F1881" s="157"/>
    </row>
    <row r="1882" spans="1:6" s="243" customFormat="1" ht="13.5" customHeight="1" x14ac:dyDescent="0.3">
      <c r="A1882" s="245"/>
      <c r="B1882" s="245"/>
      <c r="C1882" s="246"/>
      <c r="D1882" s="245"/>
      <c r="E1882" s="247"/>
      <c r="F1882" s="157"/>
    </row>
    <row r="1883" spans="1:6" s="243" customFormat="1" ht="13.5" customHeight="1" x14ac:dyDescent="0.3">
      <c r="A1883" s="245"/>
      <c r="B1883" s="245"/>
      <c r="C1883" s="246"/>
      <c r="D1883" s="245"/>
      <c r="E1883" s="247"/>
      <c r="F1883" s="157"/>
    </row>
    <row r="1884" spans="1:6" s="243" customFormat="1" ht="13.5" customHeight="1" x14ac:dyDescent="0.3">
      <c r="A1884" s="245"/>
      <c r="B1884" s="245"/>
      <c r="C1884" s="246"/>
      <c r="D1884" s="245"/>
      <c r="E1884" s="247"/>
      <c r="F1884" s="157"/>
    </row>
    <row r="1885" spans="1:6" s="243" customFormat="1" ht="13.5" customHeight="1" x14ac:dyDescent="0.3">
      <c r="A1885" s="245"/>
      <c r="B1885" s="245"/>
      <c r="C1885" s="246"/>
      <c r="D1885" s="245"/>
      <c r="E1885" s="247"/>
      <c r="F1885" s="157"/>
    </row>
    <row r="1886" spans="1:6" s="243" customFormat="1" ht="13.5" customHeight="1" x14ac:dyDescent="0.3">
      <c r="A1886" s="245"/>
      <c r="B1886" s="245"/>
      <c r="C1886" s="246"/>
      <c r="D1886" s="245"/>
      <c r="E1886" s="247"/>
      <c r="F1886" s="157"/>
    </row>
    <row r="1887" spans="1:6" s="243" customFormat="1" ht="13.5" customHeight="1" x14ac:dyDescent="0.3">
      <c r="A1887" s="245"/>
      <c r="B1887" s="245"/>
      <c r="C1887" s="246"/>
      <c r="D1887" s="245"/>
      <c r="E1887" s="247"/>
      <c r="F1887" s="157"/>
    </row>
    <row r="1888" spans="1:6" s="243" customFormat="1" ht="13.5" customHeight="1" x14ac:dyDescent="0.3">
      <c r="A1888" s="245"/>
      <c r="B1888" s="245"/>
      <c r="C1888" s="246"/>
      <c r="D1888" s="245"/>
      <c r="E1888" s="247"/>
      <c r="F1888" s="157"/>
    </row>
    <row r="1889" spans="1:6" s="243" customFormat="1" ht="13.5" customHeight="1" x14ac:dyDescent="0.3">
      <c r="A1889" s="245"/>
      <c r="B1889" s="245"/>
      <c r="C1889" s="246"/>
      <c r="D1889" s="245"/>
      <c r="E1889" s="247"/>
      <c r="F1889" s="157"/>
    </row>
    <row r="1890" spans="1:6" s="243" customFormat="1" ht="13.5" customHeight="1" x14ac:dyDescent="0.3">
      <c r="A1890" s="245"/>
      <c r="B1890" s="245"/>
      <c r="C1890" s="246"/>
      <c r="D1890" s="245"/>
      <c r="E1890" s="247"/>
      <c r="F1890" s="157"/>
    </row>
    <row r="1891" spans="1:6" s="243" customFormat="1" ht="13.5" customHeight="1" x14ac:dyDescent="0.3">
      <c r="A1891" s="245"/>
      <c r="B1891" s="245"/>
      <c r="C1891" s="246"/>
      <c r="D1891" s="245"/>
      <c r="E1891" s="247"/>
      <c r="F1891" s="157"/>
    </row>
    <row r="1892" spans="1:6" s="243" customFormat="1" ht="13.5" customHeight="1" x14ac:dyDescent="0.3">
      <c r="A1892" s="245"/>
      <c r="B1892" s="245"/>
      <c r="C1892" s="246"/>
      <c r="D1892" s="245"/>
      <c r="E1892" s="247"/>
      <c r="F1892" s="157"/>
    </row>
    <row r="1893" spans="1:6" s="243" customFormat="1" ht="13.5" customHeight="1" x14ac:dyDescent="0.3">
      <c r="A1893" s="245"/>
      <c r="B1893" s="245"/>
      <c r="C1893" s="246"/>
      <c r="D1893" s="245"/>
      <c r="E1893" s="247"/>
      <c r="F1893" s="157"/>
    </row>
    <row r="1894" spans="1:6" s="243" customFormat="1" ht="13.5" customHeight="1" x14ac:dyDescent="0.3">
      <c r="A1894" s="245"/>
      <c r="B1894" s="245"/>
      <c r="C1894" s="246"/>
      <c r="D1894" s="245"/>
      <c r="E1894" s="247"/>
      <c r="F1894" s="157"/>
    </row>
    <row r="1895" spans="1:6" s="243" customFormat="1" ht="13.5" customHeight="1" x14ac:dyDescent="0.3">
      <c r="A1895" s="245"/>
      <c r="B1895" s="245"/>
      <c r="C1895" s="246"/>
      <c r="D1895" s="245"/>
      <c r="E1895" s="247"/>
      <c r="F1895" s="157"/>
    </row>
    <row r="1896" spans="1:6" s="243" customFormat="1" ht="13.5" customHeight="1" x14ac:dyDescent="0.3">
      <c r="A1896" s="245"/>
      <c r="B1896" s="245"/>
      <c r="C1896" s="246"/>
      <c r="D1896" s="245"/>
      <c r="E1896" s="247"/>
      <c r="F1896" s="157"/>
    </row>
    <row r="1897" spans="1:6" s="243" customFormat="1" ht="13.5" customHeight="1" x14ac:dyDescent="0.3">
      <c r="A1897" s="245"/>
      <c r="B1897" s="245"/>
      <c r="C1897" s="246"/>
      <c r="D1897" s="245"/>
      <c r="E1897" s="247"/>
      <c r="F1897" s="157"/>
    </row>
    <row r="1898" spans="1:6" s="243" customFormat="1" ht="13.5" customHeight="1" x14ac:dyDescent="0.3">
      <c r="A1898" s="245"/>
      <c r="B1898" s="245"/>
      <c r="C1898" s="246"/>
      <c r="D1898" s="245"/>
      <c r="E1898" s="247"/>
      <c r="F1898" s="157"/>
    </row>
    <row r="1899" spans="1:6" s="243" customFormat="1" ht="13.5" customHeight="1" x14ac:dyDescent="0.3">
      <c r="A1899" s="245"/>
      <c r="B1899" s="245"/>
      <c r="C1899" s="246"/>
      <c r="D1899" s="245"/>
      <c r="E1899" s="247"/>
      <c r="F1899" s="157"/>
    </row>
    <row r="1900" spans="1:6" s="243" customFormat="1" ht="13.5" customHeight="1" x14ac:dyDescent="0.3">
      <c r="A1900" s="245"/>
      <c r="B1900" s="245"/>
      <c r="C1900" s="246"/>
      <c r="D1900" s="245"/>
      <c r="E1900" s="247"/>
      <c r="F1900" s="157"/>
    </row>
    <row r="1901" spans="1:6" s="243" customFormat="1" ht="13.5" customHeight="1" x14ac:dyDescent="0.3">
      <c r="A1901" s="245"/>
      <c r="B1901" s="245"/>
      <c r="C1901" s="246"/>
      <c r="D1901" s="245"/>
      <c r="E1901" s="247"/>
      <c r="F1901" s="157"/>
    </row>
    <row r="1902" spans="1:6" s="243" customFormat="1" ht="13.5" customHeight="1" x14ac:dyDescent="0.3">
      <c r="A1902" s="245"/>
      <c r="B1902" s="245"/>
      <c r="C1902" s="246"/>
      <c r="D1902" s="245"/>
      <c r="E1902" s="247"/>
      <c r="F1902" s="157"/>
    </row>
    <row r="1903" spans="1:6" s="243" customFormat="1" ht="13.5" customHeight="1" x14ac:dyDescent="0.3">
      <c r="A1903" s="245"/>
      <c r="B1903" s="245"/>
      <c r="C1903" s="246"/>
      <c r="D1903" s="245"/>
      <c r="E1903" s="247"/>
      <c r="F1903" s="157"/>
    </row>
    <row r="1904" spans="1:6" s="243" customFormat="1" ht="13.5" customHeight="1" x14ac:dyDescent="0.3">
      <c r="A1904" s="245"/>
      <c r="B1904" s="245"/>
      <c r="C1904" s="246"/>
      <c r="D1904" s="245"/>
      <c r="E1904" s="247"/>
      <c r="F1904" s="157"/>
    </row>
    <row r="1905" spans="1:6" s="243" customFormat="1" ht="13.5" customHeight="1" x14ac:dyDescent="0.3">
      <c r="A1905" s="245"/>
      <c r="B1905" s="245"/>
      <c r="C1905" s="246"/>
      <c r="D1905" s="245"/>
      <c r="E1905" s="247"/>
      <c r="F1905" s="157"/>
    </row>
    <row r="1906" spans="1:6" s="243" customFormat="1" ht="13.5" customHeight="1" x14ac:dyDescent="0.3">
      <c r="A1906" s="245"/>
      <c r="B1906" s="245"/>
      <c r="C1906" s="246"/>
      <c r="D1906" s="245"/>
      <c r="E1906" s="247"/>
      <c r="F1906" s="157"/>
    </row>
    <row r="1907" spans="1:6" s="243" customFormat="1" ht="13.5" customHeight="1" x14ac:dyDescent="0.3">
      <c r="A1907" s="245"/>
      <c r="B1907" s="245"/>
      <c r="C1907" s="246"/>
      <c r="D1907" s="245"/>
      <c r="E1907" s="247"/>
      <c r="F1907" s="157"/>
    </row>
    <row r="1908" spans="1:6" s="243" customFormat="1" ht="13.5" customHeight="1" x14ac:dyDescent="0.3">
      <c r="A1908" s="245"/>
      <c r="B1908" s="245"/>
      <c r="C1908" s="246"/>
      <c r="D1908" s="245"/>
      <c r="E1908" s="247"/>
      <c r="F1908" s="157"/>
    </row>
    <row r="1909" spans="1:6" s="243" customFormat="1" ht="13.5" customHeight="1" x14ac:dyDescent="0.3">
      <c r="A1909" s="245"/>
      <c r="B1909" s="245"/>
      <c r="C1909" s="246"/>
      <c r="D1909" s="245"/>
      <c r="E1909" s="247"/>
      <c r="F1909" s="157"/>
    </row>
    <row r="1910" spans="1:6" s="243" customFormat="1" ht="13.5" customHeight="1" x14ac:dyDescent="0.3">
      <c r="A1910" s="245"/>
      <c r="B1910" s="245"/>
      <c r="C1910" s="246"/>
      <c r="D1910" s="245"/>
      <c r="E1910" s="247"/>
      <c r="F1910" s="157"/>
    </row>
    <row r="1911" spans="1:6" s="243" customFormat="1" ht="13.5" customHeight="1" x14ac:dyDescent="0.3">
      <c r="A1911" s="245"/>
      <c r="B1911" s="245"/>
      <c r="C1911" s="246"/>
      <c r="D1911" s="245"/>
      <c r="E1911" s="247"/>
      <c r="F1911" s="157"/>
    </row>
    <row r="1912" spans="1:6" s="243" customFormat="1" ht="13.5" customHeight="1" x14ac:dyDescent="0.3">
      <c r="A1912" s="245"/>
      <c r="B1912" s="245"/>
      <c r="C1912" s="246"/>
      <c r="D1912" s="245"/>
      <c r="E1912" s="247"/>
      <c r="F1912" s="157"/>
    </row>
    <row r="1913" spans="1:6" s="243" customFormat="1" ht="13.5" customHeight="1" x14ac:dyDescent="0.3">
      <c r="A1913" s="245"/>
      <c r="B1913" s="245"/>
      <c r="C1913" s="246"/>
      <c r="D1913" s="245"/>
      <c r="E1913" s="247"/>
      <c r="F1913" s="157"/>
    </row>
    <row r="1914" spans="1:6" s="243" customFormat="1" ht="13.5" customHeight="1" x14ac:dyDescent="0.3">
      <c r="A1914" s="245"/>
      <c r="B1914" s="245"/>
      <c r="C1914" s="246"/>
      <c r="D1914" s="245"/>
      <c r="E1914" s="247"/>
      <c r="F1914" s="157"/>
    </row>
    <row r="1915" spans="1:6" s="243" customFormat="1" ht="13.5" customHeight="1" x14ac:dyDescent="0.3">
      <c r="A1915" s="245"/>
      <c r="B1915" s="245"/>
      <c r="C1915" s="246"/>
      <c r="D1915" s="245"/>
      <c r="E1915" s="247"/>
      <c r="F1915" s="157"/>
    </row>
    <row r="1916" spans="1:6" s="243" customFormat="1" ht="13.5" customHeight="1" x14ac:dyDescent="0.3">
      <c r="A1916" s="245"/>
      <c r="B1916" s="245"/>
      <c r="C1916" s="246"/>
      <c r="D1916" s="245"/>
      <c r="E1916" s="247"/>
      <c r="F1916" s="157"/>
    </row>
    <row r="1917" spans="1:6" s="243" customFormat="1" ht="13.5" customHeight="1" x14ac:dyDescent="0.3">
      <c r="A1917" s="245"/>
      <c r="B1917" s="245"/>
      <c r="C1917" s="246"/>
      <c r="D1917" s="245"/>
      <c r="E1917" s="247"/>
      <c r="F1917" s="157"/>
    </row>
    <row r="1918" spans="1:6" s="243" customFormat="1" ht="13.5" customHeight="1" x14ac:dyDescent="0.3">
      <c r="A1918" s="245"/>
      <c r="B1918" s="245"/>
      <c r="C1918" s="246"/>
      <c r="D1918" s="245"/>
      <c r="E1918" s="247"/>
      <c r="F1918" s="157"/>
    </row>
    <row r="1919" spans="1:6" s="243" customFormat="1" ht="13.5" customHeight="1" x14ac:dyDescent="0.3">
      <c r="A1919" s="245"/>
      <c r="B1919" s="245"/>
      <c r="C1919" s="246"/>
      <c r="D1919" s="245"/>
      <c r="E1919" s="247"/>
      <c r="F1919" s="157"/>
    </row>
    <row r="1920" spans="1:6" s="243" customFormat="1" ht="13.5" customHeight="1" x14ac:dyDescent="0.3">
      <c r="A1920" s="245"/>
      <c r="B1920" s="245"/>
      <c r="C1920" s="246"/>
      <c r="D1920" s="245"/>
      <c r="E1920" s="247"/>
      <c r="F1920" s="157"/>
    </row>
    <row r="1921" spans="1:6" s="243" customFormat="1" ht="13.5" customHeight="1" x14ac:dyDescent="0.3">
      <c r="A1921" s="245"/>
      <c r="B1921" s="245"/>
      <c r="C1921" s="246"/>
      <c r="D1921" s="245"/>
      <c r="E1921" s="247"/>
      <c r="F1921" s="157"/>
    </row>
    <row r="1922" spans="1:6" s="243" customFormat="1" ht="13.5" customHeight="1" x14ac:dyDescent="0.3">
      <c r="A1922" s="245"/>
      <c r="B1922" s="245"/>
      <c r="C1922" s="246"/>
      <c r="D1922" s="245"/>
      <c r="E1922" s="247"/>
      <c r="F1922" s="157"/>
    </row>
    <row r="1923" spans="1:6" s="243" customFormat="1" ht="13.5" customHeight="1" x14ac:dyDescent="0.3">
      <c r="A1923" s="245"/>
      <c r="B1923" s="245"/>
      <c r="C1923" s="246"/>
      <c r="D1923" s="245"/>
      <c r="E1923" s="247"/>
      <c r="F1923" s="157"/>
    </row>
    <row r="1924" spans="1:6" s="243" customFormat="1" ht="13.5" customHeight="1" x14ac:dyDescent="0.3">
      <c r="A1924" s="245"/>
      <c r="B1924" s="245"/>
      <c r="C1924" s="246"/>
      <c r="D1924" s="245"/>
      <c r="E1924" s="247"/>
      <c r="F1924" s="157"/>
    </row>
    <row r="1925" spans="1:6" s="243" customFormat="1" ht="13.5" customHeight="1" x14ac:dyDescent="0.3">
      <c r="A1925" s="245"/>
      <c r="B1925" s="245"/>
      <c r="C1925" s="246"/>
      <c r="D1925" s="245"/>
      <c r="E1925" s="247"/>
      <c r="F1925" s="157"/>
    </row>
    <row r="1926" spans="1:6" s="243" customFormat="1" ht="13.5" customHeight="1" x14ac:dyDescent="0.3">
      <c r="A1926" s="245"/>
      <c r="B1926" s="245"/>
      <c r="C1926" s="246"/>
      <c r="D1926" s="245"/>
      <c r="E1926" s="247"/>
      <c r="F1926" s="157"/>
    </row>
    <row r="1927" spans="1:6" s="243" customFormat="1" ht="13.5" customHeight="1" x14ac:dyDescent="0.3">
      <c r="A1927" s="245"/>
      <c r="B1927" s="245"/>
      <c r="C1927" s="246"/>
      <c r="D1927" s="245"/>
      <c r="E1927" s="247"/>
      <c r="F1927" s="157"/>
    </row>
    <row r="1928" spans="1:6" s="243" customFormat="1" ht="13.5" customHeight="1" x14ac:dyDescent="0.3">
      <c r="A1928" s="245"/>
      <c r="B1928" s="245"/>
      <c r="C1928" s="246"/>
      <c r="D1928" s="245"/>
      <c r="E1928" s="247"/>
      <c r="F1928" s="157"/>
    </row>
    <row r="1929" spans="1:6" s="243" customFormat="1" ht="13.5" customHeight="1" x14ac:dyDescent="0.3">
      <c r="A1929" s="245"/>
      <c r="B1929" s="245"/>
      <c r="C1929" s="246"/>
      <c r="D1929" s="245"/>
      <c r="E1929" s="247"/>
      <c r="F1929" s="157"/>
    </row>
    <row r="1930" spans="1:6" s="243" customFormat="1" ht="13.5" customHeight="1" x14ac:dyDescent="0.3">
      <c r="A1930" s="245"/>
      <c r="B1930" s="245"/>
      <c r="C1930" s="246"/>
      <c r="D1930" s="245"/>
      <c r="E1930" s="247"/>
      <c r="F1930" s="157"/>
    </row>
    <row r="1931" spans="1:6" s="243" customFormat="1" ht="13.5" customHeight="1" x14ac:dyDescent="0.3">
      <c r="A1931" s="245"/>
      <c r="B1931" s="245"/>
      <c r="C1931" s="246"/>
      <c r="D1931" s="245"/>
      <c r="E1931" s="247"/>
      <c r="F1931" s="157"/>
    </row>
    <row r="1932" spans="1:6" s="243" customFormat="1" ht="13.5" customHeight="1" x14ac:dyDescent="0.3">
      <c r="A1932" s="245"/>
      <c r="B1932" s="245"/>
      <c r="C1932" s="246"/>
      <c r="D1932" s="245"/>
      <c r="E1932" s="247"/>
      <c r="F1932" s="157"/>
    </row>
    <row r="1933" spans="1:6" s="243" customFormat="1" ht="13.5" customHeight="1" x14ac:dyDescent="0.3">
      <c r="A1933" s="245"/>
      <c r="B1933" s="245"/>
      <c r="C1933" s="246"/>
      <c r="D1933" s="245"/>
      <c r="E1933" s="247"/>
      <c r="F1933" s="157"/>
    </row>
    <row r="1934" spans="1:6" s="243" customFormat="1" ht="13.5" customHeight="1" x14ac:dyDescent="0.3">
      <c r="A1934" s="245"/>
      <c r="B1934" s="245"/>
      <c r="C1934" s="246"/>
      <c r="D1934" s="245"/>
      <c r="E1934" s="247"/>
      <c r="F1934" s="157"/>
    </row>
    <row r="1935" spans="1:6" s="243" customFormat="1" ht="13.5" customHeight="1" x14ac:dyDescent="0.3">
      <c r="A1935" s="245"/>
      <c r="B1935" s="245"/>
      <c r="C1935" s="246"/>
      <c r="D1935" s="245"/>
      <c r="E1935" s="247"/>
      <c r="F1935" s="157"/>
    </row>
    <row r="1936" spans="1:6" s="243" customFormat="1" ht="13.5" customHeight="1" x14ac:dyDescent="0.3">
      <c r="A1936" s="245"/>
      <c r="B1936" s="245"/>
      <c r="C1936" s="246"/>
      <c r="D1936" s="245"/>
      <c r="E1936" s="247"/>
      <c r="F1936" s="157"/>
    </row>
    <row r="1937" spans="1:6" s="243" customFormat="1" ht="13.5" customHeight="1" x14ac:dyDescent="0.3">
      <c r="A1937" s="245"/>
      <c r="B1937" s="245"/>
      <c r="C1937" s="246"/>
      <c r="D1937" s="245"/>
      <c r="E1937" s="247"/>
      <c r="F1937" s="157"/>
    </row>
    <row r="1938" spans="1:6" s="243" customFormat="1" ht="13.5" customHeight="1" x14ac:dyDescent="0.3">
      <c r="A1938" s="245"/>
      <c r="B1938" s="245"/>
      <c r="C1938" s="246"/>
      <c r="D1938" s="245"/>
      <c r="E1938" s="247"/>
      <c r="F1938" s="157"/>
    </row>
    <row r="1939" spans="1:6" s="243" customFormat="1" ht="13.5" customHeight="1" x14ac:dyDescent="0.3">
      <c r="A1939" s="245"/>
      <c r="B1939" s="245"/>
      <c r="C1939" s="246"/>
      <c r="D1939" s="245"/>
      <c r="E1939" s="247"/>
      <c r="F1939" s="157"/>
    </row>
    <row r="1940" spans="1:6" s="243" customFormat="1" ht="13.5" customHeight="1" x14ac:dyDescent="0.3">
      <c r="A1940" s="245"/>
      <c r="B1940" s="245"/>
      <c r="C1940" s="246"/>
      <c r="D1940" s="245"/>
      <c r="E1940" s="247"/>
      <c r="F1940" s="157"/>
    </row>
    <row r="1941" spans="1:6" s="243" customFormat="1" ht="13.5" customHeight="1" x14ac:dyDescent="0.3">
      <c r="A1941" s="245"/>
      <c r="B1941" s="245"/>
      <c r="C1941" s="246"/>
      <c r="D1941" s="245"/>
      <c r="E1941" s="247"/>
      <c r="F1941" s="157"/>
    </row>
    <row r="1942" spans="1:6" s="243" customFormat="1" ht="13.5" customHeight="1" x14ac:dyDescent="0.3">
      <c r="A1942" s="245"/>
      <c r="B1942" s="245"/>
      <c r="C1942" s="246"/>
      <c r="D1942" s="245"/>
      <c r="E1942" s="247"/>
      <c r="F1942" s="157"/>
    </row>
    <row r="1943" spans="1:6" s="243" customFormat="1" ht="13.5" customHeight="1" x14ac:dyDescent="0.3">
      <c r="A1943" s="245"/>
      <c r="B1943" s="245"/>
      <c r="C1943" s="246"/>
      <c r="D1943" s="245"/>
      <c r="E1943" s="247"/>
      <c r="F1943" s="157"/>
    </row>
    <row r="1944" spans="1:6" s="243" customFormat="1" ht="13.5" customHeight="1" x14ac:dyDescent="0.3">
      <c r="A1944" s="245"/>
      <c r="B1944" s="245"/>
      <c r="C1944" s="246"/>
      <c r="D1944" s="245"/>
      <c r="E1944" s="247"/>
      <c r="F1944" s="157"/>
    </row>
    <row r="1945" spans="1:6" s="243" customFormat="1" ht="13.5" customHeight="1" x14ac:dyDescent="0.3">
      <c r="A1945" s="245"/>
      <c r="B1945" s="245"/>
      <c r="C1945" s="246"/>
      <c r="D1945" s="245"/>
      <c r="E1945" s="247"/>
      <c r="F1945" s="157"/>
    </row>
    <row r="1946" spans="1:6" s="243" customFormat="1" ht="13.5" customHeight="1" x14ac:dyDescent="0.3">
      <c r="A1946" s="245"/>
      <c r="B1946" s="245"/>
      <c r="C1946" s="246"/>
      <c r="D1946" s="245"/>
      <c r="E1946" s="247"/>
      <c r="F1946" s="157"/>
    </row>
    <row r="1947" spans="1:6" s="243" customFormat="1" ht="13.5" customHeight="1" x14ac:dyDescent="0.3">
      <c r="A1947" s="245"/>
      <c r="B1947" s="245"/>
      <c r="C1947" s="246"/>
      <c r="D1947" s="245"/>
      <c r="E1947" s="247"/>
      <c r="F1947" s="157"/>
    </row>
    <row r="1948" spans="1:6" s="243" customFormat="1" ht="13.5" customHeight="1" x14ac:dyDescent="0.3">
      <c r="A1948" s="245"/>
      <c r="B1948" s="245"/>
      <c r="C1948" s="246"/>
      <c r="D1948" s="245"/>
      <c r="E1948" s="247"/>
      <c r="F1948" s="157"/>
    </row>
    <row r="1949" spans="1:6" s="243" customFormat="1" ht="13.5" customHeight="1" x14ac:dyDescent="0.3">
      <c r="A1949" s="245"/>
      <c r="B1949" s="245"/>
      <c r="C1949" s="246"/>
      <c r="D1949" s="245"/>
      <c r="E1949" s="247"/>
      <c r="F1949" s="157"/>
    </row>
    <row r="1950" spans="1:6" s="243" customFormat="1" ht="13.5" customHeight="1" x14ac:dyDescent="0.3">
      <c r="A1950" s="245"/>
      <c r="B1950" s="245"/>
      <c r="C1950" s="246"/>
      <c r="D1950" s="245"/>
      <c r="E1950" s="247"/>
      <c r="F1950" s="157"/>
    </row>
    <row r="1951" spans="1:6" s="243" customFormat="1" ht="13.5" customHeight="1" x14ac:dyDescent="0.3">
      <c r="A1951" s="245"/>
      <c r="B1951" s="245"/>
      <c r="C1951" s="246"/>
      <c r="D1951" s="245"/>
      <c r="E1951" s="247"/>
      <c r="F1951" s="157"/>
    </row>
    <row r="1952" spans="1:6" s="243" customFormat="1" ht="13.5" customHeight="1" x14ac:dyDescent="0.3">
      <c r="A1952" s="245"/>
      <c r="B1952" s="245"/>
      <c r="C1952" s="246"/>
      <c r="D1952" s="245"/>
      <c r="E1952" s="247"/>
      <c r="F1952" s="157"/>
    </row>
    <row r="1953" spans="1:6" s="243" customFormat="1" ht="13.5" customHeight="1" x14ac:dyDescent="0.3">
      <c r="A1953" s="245"/>
      <c r="B1953" s="245"/>
      <c r="C1953" s="246"/>
      <c r="D1953" s="245"/>
      <c r="E1953" s="247"/>
      <c r="F1953" s="157"/>
    </row>
    <row r="1954" spans="1:6" s="243" customFormat="1" ht="13.5" customHeight="1" x14ac:dyDescent="0.3">
      <c r="A1954" s="245"/>
      <c r="B1954" s="245"/>
      <c r="C1954" s="246"/>
      <c r="D1954" s="245"/>
      <c r="E1954" s="247"/>
      <c r="F1954" s="157"/>
    </row>
    <row r="1955" spans="1:6" s="243" customFormat="1" ht="13.5" customHeight="1" x14ac:dyDescent="0.3">
      <c r="A1955" s="245"/>
      <c r="B1955" s="245"/>
      <c r="C1955" s="246"/>
      <c r="D1955" s="245"/>
      <c r="E1955" s="247"/>
      <c r="F1955" s="157"/>
    </row>
    <row r="1956" spans="1:6" s="243" customFormat="1" ht="13.5" customHeight="1" x14ac:dyDescent="0.3">
      <c r="A1956" s="245"/>
      <c r="B1956" s="245"/>
      <c r="C1956" s="246"/>
      <c r="D1956" s="245"/>
      <c r="E1956" s="247"/>
      <c r="F1956" s="157"/>
    </row>
    <row r="1957" spans="1:6" s="243" customFormat="1" ht="13.5" customHeight="1" x14ac:dyDescent="0.3">
      <c r="A1957" s="245"/>
      <c r="B1957" s="245"/>
      <c r="C1957" s="246"/>
      <c r="D1957" s="245"/>
      <c r="E1957" s="247"/>
      <c r="F1957" s="157"/>
    </row>
    <row r="1958" spans="1:6" s="243" customFormat="1" ht="13.5" customHeight="1" x14ac:dyDescent="0.3">
      <c r="A1958" s="245"/>
      <c r="B1958" s="245"/>
      <c r="C1958" s="246"/>
      <c r="D1958" s="245"/>
      <c r="E1958" s="247"/>
      <c r="F1958" s="157"/>
    </row>
    <row r="1959" spans="1:6" s="243" customFormat="1" ht="13.5" customHeight="1" x14ac:dyDescent="0.3">
      <c r="A1959" s="245"/>
      <c r="B1959" s="245"/>
      <c r="C1959" s="246"/>
      <c r="D1959" s="245"/>
      <c r="E1959" s="247"/>
      <c r="F1959" s="157"/>
    </row>
    <row r="1960" spans="1:6" s="243" customFormat="1" ht="13.5" customHeight="1" x14ac:dyDescent="0.3">
      <c r="A1960" s="245"/>
      <c r="B1960" s="245"/>
      <c r="C1960" s="246"/>
      <c r="D1960" s="245"/>
      <c r="E1960" s="247"/>
      <c r="F1960" s="157"/>
    </row>
    <row r="1961" spans="1:6" s="243" customFormat="1" ht="13.5" customHeight="1" x14ac:dyDescent="0.3">
      <c r="A1961" s="245"/>
      <c r="B1961" s="245"/>
      <c r="C1961" s="246"/>
      <c r="D1961" s="245"/>
      <c r="E1961" s="247"/>
      <c r="F1961" s="157"/>
    </row>
    <row r="1962" spans="1:6" s="243" customFormat="1" ht="13.5" customHeight="1" x14ac:dyDescent="0.3">
      <c r="A1962" s="245"/>
      <c r="B1962" s="245"/>
      <c r="C1962" s="246"/>
      <c r="D1962" s="245"/>
      <c r="E1962" s="247"/>
      <c r="F1962" s="157"/>
    </row>
    <row r="1963" spans="1:6" s="243" customFormat="1" ht="13.5" customHeight="1" x14ac:dyDescent="0.3">
      <c r="A1963" s="245"/>
      <c r="B1963" s="245"/>
      <c r="C1963" s="246"/>
      <c r="D1963" s="245"/>
      <c r="E1963" s="247"/>
      <c r="F1963" s="157"/>
    </row>
    <row r="1964" spans="1:6" s="243" customFormat="1" ht="13.5" customHeight="1" x14ac:dyDescent="0.3">
      <c r="A1964" s="245"/>
      <c r="B1964" s="245"/>
      <c r="C1964" s="246"/>
      <c r="D1964" s="245"/>
      <c r="E1964" s="247"/>
      <c r="F1964" s="157"/>
    </row>
    <row r="1965" spans="1:6" s="243" customFormat="1" ht="13.5" customHeight="1" x14ac:dyDescent="0.3">
      <c r="A1965" s="245"/>
      <c r="B1965" s="245"/>
      <c r="C1965" s="246"/>
      <c r="D1965" s="245"/>
      <c r="E1965" s="247"/>
      <c r="F1965" s="157"/>
    </row>
    <row r="1966" spans="1:6" s="243" customFormat="1" ht="13.5" customHeight="1" x14ac:dyDescent="0.3">
      <c r="A1966" s="245"/>
      <c r="B1966" s="245"/>
      <c r="C1966" s="246"/>
      <c r="D1966" s="245"/>
      <c r="E1966" s="247"/>
      <c r="F1966" s="157"/>
    </row>
    <row r="1967" spans="1:6" s="243" customFormat="1" ht="13.5" customHeight="1" x14ac:dyDescent="0.3">
      <c r="A1967" s="245"/>
      <c r="B1967" s="245"/>
      <c r="C1967" s="246"/>
      <c r="D1967" s="245"/>
      <c r="E1967" s="247"/>
      <c r="F1967" s="157"/>
    </row>
    <row r="1968" spans="1:6" s="243" customFormat="1" ht="13.5" customHeight="1" x14ac:dyDescent="0.3">
      <c r="A1968" s="245"/>
      <c r="B1968" s="245"/>
      <c r="C1968" s="246"/>
      <c r="D1968" s="245"/>
      <c r="E1968" s="247"/>
      <c r="F1968" s="157"/>
    </row>
    <row r="1969" spans="1:6" s="243" customFormat="1" ht="13.5" customHeight="1" x14ac:dyDescent="0.3">
      <c r="A1969" s="245"/>
      <c r="B1969" s="245"/>
      <c r="C1969" s="246"/>
      <c r="D1969" s="245"/>
      <c r="E1969" s="247"/>
      <c r="F1969" s="157"/>
    </row>
    <row r="1970" spans="1:6" s="243" customFormat="1" ht="13.5" customHeight="1" x14ac:dyDescent="0.3">
      <c r="A1970" s="245"/>
      <c r="B1970" s="245"/>
      <c r="C1970" s="246"/>
      <c r="D1970" s="245"/>
      <c r="E1970" s="247"/>
      <c r="F1970" s="157"/>
    </row>
    <row r="1971" spans="1:6" s="243" customFormat="1" ht="13.5" customHeight="1" x14ac:dyDescent="0.3">
      <c r="A1971" s="245"/>
      <c r="B1971" s="245"/>
      <c r="C1971" s="246"/>
      <c r="D1971" s="245"/>
      <c r="E1971" s="247"/>
      <c r="F1971" s="157"/>
    </row>
    <row r="1972" spans="1:6" s="243" customFormat="1" ht="13.5" customHeight="1" x14ac:dyDescent="0.3">
      <c r="A1972" s="245"/>
      <c r="B1972" s="245"/>
      <c r="C1972" s="246"/>
      <c r="D1972" s="245"/>
      <c r="E1972" s="247"/>
      <c r="F1972" s="157"/>
    </row>
    <row r="1973" spans="1:6" s="243" customFormat="1" ht="13.5" customHeight="1" x14ac:dyDescent="0.3">
      <c r="A1973" s="245"/>
      <c r="B1973" s="245"/>
      <c r="C1973" s="246"/>
      <c r="D1973" s="245"/>
      <c r="E1973" s="247"/>
      <c r="F1973" s="157"/>
    </row>
    <row r="1974" spans="1:6" s="243" customFormat="1" ht="13.5" customHeight="1" x14ac:dyDescent="0.3">
      <c r="A1974" s="245"/>
      <c r="B1974" s="245"/>
      <c r="C1974" s="246"/>
      <c r="D1974" s="245"/>
      <c r="E1974" s="247"/>
      <c r="F1974" s="157"/>
    </row>
    <row r="1975" spans="1:6" s="243" customFormat="1" ht="13.5" customHeight="1" x14ac:dyDescent="0.3">
      <c r="A1975" s="245"/>
      <c r="B1975" s="245"/>
      <c r="C1975" s="246"/>
      <c r="D1975" s="245"/>
      <c r="E1975" s="247"/>
      <c r="F1975" s="157"/>
    </row>
    <row r="1976" spans="1:6" s="243" customFormat="1" ht="13.5" customHeight="1" x14ac:dyDescent="0.3">
      <c r="A1976" s="245"/>
      <c r="B1976" s="245"/>
      <c r="C1976" s="246"/>
      <c r="D1976" s="245"/>
      <c r="E1976" s="247"/>
      <c r="F1976" s="157"/>
    </row>
    <row r="1977" spans="1:6" s="243" customFormat="1" ht="13.5" customHeight="1" x14ac:dyDescent="0.3">
      <c r="A1977" s="245"/>
      <c r="B1977" s="245"/>
      <c r="C1977" s="246"/>
      <c r="D1977" s="245"/>
      <c r="E1977" s="247"/>
      <c r="F1977" s="157"/>
    </row>
    <row r="1978" spans="1:6" s="243" customFormat="1" ht="13.5" customHeight="1" x14ac:dyDescent="0.3">
      <c r="A1978" s="245"/>
      <c r="B1978" s="245"/>
      <c r="C1978" s="246"/>
      <c r="D1978" s="245"/>
      <c r="E1978" s="247"/>
      <c r="F1978" s="157"/>
    </row>
    <row r="1979" spans="1:6" s="243" customFormat="1" ht="13.5" customHeight="1" x14ac:dyDescent="0.3">
      <c r="A1979" s="245"/>
      <c r="B1979" s="245"/>
      <c r="C1979" s="246"/>
      <c r="D1979" s="245"/>
      <c r="E1979" s="247"/>
      <c r="F1979" s="157"/>
    </row>
    <row r="1980" spans="1:6" s="243" customFormat="1" ht="13.5" customHeight="1" x14ac:dyDescent="0.3">
      <c r="A1980" s="245"/>
      <c r="B1980" s="245"/>
      <c r="C1980" s="246"/>
      <c r="D1980" s="245"/>
      <c r="E1980" s="247"/>
      <c r="F1980" s="157"/>
    </row>
    <row r="1981" spans="1:6" s="243" customFormat="1" ht="13.5" customHeight="1" x14ac:dyDescent="0.3">
      <c r="A1981" s="245"/>
      <c r="B1981" s="245"/>
      <c r="C1981" s="246"/>
      <c r="D1981" s="245"/>
      <c r="E1981" s="247"/>
      <c r="F1981" s="157"/>
    </row>
    <row r="1982" spans="1:6" s="243" customFormat="1" ht="13.5" customHeight="1" x14ac:dyDescent="0.3">
      <c r="A1982" s="245"/>
      <c r="B1982" s="245"/>
      <c r="C1982" s="246"/>
      <c r="D1982" s="245"/>
      <c r="E1982" s="247"/>
      <c r="F1982" s="157"/>
    </row>
    <row r="1983" spans="1:6" s="243" customFormat="1" ht="13.5" customHeight="1" x14ac:dyDescent="0.3">
      <c r="A1983" s="245"/>
      <c r="B1983" s="245"/>
      <c r="C1983" s="246"/>
      <c r="D1983" s="245"/>
      <c r="E1983" s="247"/>
      <c r="F1983" s="157"/>
    </row>
    <row r="1984" spans="1:6" s="243" customFormat="1" ht="13.5" customHeight="1" x14ac:dyDescent="0.3">
      <c r="A1984" s="245"/>
      <c r="B1984" s="245"/>
      <c r="C1984" s="246"/>
      <c r="D1984" s="245"/>
      <c r="E1984" s="247"/>
      <c r="F1984" s="157"/>
    </row>
    <row r="1985" spans="1:11" s="243" customFormat="1" ht="13.5" customHeight="1" x14ac:dyDescent="0.3">
      <c r="A1985" s="245"/>
      <c r="B1985" s="245"/>
      <c r="C1985" s="246"/>
      <c r="D1985" s="245"/>
      <c r="E1985" s="247"/>
      <c r="F1985" s="157"/>
    </row>
    <row r="1986" spans="1:11" s="243" customFormat="1" ht="13.5" customHeight="1" x14ac:dyDescent="0.3">
      <c r="A1986" s="245"/>
      <c r="B1986" s="245"/>
      <c r="C1986" s="246"/>
      <c r="D1986" s="245"/>
      <c r="E1986" s="247"/>
      <c r="F1986" s="157"/>
    </row>
    <row r="1987" spans="1:11" s="243" customFormat="1" ht="13.5" customHeight="1" x14ac:dyDescent="0.3">
      <c r="A1987" s="245"/>
      <c r="B1987" s="245"/>
      <c r="C1987" s="246"/>
      <c r="D1987" s="245"/>
      <c r="E1987" s="247"/>
      <c r="F1987" s="157"/>
    </row>
    <row r="1988" spans="1:11" s="243" customFormat="1" ht="13.5" customHeight="1" x14ac:dyDescent="0.3">
      <c r="A1988" s="245"/>
      <c r="B1988" s="245"/>
      <c r="C1988" s="246"/>
      <c r="D1988" s="245"/>
      <c r="E1988" s="247"/>
      <c r="F1988" s="157"/>
    </row>
    <row r="1989" spans="1:11" s="243" customFormat="1" ht="13.5" customHeight="1" x14ac:dyDescent="0.3">
      <c r="A1989" s="245"/>
      <c r="B1989" s="245"/>
      <c r="C1989" s="246"/>
      <c r="D1989" s="245"/>
      <c r="E1989" s="247"/>
      <c r="F1989" s="157"/>
    </row>
    <row r="1990" spans="1:11" s="243" customFormat="1" ht="13.5" customHeight="1" x14ac:dyDescent="0.3">
      <c r="A1990" s="245"/>
      <c r="B1990" s="245"/>
      <c r="C1990" s="246"/>
      <c r="D1990" s="245"/>
      <c r="E1990" s="247"/>
      <c r="F1990" s="157"/>
    </row>
    <row r="1991" spans="1:11" s="243" customFormat="1" ht="13.5" customHeight="1" x14ac:dyDescent="0.3">
      <c r="A1991" s="245"/>
      <c r="B1991" s="245"/>
      <c r="C1991" s="246"/>
      <c r="D1991" s="245"/>
      <c r="E1991" s="247"/>
      <c r="F1991" s="157"/>
    </row>
    <row r="1992" spans="1:11" s="243" customFormat="1" ht="13.5" customHeight="1" x14ac:dyDescent="0.3">
      <c r="A1992" s="245"/>
      <c r="B1992" s="245"/>
      <c r="C1992" s="246"/>
      <c r="D1992" s="245"/>
      <c r="E1992" s="247"/>
      <c r="F1992" s="157"/>
    </row>
    <row r="1993" spans="1:11" s="243" customFormat="1" ht="13.5" customHeight="1" x14ac:dyDescent="0.3">
      <c r="A1993" s="245"/>
      <c r="B1993" s="245"/>
      <c r="C1993" s="246"/>
      <c r="D1993" s="245"/>
      <c r="E1993" s="247"/>
      <c r="F1993" s="157"/>
    </row>
    <row r="1994" spans="1:11" s="250" customFormat="1" ht="13.5" customHeight="1" x14ac:dyDescent="0.3">
      <c r="A1994" s="245"/>
      <c r="B1994" s="245"/>
      <c r="C1994" s="246"/>
      <c r="D1994" s="245"/>
      <c r="E1994" s="247"/>
      <c r="F1994" s="157"/>
      <c r="G1994" s="249"/>
      <c r="H1994" s="249"/>
      <c r="I1994" s="249"/>
      <c r="J1994" s="249"/>
      <c r="K1994" s="249"/>
    </row>
    <row r="1995" spans="1:11" s="250" customFormat="1" ht="13.5" customHeight="1" x14ac:dyDescent="0.3">
      <c r="A1995" s="245"/>
      <c r="B1995" s="245"/>
      <c r="C1995" s="246"/>
      <c r="D1995" s="245"/>
      <c r="E1995" s="247"/>
      <c r="F1995" s="157"/>
      <c r="G1995" s="249"/>
      <c r="H1995" s="249"/>
      <c r="I1995" s="249"/>
      <c r="J1995" s="249"/>
      <c r="K1995" s="249"/>
    </row>
    <row r="1996" spans="1:11" s="250" customFormat="1" ht="13.5" customHeight="1" x14ac:dyDescent="0.3">
      <c r="A1996" s="245"/>
      <c r="B1996" s="245"/>
      <c r="C1996" s="246"/>
      <c r="D1996" s="245"/>
      <c r="E1996" s="247"/>
      <c r="F1996" s="157"/>
      <c r="G1996" s="249"/>
      <c r="H1996" s="249"/>
      <c r="I1996" s="249"/>
      <c r="J1996" s="249"/>
      <c r="K1996" s="249"/>
    </row>
    <row r="1997" spans="1:11" s="250" customFormat="1" ht="13.5" customHeight="1" x14ac:dyDescent="0.3">
      <c r="A1997" s="245"/>
      <c r="B1997" s="245"/>
      <c r="C1997" s="246"/>
      <c r="D1997" s="245"/>
      <c r="E1997" s="247"/>
      <c r="F1997" s="157"/>
      <c r="G1997" s="249"/>
      <c r="H1997" s="249"/>
      <c r="I1997" s="249"/>
      <c r="J1997" s="249"/>
      <c r="K1997" s="249"/>
    </row>
    <row r="1998" spans="1:11" s="250" customFormat="1" ht="13.5" customHeight="1" x14ac:dyDescent="0.3">
      <c r="A1998" s="245"/>
      <c r="B1998" s="245"/>
      <c r="C1998" s="246"/>
      <c r="D1998" s="245"/>
      <c r="E1998" s="247"/>
      <c r="F1998" s="157"/>
      <c r="G1998" s="249"/>
      <c r="H1998" s="249"/>
      <c r="I1998" s="249"/>
      <c r="J1998" s="249"/>
      <c r="K1998" s="249"/>
    </row>
    <row r="1999" spans="1:11" s="250" customFormat="1" ht="13.5" customHeight="1" x14ac:dyDescent="0.3">
      <c r="A1999" s="245"/>
      <c r="B1999" s="245"/>
      <c r="C1999" s="246"/>
      <c r="D1999" s="245"/>
      <c r="E1999" s="247"/>
      <c r="F1999" s="157"/>
      <c r="G1999" s="249"/>
      <c r="H1999" s="249"/>
      <c r="I1999" s="249"/>
      <c r="J1999" s="249"/>
      <c r="K1999" s="249"/>
    </row>
    <row r="2000" spans="1:11" s="250" customFormat="1" ht="13.5" customHeight="1" x14ac:dyDescent="0.3">
      <c r="A2000" s="245"/>
      <c r="B2000" s="245"/>
      <c r="C2000" s="246"/>
      <c r="D2000" s="245"/>
      <c r="E2000" s="247"/>
      <c r="F2000" s="157"/>
      <c r="G2000" s="249"/>
      <c r="H2000" s="249"/>
      <c r="I2000" s="249"/>
      <c r="J2000" s="249"/>
      <c r="K2000" s="249"/>
    </row>
    <row r="2001" spans="1:11" s="250" customFormat="1" ht="13.5" customHeight="1" x14ac:dyDescent="0.3">
      <c r="A2001" s="245"/>
      <c r="B2001" s="245"/>
      <c r="C2001" s="246"/>
      <c r="D2001" s="245"/>
      <c r="E2001" s="247"/>
      <c r="F2001" s="157"/>
      <c r="G2001" s="249"/>
      <c r="H2001" s="249"/>
      <c r="I2001" s="249"/>
      <c r="J2001" s="249"/>
      <c r="K2001" s="249"/>
    </row>
    <row r="2002" spans="1:11" s="250" customFormat="1" ht="13.5" customHeight="1" x14ac:dyDescent="0.3">
      <c r="A2002" s="245"/>
      <c r="B2002" s="245"/>
      <c r="C2002" s="246"/>
      <c r="D2002" s="245"/>
      <c r="E2002" s="247"/>
      <c r="F2002" s="157"/>
      <c r="G2002" s="249"/>
      <c r="H2002" s="249"/>
      <c r="I2002" s="249"/>
      <c r="J2002" s="249"/>
      <c r="K2002" s="249"/>
    </row>
    <row r="2003" spans="1:11" s="250" customFormat="1" ht="13.5" customHeight="1" x14ac:dyDescent="0.3">
      <c r="A2003" s="245"/>
      <c r="B2003" s="245"/>
      <c r="C2003" s="246"/>
      <c r="D2003" s="245"/>
      <c r="E2003" s="247"/>
      <c r="F2003" s="157"/>
      <c r="G2003" s="249"/>
      <c r="H2003" s="249"/>
      <c r="I2003" s="249"/>
      <c r="J2003" s="249"/>
      <c r="K2003" s="249"/>
    </row>
    <row r="2004" spans="1:11" s="250" customFormat="1" ht="13.5" customHeight="1" x14ac:dyDescent="0.3">
      <c r="A2004" s="245"/>
      <c r="B2004" s="245"/>
      <c r="C2004" s="246"/>
      <c r="D2004" s="245"/>
      <c r="E2004" s="247"/>
      <c r="F2004" s="157"/>
      <c r="G2004" s="249"/>
      <c r="H2004" s="249"/>
      <c r="I2004" s="249"/>
      <c r="J2004" s="249"/>
      <c r="K2004" s="249"/>
    </row>
    <row r="2005" spans="1:11" s="250" customFormat="1" ht="13.5" customHeight="1" x14ac:dyDescent="0.3">
      <c r="A2005" s="245"/>
      <c r="B2005" s="245"/>
      <c r="C2005" s="246"/>
      <c r="D2005" s="245"/>
      <c r="E2005" s="247"/>
      <c r="F2005" s="157"/>
      <c r="G2005" s="249"/>
      <c r="H2005" s="249"/>
      <c r="I2005" s="249"/>
      <c r="J2005" s="249"/>
      <c r="K2005" s="249"/>
    </row>
    <row r="2006" spans="1:11" s="250" customFormat="1" ht="13.5" customHeight="1" x14ac:dyDescent="0.3">
      <c r="A2006" s="245"/>
      <c r="B2006" s="245"/>
      <c r="C2006" s="246"/>
      <c r="D2006" s="245"/>
      <c r="E2006" s="247"/>
      <c r="F2006" s="157"/>
      <c r="G2006" s="249"/>
      <c r="H2006" s="249"/>
      <c r="I2006" s="249"/>
      <c r="J2006" s="249"/>
      <c r="K2006" s="249"/>
    </row>
    <row r="2007" spans="1:11" s="250" customFormat="1" ht="13.5" customHeight="1" x14ac:dyDescent="0.3">
      <c r="A2007" s="245"/>
      <c r="B2007" s="245"/>
      <c r="C2007" s="246"/>
      <c r="D2007" s="245"/>
      <c r="E2007" s="247"/>
      <c r="F2007" s="157"/>
      <c r="G2007" s="249"/>
      <c r="H2007" s="249"/>
      <c r="I2007" s="249"/>
      <c r="J2007" s="249"/>
      <c r="K2007" s="249"/>
    </row>
    <row r="2008" spans="1:11" s="250" customFormat="1" ht="13.5" customHeight="1" x14ac:dyDescent="0.3">
      <c r="A2008" s="245"/>
      <c r="B2008" s="245"/>
      <c r="C2008" s="246"/>
      <c r="D2008" s="245"/>
      <c r="E2008" s="247"/>
      <c r="F2008" s="157"/>
      <c r="G2008" s="249"/>
      <c r="H2008" s="249"/>
      <c r="I2008" s="249"/>
      <c r="J2008" s="249"/>
      <c r="K2008" s="249"/>
    </row>
    <row r="2009" spans="1:11" s="250" customFormat="1" ht="13.5" customHeight="1" x14ac:dyDescent="0.3">
      <c r="A2009" s="245"/>
      <c r="B2009" s="245"/>
      <c r="C2009" s="246"/>
      <c r="D2009" s="245"/>
      <c r="E2009" s="247"/>
      <c r="F2009" s="157"/>
      <c r="G2009" s="249"/>
      <c r="H2009" s="249"/>
      <c r="I2009" s="249"/>
      <c r="J2009" s="249"/>
      <c r="K2009" s="249"/>
    </row>
    <row r="2010" spans="1:11" s="250" customFormat="1" ht="13.5" customHeight="1" x14ac:dyDescent="0.3">
      <c r="A2010" s="245"/>
      <c r="B2010" s="245"/>
      <c r="C2010" s="246"/>
      <c r="D2010" s="245"/>
      <c r="E2010" s="247"/>
      <c r="F2010" s="157"/>
      <c r="G2010" s="249"/>
      <c r="H2010" s="249"/>
      <c r="I2010" s="249"/>
      <c r="J2010" s="249"/>
      <c r="K2010" s="249"/>
    </row>
    <row r="2011" spans="1:11" s="250" customFormat="1" ht="13.5" customHeight="1" x14ac:dyDescent="0.3">
      <c r="A2011" s="245"/>
      <c r="B2011" s="245"/>
      <c r="C2011" s="246"/>
      <c r="D2011" s="245"/>
      <c r="E2011" s="247"/>
      <c r="F2011" s="157"/>
      <c r="G2011" s="249"/>
      <c r="H2011" s="249"/>
      <c r="I2011" s="249"/>
      <c r="J2011" s="249"/>
      <c r="K2011" s="249"/>
    </row>
    <row r="2012" spans="1:11" s="250" customFormat="1" ht="13.5" customHeight="1" x14ac:dyDescent="0.3">
      <c r="A2012" s="245"/>
      <c r="B2012" s="245"/>
      <c r="C2012" s="246"/>
      <c r="D2012" s="245"/>
      <c r="E2012" s="247"/>
      <c r="F2012" s="157"/>
      <c r="G2012" s="249"/>
      <c r="H2012" s="249"/>
      <c r="I2012" s="249"/>
      <c r="J2012" s="249"/>
      <c r="K2012" s="249"/>
    </row>
    <row r="2013" spans="1:11" s="250" customFormat="1" ht="13.5" customHeight="1" x14ac:dyDescent="0.3">
      <c r="A2013" s="245"/>
      <c r="B2013" s="245"/>
      <c r="C2013" s="246"/>
      <c r="D2013" s="245"/>
      <c r="E2013" s="247"/>
      <c r="F2013" s="157"/>
      <c r="G2013" s="249"/>
      <c r="H2013" s="249"/>
      <c r="I2013" s="249"/>
      <c r="J2013" s="249"/>
      <c r="K2013" s="249"/>
    </row>
    <row r="2014" spans="1:11" s="250" customFormat="1" ht="13.5" customHeight="1" x14ac:dyDescent="0.3">
      <c r="A2014" s="245"/>
      <c r="B2014" s="245"/>
      <c r="C2014" s="246"/>
      <c r="D2014" s="245"/>
      <c r="E2014" s="247"/>
      <c r="F2014" s="157"/>
      <c r="G2014" s="249"/>
      <c r="H2014" s="249"/>
      <c r="I2014" s="249"/>
      <c r="J2014" s="249"/>
      <c r="K2014" s="249"/>
    </row>
    <row r="2015" spans="1:11" s="250" customFormat="1" ht="13.5" customHeight="1" x14ac:dyDescent="0.3">
      <c r="A2015" s="245"/>
      <c r="B2015" s="245"/>
      <c r="C2015" s="246"/>
      <c r="D2015" s="245"/>
      <c r="E2015" s="247"/>
      <c r="F2015" s="157"/>
      <c r="G2015" s="249"/>
      <c r="H2015" s="249"/>
      <c r="I2015" s="249"/>
      <c r="J2015" s="249"/>
      <c r="K2015" s="249"/>
    </row>
    <row r="2016" spans="1:11" s="250" customFormat="1" ht="13.5" customHeight="1" x14ac:dyDescent="0.3">
      <c r="A2016" s="245"/>
      <c r="B2016" s="245"/>
      <c r="C2016" s="246"/>
      <c r="D2016" s="245"/>
      <c r="E2016" s="247"/>
      <c r="F2016" s="157"/>
      <c r="G2016" s="249"/>
      <c r="H2016" s="249"/>
      <c r="I2016" s="249"/>
      <c r="J2016" s="249"/>
      <c r="K2016" s="249"/>
    </row>
    <row r="2017" spans="1:11" s="250" customFormat="1" ht="13.5" customHeight="1" x14ac:dyDescent="0.3">
      <c r="A2017" s="245"/>
      <c r="B2017" s="245"/>
      <c r="C2017" s="246"/>
      <c r="D2017" s="245"/>
      <c r="E2017" s="247"/>
      <c r="F2017" s="157"/>
      <c r="G2017" s="249"/>
      <c r="H2017" s="249"/>
      <c r="I2017" s="249"/>
      <c r="J2017" s="249"/>
      <c r="K2017" s="249"/>
    </row>
    <row r="2018" spans="1:11" s="250" customFormat="1" ht="13.5" customHeight="1" x14ac:dyDescent="0.3">
      <c r="A2018" s="245"/>
      <c r="B2018" s="245"/>
      <c r="C2018" s="246"/>
      <c r="D2018" s="245"/>
      <c r="E2018" s="247"/>
      <c r="F2018" s="157"/>
      <c r="G2018" s="249"/>
      <c r="H2018" s="249"/>
      <c r="I2018" s="249"/>
      <c r="J2018" s="249"/>
      <c r="K2018" s="249"/>
    </row>
    <row r="2019" spans="1:11" s="250" customFormat="1" ht="13.5" customHeight="1" x14ac:dyDescent="0.3">
      <c r="A2019" s="245"/>
      <c r="B2019" s="245"/>
      <c r="C2019" s="246"/>
      <c r="D2019" s="245"/>
      <c r="E2019" s="247"/>
      <c r="F2019" s="157"/>
      <c r="G2019" s="249"/>
      <c r="H2019" s="249"/>
      <c r="I2019" s="249"/>
      <c r="J2019" s="249"/>
      <c r="K2019" s="249"/>
    </row>
    <row r="2020" spans="1:11" s="250" customFormat="1" ht="13.5" customHeight="1" x14ac:dyDescent="0.3">
      <c r="A2020" s="245"/>
      <c r="B2020" s="245"/>
      <c r="C2020" s="246"/>
      <c r="D2020" s="245"/>
      <c r="E2020" s="247"/>
      <c r="F2020" s="157"/>
      <c r="G2020" s="249"/>
      <c r="H2020" s="249"/>
      <c r="I2020" s="249"/>
      <c r="J2020" s="249"/>
      <c r="K2020" s="249"/>
    </row>
    <row r="2021" spans="1:11" s="250" customFormat="1" ht="13.5" customHeight="1" x14ac:dyDescent="0.3">
      <c r="A2021" s="245"/>
      <c r="B2021" s="245"/>
      <c r="C2021" s="246"/>
      <c r="D2021" s="245"/>
      <c r="E2021" s="247"/>
      <c r="F2021" s="157"/>
      <c r="G2021" s="249"/>
      <c r="H2021" s="249"/>
      <c r="I2021" s="249"/>
      <c r="J2021" s="249"/>
      <c r="K2021" s="249"/>
    </row>
    <row r="2022" spans="1:11" s="250" customFormat="1" ht="13.5" customHeight="1" x14ac:dyDescent="0.3">
      <c r="A2022" s="245"/>
      <c r="B2022" s="245"/>
      <c r="C2022" s="246"/>
      <c r="D2022" s="245"/>
      <c r="E2022" s="247"/>
      <c r="F2022" s="157"/>
      <c r="G2022" s="249"/>
      <c r="H2022" s="249"/>
      <c r="I2022" s="249"/>
      <c r="J2022" s="249"/>
      <c r="K2022" s="249"/>
    </row>
    <row r="2023" spans="1:11" s="250" customFormat="1" ht="13.5" customHeight="1" x14ac:dyDescent="0.3">
      <c r="A2023" s="245"/>
      <c r="B2023" s="245"/>
      <c r="C2023" s="246"/>
      <c r="D2023" s="245"/>
      <c r="E2023" s="247"/>
      <c r="F2023" s="157"/>
      <c r="G2023" s="249"/>
      <c r="H2023" s="249"/>
      <c r="I2023" s="249"/>
      <c r="J2023" s="249"/>
      <c r="K2023" s="249"/>
    </row>
    <row r="2024" spans="1:11" s="250" customFormat="1" ht="13.5" customHeight="1" x14ac:dyDescent="0.3">
      <c r="A2024" s="245"/>
      <c r="B2024" s="245"/>
      <c r="C2024" s="246"/>
      <c r="D2024" s="245"/>
      <c r="E2024" s="247"/>
      <c r="F2024" s="157"/>
      <c r="G2024" s="249"/>
      <c r="H2024" s="249"/>
      <c r="I2024" s="249"/>
      <c r="J2024" s="249"/>
      <c r="K2024" s="249"/>
    </row>
    <row r="2025" spans="1:11" s="250" customFormat="1" ht="13.5" customHeight="1" x14ac:dyDescent="0.3">
      <c r="A2025" s="245"/>
      <c r="B2025" s="245"/>
      <c r="C2025" s="246"/>
      <c r="D2025" s="245"/>
      <c r="E2025" s="247"/>
      <c r="F2025" s="157"/>
      <c r="G2025" s="249"/>
      <c r="H2025" s="249"/>
      <c r="I2025" s="249"/>
      <c r="J2025" s="249"/>
      <c r="K2025" s="249"/>
    </row>
    <row r="2026" spans="1:11" s="250" customFormat="1" ht="13.5" customHeight="1" x14ac:dyDescent="0.3">
      <c r="A2026" s="245"/>
      <c r="B2026" s="245"/>
      <c r="C2026" s="246"/>
      <c r="D2026" s="245"/>
      <c r="E2026" s="247"/>
      <c r="F2026" s="157"/>
      <c r="G2026" s="249"/>
      <c r="H2026" s="249"/>
      <c r="I2026" s="249"/>
      <c r="J2026" s="249"/>
      <c r="K2026" s="249"/>
    </row>
    <row r="2027" spans="1:11" s="250" customFormat="1" ht="13.5" customHeight="1" x14ac:dyDescent="0.3">
      <c r="A2027" s="245"/>
      <c r="B2027" s="245"/>
      <c r="C2027" s="246"/>
      <c r="D2027" s="245"/>
      <c r="E2027" s="247"/>
      <c r="F2027" s="157"/>
      <c r="G2027" s="249"/>
      <c r="H2027" s="249"/>
      <c r="I2027" s="249"/>
      <c r="J2027" s="249"/>
      <c r="K2027" s="249"/>
    </row>
    <row r="2028" spans="1:11" s="250" customFormat="1" ht="13.5" customHeight="1" x14ac:dyDescent="0.3">
      <c r="A2028" s="251"/>
      <c r="B2028" s="251"/>
      <c r="C2028" s="252"/>
      <c r="D2028" s="251"/>
      <c r="E2028" s="253"/>
      <c r="F2028" s="157"/>
      <c r="G2028" s="249"/>
      <c r="H2028" s="249"/>
      <c r="I2028" s="249"/>
      <c r="J2028" s="249"/>
      <c r="K2028" s="249"/>
    </row>
    <row r="2029" spans="1:11" s="250" customFormat="1" ht="13.5" customHeight="1" x14ac:dyDescent="0.3">
      <c r="A2029" s="251"/>
      <c r="B2029" s="251"/>
      <c r="C2029" s="252"/>
      <c r="D2029" s="251"/>
      <c r="E2029" s="253"/>
      <c r="F2029" s="157"/>
      <c r="G2029" s="249"/>
      <c r="H2029" s="249"/>
      <c r="I2029" s="249"/>
      <c r="J2029" s="249"/>
      <c r="K2029" s="249"/>
    </row>
    <row r="2030" spans="1:11" s="250" customFormat="1" ht="13.5" customHeight="1" x14ac:dyDescent="0.3">
      <c r="A2030" s="251"/>
      <c r="B2030" s="251"/>
      <c r="C2030" s="252"/>
      <c r="D2030" s="251"/>
      <c r="E2030" s="253"/>
      <c r="F2030" s="157"/>
      <c r="G2030" s="249"/>
      <c r="H2030" s="249"/>
      <c r="I2030" s="249"/>
      <c r="J2030" s="249"/>
      <c r="K2030" s="249"/>
    </row>
    <row r="2031" spans="1:11" s="250" customFormat="1" ht="13.5" customHeight="1" x14ac:dyDescent="0.3">
      <c r="A2031" s="251"/>
      <c r="B2031" s="251"/>
      <c r="C2031" s="252"/>
      <c r="D2031" s="251"/>
      <c r="E2031" s="253"/>
      <c r="F2031" s="157"/>
      <c r="G2031" s="249"/>
      <c r="H2031" s="249"/>
      <c r="I2031" s="249"/>
      <c r="J2031" s="249"/>
      <c r="K2031" s="249"/>
    </row>
    <row r="2032" spans="1:11" s="250" customFormat="1" ht="13.5" customHeight="1" x14ac:dyDescent="0.3">
      <c r="A2032" s="251"/>
      <c r="B2032" s="251"/>
      <c r="C2032" s="252"/>
      <c r="D2032" s="251"/>
      <c r="E2032" s="253"/>
      <c r="F2032" s="157"/>
      <c r="G2032" s="249"/>
      <c r="H2032" s="249"/>
      <c r="I2032" s="249"/>
      <c r="J2032" s="249"/>
      <c r="K2032" s="249"/>
    </row>
    <row r="2033" spans="1:11" s="250" customFormat="1" ht="13.5" customHeight="1" x14ac:dyDescent="0.3">
      <c r="A2033" s="251"/>
      <c r="B2033" s="251"/>
      <c r="C2033" s="252"/>
      <c r="D2033" s="251"/>
      <c r="E2033" s="253"/>
      <c r="F2033" s="157"/>
      <c r="G2033" s="249"/>
      <c r="H2033" s="249"/>
      <c r="I2033" s="249"/>
      <c r="J2033" s="249"/>
      <c r="K2033" s="249"/>
    </row>
    <row r="2034" spans="1:11" s="250" customFormat="1" ht="13.5" customHeight="1" x14ac:dyDescent="0.3">
      <c r="A2034" s="251"/>
      <c r="B2034" s="251"/>
      <c r="C2034" s="252"/>
      <c r="D2034" s="251"/>
      <c r="E2034" s="253"/>
      <c r="F2034" s="157"/>
      <c r="G2034" s="249"/>
      <c r="H2034" s="249"/>
      <c r="I2034" s="249"/>
      <c r="J2034" s="249"/>
      <c r="K2034" s="249"/>
    </row>
    <row r="2035" spans="1:11" s="250" customFormat="1" ht="13.5" customHeight="1" x14ac:dyDescent="0.3">
      <c r="A2035" s="251"/>
      <c r="B2035" s="251"/>
      <c r="C2035" s="252"/>
      <c r="D2035" s="251"/>
      <c r="E2035" s="253"/>
      <c r="F2035" s="157"/>
      <c r="G2035" s="249"/>
      <c r="H2035" s="249"/>
      <c r="I2035" s="249"/>
      <c r="J2035" s="249"/>
      <c r="K2035" s="249"/>
    </row>
    <row r="2036" spans="1:11" s="250" customFormat="1" ht="13.5" customHeight="1" x14ac:dyDescent="0.3">
      <c r="A2036" s="251"/>
      <c r="B2036" s="251"/>
      <c r="C2036" s="252"/>
      <c r="D2036" s="251"/>
      <c r="E2036" s="253"/>
      <c r="F2036" s="157"/>
      <c r="G2036" s="249"/>
      <c r="H2036" s="249"/>
      <c r="I2036" s="249"/>
      <c r="J2036" s="249"/>
      <c r="K2036" s="249"/>
    </row>
    <row r="2037" spans="1:11" s="250" customFormat="1" ht="13.5" customHeight="1" x14ac:dyDescent="0.3">
      <c r="A2037" s="251"/>
      <c r="B2037" s="251"/>
      <c r="C2037" s="252"/>
      <c r="D2037" s="251"/>
      <c r="E2037" s="253"/>
      <c r="F2037" s="157"/>
      <c r="G2037" s="249"/>
      <c r="H2037" s="249"/>
      <c r="I2037" s="249"/>
      <c r="J2037" s="249"/>
      <c r="K2037" s="249"/>
    </row>
    <row r="2038" spans="1:11" s="250" customFormat="1" ht="13.5" customHeight="1" x14ac:dyDescent="0.3">
      <c r="A2038" s="251"/>
      <c r="B2038" s="251"/>
      <c r="C2038" s="252"/>
      <c r="D2038" s="251"/>
      <c r="E2038" s="253"/>
      <c r="F2038" s="157"/>
      <c r="G2038" s="249"/>
      <c r="H2038" s="249"/>
      <c r="I2038" s="249"/>
      <c r="J2038" s="249"/>
      <c r="K2038" s="249"/>
    </row>
    <row r="2039" spans="1:11" s="250" customFormat="1" ht="13.5" customHeight="1" x14ac:dyDescent="0.3">
      <c r="A2039" s="251"/>
      <c r="B2039" s="251"/>
      <c r="C2039" s="252"/>
      <c r="D2039" s="251"/>
      <c r="E2039" s="253"/>
      <c r="F2039" s="157"/>
      <c r="G2039" s="249"/>
      <c r="H2039" s="249"/>
      <c r="I2039" s="249"/>
      <c r="J2039" s="249"/>
      <c r="K2039" s="249"/>
    </row>
    <row r="2040" spans="1:11" s="250" customFormat="1" ht="13.5" customHeight="1" x14ac:dyDescent="0.3">
      <c r="A2040" s="251"/>
      <c r="B2040" s="251"/>
      <c r="C2040" s="252"/>
      <c r="D2040" s="251"/>
      <c r="E2040" s="253"/>
      <c r="F2040" s="157"/>
      <c r="G2040" s="249"/>
      <c r="H2040" s="249"/>
      <c r="I2040" s="249"/>
      <c r="J2040" s="249"/>
      <c r="K2040" s="249"/>
    </row>
    <row r="2041" spans="1:11" s="250" customFormat="1" ht="13.5" customHeight="1" x14ac:dyDescent="0.3">
      <c r="A2041" s="251"/>
      <c r="B2041" s="251"/>
      <c r="C2041" s="252"/>
      <c r="D2041" s="251"/>
      <c r="E2041" s="253"/>
      <c r="F2041" s="157"/>
      <c r="G2041" s="249"/>
      <c r="H2041" s="249"/>
      <c r="I2041" s="249"/>
      <c r="J2041" s="249"/>
      <c r="K2041" s="249"/>
    </row>
    <row r="2042" spans="1:11" s="250" customFormat="1" ht="13.5" customHeight="1" x14ac:dyDescent="0.3">
      <c r="A2042" s="251"/>
      <c r="B2042" s="251"/>
      <c r="C2042" s="252"/>
      <c r="D2042" s="251"/>
      <c r="E2042" s="253"/>
      <c r="F2042" s="157"/>
      <c r="G2042" s="249"/>
      <c r="H2042" s="249"/>
      <c r="I2042" s="249"/>
      <c r="J2042" s="249"/>
      <c r="K2042" s="249"/>
    </row>
    <row r="2043" spans="1:11" s="250" customFormat="1" ht="13.5" customHeight="1" x14ac:dyDescent="0.3">
      <c r="A2043" s="251"/>
      <c r="B2043" s="251"/>
      <c r="C2043" s="252"/>
      <c r="D2043" s="251"/>
      <c r="E2043" s="253"/>
      <c r="F2043" s="157"/>
      <c r="G2043" s="249"/>
      <c r="H2043" s="249"/>
      <c r="I2043" s="249"/>
      <c r="J2043" s="249"/>
      <c r="K2043" s="249"/>
    </row>
    <row r="2044" spans="1:11" s="250" customFormat="1" ht="13.5" customHeight="1" x14ac:dyDescent="0.3">
      <c r="A2044" s="251"/>
      <c r="B2044" s="251"/>
      <c r="C2044" s="252"/>
      <c r="D2044" s="251"/>
      <c r="E2044" s="253"/>
      <c r="F2044" s="157"/>
      <c r="G2044" s="249"/>
      <c r="H2044" s="249"/>
      <c r="I2044" s="249"/>
      <c r="J2044" s="249"/>
      <c r="K2044" s="249"/>
    </row>
    <row r="2045" spans="1:11" s="250" customFormat="1" ht="13.5" customHeight="1" x14ac:dyDescent="0.3">
      <c r="A2045" s="251"/>
      <c r="B2045" s="251"/>
      <c r="C2045" s="252"/>
      <c r="D2045" s="251"/>
      <c r="E2045" s="253"/>
      <c r="F2045" s="157"/>
      <c r="G2045" s="249"/>
      <c r="H2045" s="249"/>
      <c r="I2045" s="249"/>
      <c r="J2045" s="249"/>
      <c r="K2045" s="249"/>
    </row>
    <row r="2046" spans="1:11" s="250" customFormat="1" ht="13.5" customHeight="1" x14ac:dyDescent="0.3">
      <c r="A2046" s="251"/>
      <c r="B2046" s="251"/>
      <c r="C2046" s="252"/>
      <c r="D2046" s="251"/>
      <c r="E2046" s="253"/>
      <c r="F2046" s="157"/>
      <c r="G2046" s="249"/>
      <c r="H2046" s="249"/>
      <c r="I2046" s="249"/>
      <c r="J2046" s="249"/>
      <c r="K2046" s="249"/>
    </row>
    <row r="2047" spans="1:11" s="250" customFormat="1" ht="13.5" customHeight="1" x14ac:dyDescent="0.3">
      <c r="A2047" s="251"/>
      <c r="B2047" s="251"/>
      <c r="C2047" s="252"/>
      <c r="D2047" s="251"/>
      <c r="E2047" s="253"/>
      <c r="F2047" s="157"/>
      <c r="G2047" s="249"/>
      <c r="H2047" s="249"/>
      <c r="I2047" s="249"/>
      <c r="J2047" s="249"/>
      <c r="K2047" s="249"/>
    </row>
    <row r="2048" spans="1:11" s="250" customFormat="1" ht="13.5" customHeight="1" x14ac:dyDescent="0.3">
      <c r="A2048" s="251"/>
      <c r="B2048" s="251"/>
      <c r="C2048" s="252"/>
      <c r="D2048" s="251"/>
      <c r="E2048" s="253"/>
      <c r="F2048" s="157"/>
      <c r="G2048" s="249"/>
      <c r="H2048" s="249"/>
      <c r="I2048" s="249"/>
      <c r="J2048" s="249"/>
      <c r="K2048" s="249"/>
    </row>
    <row r="2049" spans="1:11" s="250" customFormat="1" ht="13.5" customHeight="1" x14ac:dyDescent="0.3">
      <c r="A2049" s="251"/>
      <c r="B2049" s="251"/>
      <c r="C2049" s="252"/>
      <c r="D2049" s="251"/>
      <c r="E2049" s="253"/>
      <c r="F2049" s="157"/>
      <c r="G2049" s="249"/>
      <c r="H2049" s="249"/>
      <c r="I2049" s="249"/>
      <c r="J2049" s="249"/>
      <c r="K2049" s="249"/>
    </row>
    <row r="2050" spans="1:11" s="250" customFormat="1" ht="13.5" customHeight="1" x14ac:dyDescent="0.3">
      <c r="A2050" s="251"/>
      <c r="B2050" s="251"/>
      <c r="C2050" s="252"/>
      <c r="D2050" s="251"/>
      <c r="E2050" s="253"/>
      <c r="F2050" s="157"/>
      <c r="G2050" s="249"/>
      <c r="H2050" s="249"/>
      <c r="I2050" s="249"/>
      <c r="J2050" s="249"/>
      <c r="K2050" s="249"/>
    </row>
    <row r="2051" spans="1:11" s="250" customFormat="1" ht="13.5" customHeight="1" x14ac:dyDescent="0.3">
      <c r="A2051" s="251"/>
      <c r="B2051" s="251"/>
      <c r="C2051" s="252"/>
      <c r="D2051" s="251"/>
      <c r="E2051" s="253"/>
      <c r="F2051" s="157"/>
      <c r="G2051" s="249"/>
      <c r="H2051" s="249"/>
      <c r="I2051" s="249"/>
      <c r="J2051" s="249"/>
      <c r="K2051" s="249"/>
    </row>
    <row r="2052" spans="1:11" s="250" customFormat="1" ht="13.5" customHeight="1" x14ac:dyDescent="0.3">
      <c r="A2052" s="251"/>
      <c r="B2052" s="251"/>
      <c r="C2052" s="252"/>
      <c r="D2052" s="251"/>
      <c r="E2052" s="253"/>
      <c r="F2052" s="157"/>
      <c r="G2052" s="249"/>
      <c r="H2052" s="249"/>
      <c r="I2052" s="249"/>
      <c r="J2052" s="249"/>
      <c r="K2052" s="249"/>
    </row>
    <row r="2053" spans="1:11" s="250" customFormat="1" ht="13.5" customHeight="1" x14ac:dyDescent="0.3">
      <c r="A2053" s="251"/>
      <c r="B2053" s="251"/>
      <c r="C2053" s="252"/>
      <c r="D2053" s="251"/>
      <c r="E2053" s="253"/>
      <c r="F2053" s="157"/>
      <c r="G2053" s="249"/>
      <c r="H2053" s="249"/>
      <c r="I2053" s="249"/>
      <c r="J2053" s="249"/>
      <c r="K2053" s="249"/>
    </row>
    <row r="2054" spans="1:11" s="250" customFormat="1" ht="13.5" customHeight="1" x14ac:dyDescent="0.3">
      <c r="A2054" s="251"/>
      <c r="B2054" s="251"/>
      <c r="C2054" s="252"/>
      <c r="D2054" s="251"/>
      <c r="E2054" s="253"/>
      <c r="F2054" s="157"/>
      <c r="G2054" s="249"/>
      <c r="H2054" s="249"/>
      <c r="I2054" s="249"/>
      <c r="J2054" s="249"/>
      <c r="K2054" s="249"/>
    </row>
    <row r="2055" spans="1:11" s="250" customFormat="1" ht="13.5" customHeight="1" x14ac:dyDescent="0.3">
      <c r="A2055" s="251"/>
      <c r="B2055" s="251"/>
      <c r="C2055" s="252"/>
      <c r="D2055" s="251"/>
      <c r="E2055" s="253"/>
      <c r="F2055" s="157"/>
      <c r="G2055" s="249"/>
      <c r="H2055" s="249"/>
      <c r="I2055" s="249"/>
      <c r="J2055" s="249"/>
      <c r="K2055" s="249"/>
    </row>
    <row r="2056" spans="1:11" s="250" customFormat="1" ht="13.5" customHeight="1" x14ac:dyDescent="0.3">
      <c r="A2056" s="251"/>
      <c r="B2056" s="251"/>
      <c r="C2056" s="252"/>
      <c r="D2056" s="251"/>
      <c r="E2056" s="253"/>
      <c r="F2056" s="157"/>
      <c r="G2056" s="249"/>
      <c r="H2056" s="249"/>
      <c r="I2056" s="249"/>
      <c r="J2056" s="249"/>
      <c r="K2056" s="249"/>
    </row>
    <row r="2057" spans="1:11" s="250" customFormat="1" ht="13.5" customHeight="1" x14ac:dyDescent="0.3">
      <c r="A2057" s="251"/>
      <c r="B2057" s="251"/>
      <c r="C2057" s="252"/>
      <c r="D2057" s="251"/>
      <c r="E2057" s="253"/>
      <c r="F2057" s="157"/>
      <c r="G2057" s="249"/>
      <c r="H2057" s="249"/>
      <c r="I2057" s="249"/>
      <c r="J2057" s="249"/>
      <c r="K2057" s="249"/>
    </row>
    <row r="2058" spans="1:11" s="250" customFormat="1" ht="13.5" customHeight="1" x14ac:dyDescent="0.3">
      <c r="A2058" s="251"/>
      <c r="B2058" s="251"/>
      <c r="C2058" s="252"/>
      <c r="D2058" s="251"/>
      <c r="E2058" s="253"/>
      <c r="F2058" s="157"/>
      <c r="G2058" s="249"/>
      <c r="H2058" s="249"/>
      <c r="I2058" s="249"/>
      <c r="J2058" s="249"/>
      <c r="K2058" s="249"/>
    </row>
    <row r="2059" spans="1:11" s="250" customFormat="1" ht="13.5" customHeight="1" x14ac:dyDescent="0.3">
      <c r="A2059" s="251"/>
      <c r="B2059" s="251"/>
      <c r="C2059" s="252"/>
      <c r="D2059" s="251"/>
      <c r="E2059" s="253"/>
      <c r="F2059" s="157"/>
      <c r="G2059" s="249"/>
      <c r="H2059" s="249"/>
      <c r="I2059" s="249"/>
      <c r="J2059" s="249"/>
      <c r="K2059" s="249"/>
    </row>
    <row r="2060" spans="1:11" s="250" customFormat="1" ht="13.5" customHeight="1" x14ac:dyDescent="0.3">
      <c r="A2060" s="251"/>
      <c r="B2060" s="251"/>
      <c r="C2060" s="252"/>
      <c r="D2060" s="251"/>
      <c r="E2060" s="253"/>
      <c r="F2060" s="157"/>
      <c r="G2060" s="249"/>
      <c r="H2060" s="249"/>
      <c r="I2060" s="249"/>
      <c r="J2060" s="249"/>
      <c r="K2060" s="249"/>
    </row>
    <row r="2061" spans="1:11" s="250" customFormat="1" ht="13.5" customHeight="1" x14ac:dyDescent="0.3">
      <c r="A2061" s="251"/>
      <c r="B2061" s="251"/>
      <c r="C2061" s="252"/>
      <c r="D2061" s="251"/>
      <c r="E2061" s="253"/>
      <c r="F2061" s="157"/>
      <c r="G2061" s="249"/>
      <c r="H2061" s="249"/>
      <c r="I2061" s="249"/>
      <c r="J2061" s="249"/>
      <c r="K2061" s="249"/>
    </row>
    <row r="2062" spans="1:11" s="250" customFormat="1" ht="13.5" customHeight="1" x14ac:dyDescent="0.3">
      <c r="A2062" s="251"/>
      <c r="B2062" s="251"/>
      <c r="C2062" s="252"/>
      <c r="D2062" s="251"/>
      <c r="E2062" s="253"/>
      <c r="F2062" s="157"/>
      <c r="G2062" s="249"/>
      <c r="H2062" s="249"/>
      <c r="I2062" s="249"/>
      <c r="J2062" s="249"/>
      <c r="K2062" s="249"/>
    </row>
    <row r="2063" spans="1:11" s="250" customFormat="1" ht="13.5" customHeight="1" x14ac:dyDescent="0.3">
      <c r="A2063" s="251"/>
      <c r="B2063" s="251"/>
      <c r="C2063" s="252"/>
      <c r="D2063" s="251"/>
      <c r="E2063" s="253"/>
      <c r="F2063" s="157"/>
      <c r="G2063" s="249"/>
      <c r="H2063" s="249"/>
      <c r="I2063" s="249"/>
      <c r="J2063" s="249"/>
      <c r="K2063" s="249"/>
    </row>
    <row r="2064" spans="1:11" s="250" customFormat="1" ht="13.5" customHeight="1" x14ac:dyDescent="0.3">
      <c r="A2064" s="251"/>
      <c r="B2064" s="251"/>
      <c r="C2064" s="252"/>
      <c r="D2064" s="251"/>
      <c r="E2064" s="253"/>
      <c r="F2064" s="157"/>
      <c r="G2064" s="249"/>
      <c r="H2064" s="249"/>
      <c r="I2064" s="249"/>
      <c r="J2064" s="249"/>
      <c r="K2064" s="249"/>
    </row>
    <row r="2065" spans="1:11" s="250" customFormat="1" ht="13.5" customHeight="1" x14ac:dyDescent="0.3">
      <c r="A2065" s="251"/>
      <c r="B2065" s="251"/>
      <c r="C2065" s="252"/>
      <c r="D2065" s="251"/>
      <c r="E2065" s="253"/>
      <c r="F2065" s="157"/>
      <c r="G2065" s="249"/>
      <c r="H2065" s="249"/>
      <c r="I2065" s="249"/>
      <c r="J2065" s="249"/>
      <c r="K2065" s="249"/>
    </row>
    <row r="2066" spans="1:11" s="250" customFormat="1" ht="13.5" customHeight="1" x14ac:dyDescent="0.3">
      <c r="A2066" s="251"/>
      <c r="B2066" s="251"/>
      <c r="C2066" s="252"/>
      <c r="D2066" s="251"/>
      <c r="E2066" s="253"/>
      <c r="F2066" s="157"/>
      <c r="G2066" s="249"/>
      <c r="H2066" s="249"/>
      <c r="I2066" s="249"/>
      <c r="J2066" s="249"/>
      <c r="K2066" s="249"/>
    </row>
    <row r="2067" spans="1:11" s="250" customFormat="1" ht="13.5" customHeight="1" x14ac:dyDescent="0.3">
      <c r="A2067" s="251"/>
      <c r="B2067" s="251"/>
      <c r="C2067" s="252"/>
      <c r="D2067" s="251"/>
      <c r="E2067" s="253"/>
      <c r="F2067" s="157"/>
      <c r="G2067" s="249"/>
      <c r="H2067" s="249"/>
      <c r="I2067" s="249"/>
      <c r="J2067" s="249"/>
      <c r="K2067" s="249"/>
    </row>
    <row r="2068" spans="1:11" s="250" customFormat="1" ht="13.5" customHeight="1" x14ac:dyDescent="0.3">
      <c r="A2068" s="251"/>
      <c r="B2068" s="251"/>
      <c r="C2068" s="252"/>
      <c r="D2068" s="251"/>
      <c r="E2068" s="253"/>
      <c r="F2068" s="157"/>
      <c r="G2068" s="249"/>
      <c r="H2068" s="249"/>
      <c r="I2068" s="249"/>
      <c r="J2068" s="249"/>
      <c r="K2068" s="249"/>
    </row>
    <row r="2069" spans="1:11" s="250" customFormat="1" ht="13.5" customHeight="1" x14ac:dyDescent="0.3">
      <c r="A2069" s="251"/>
      <c r="B2069" s="251"/>
      <c r="C2069" s="252"/>
      <c r="D2069" s="251"/>
      <c r="E2069" s="253"/>
      <c r="F2069" s="157"/>
      <c r="G2069" s="249"/>
      <c r="H2069" s="249"/>
      <c r="I2069" s="249"/>
      <c r="J2069" s="249"/>
      <c r="K2069" s="249"/>
    </row>
    <row r="2070" spans="1:11" s="250" customFormat="1" ht="13.5" customHeight="1" x14ac:dyDescent="0.3">
      <c r="A2070" s="251"/>
      <c r="B2070" s="251"/>
      <c r="C2070" s="252"/>
      <c r="D2070" s="251"/>
      <c r="E2070" s="253"/>
      <c r="F2070" s="157"/>
      <c r="G2070" s="249"/>
      <c r="H2070" s="249"/>
      <c r="I2070" s="249"/>
      <c r="J2070" s="249"/>
      <c r="K2070" s="249"/>
    </row>
    <row r="2071" spans="1:11" s="250" customFormat="1" ht="13.5" customHeight="1" x14ac:dyDescent="0.3">
      <c r="A2071" s="251"/>
      <c r="B2071" s="251"/>
      <c r="C2071" s="252"/>
      <c r="D2071" s="251"/>
      <c r="E2071" s="253"/>
      <c r="F2071" s="157"/>
      <c r="G2071" s="249"/>
      <c r="H2071" s="249"/>
      <c r="I2071" s="249"/>
      <c r="J2071" s="249"/>
      <c r="K2071" s="249"/>
    </row>
    <row r="2072" spans="1:11" s="250" customFormat="1" ht="13.5" customHeight="1" x14ac:dyDescent="0.3">
      <c r="A2072" s="251"/>
      <c r="B2072" s="251"/>
      <c r="C2072" s="252"/>
      <c r="D2072" s="251"/>
      <c r="E2072" s="253"/>
      <c r="F2072" s="157"/>
      <c r="G2072" s="249"/>
      <c r="H2072" s="249"/>
      <c r="I2072" s="249"/>
      <c r="J2072" s="249"/>
      <c r="K2072" s="249"/>
    </row>
    <row r="2073" spans="1:11" s="250" customFormat="1" ht="13.5" customHeight="1" x14ac:dyDescent="0.3">
      <c r="A2073" s="251"/>
      <c r="B2073" s="251"/>
      <c r="C2073" s="252"/>
      <c r="D2073" s="251"/>
      <c r="E2073" s="253"/>
      <c r="F2073" s="157"/>
      <c r="G2073" s="249"/>
      <c r="H2073" s="249"/>
      <c r="I2073" s="249"/>
      <c r="J2073" s="249"/>
      <c r="K2073" s="249"/>
    </row>
    <row r="2074" spans="1:11" s="250" customFormat="1" ht="13.5" customHeight="1" x14ac:dyDescent="0.3">
      <c r="A2074" s="251"/>
      <c r="B2074" s="251"/>
      <c r="C2074" s="252"/>
      <c r="D2074" s="251"/>
      <c r="E2074" s="253"/>
      <c r="F2074" s="157"/>
      <c r="G2074" s="249"/>
      <c r="H2074" s="249"/>
      <c r="I2074" s="249"/>
      <c r="J2074" s="249"/>
      <c r="K2074" s="249"/>
    </row>
    <row r="2075" spans="1:11" s="250" customFormat="1" ht="13.5" customHeight="1" x14ac:dyDescent="0.3">
      <c r="A2075" s="251"/>
      <c r="B2075" s="251"/>
      <c r="C2075" s="252"/>
      <c r="D2075" s="251"/>
      <c r="E2075" s="253"/>
      <c r="F2075" s="157"/>
      <c r="G2075" s="249"/>
      <c r="H2075" s="249"/>
      <c r="I2075" s="249"/>
      <c r="J2075" s="249"/>
      <c r="K2075" s="249"/>
    </row>
    <row r="2076" spans="1:11" s="250" customFormat="1" ht="13.5" customHeight="1" x14ac:dyDescent="0.3">
      <c r="A2076" s="251"/>
      <c r="B2076" s="251"/>
      <c r="C2076" s="252"/>
      <c r="D2076" s="251"/>
      <c r="E2076" s="253"/>
      <c r="F2076" s="157"/>
      <c r="G2076" s="249"/>
      <c r="H2076" s="249"/>
      <c r="I2076" s="249"/>
      <c r="J2076" s="249"/>
      <c r="K2076" s="249"/>
    </row>
    <row r="2077" spans="1:11" s="250" customFormat="1" ht="13.5" customHeight="1" x14ac:dyDescent="0.3">
      <c r="A2077" s="251"/>
      <c r="B2077" s="251"/>
      <c r="C2077" s="252"/>
      <c r="D2077" s="251"/>
      <c r="E2077" s="253"/>
      <c r="F2077" s="157"/>
      <c r="G2077" s="249"/>
      <c r="H2077" s="249"/>
      <c r="I2077" s="249"/>
      <c r="J2077" s="249"/>
      <c r="K2077" s="249"/>
    </row>
    <row r="2078" spans="1:11" s="250" customFormat="1" ht="13.5" customHeight="1" x14ac:dyDescent="0.3">
      <c r="A2078" s="251"/>
      <c r="B2078" s="251"/>
      <c r="C2078" s="252"/>
      <c r="D2078" s="251"/>
      <c r="E2078" s="253"/>
      <c r="F2078" s="157"/>
      <c r="G2078" s="249"/>
      <c r="H2078" s="249"/>
      <c r="I2078" s="249"/>
      <c r="J2078" s="249"/>
      <c r="K2078" s="249"/>
    </row>
    <row r="2079" spans="1:11" s="250" customFormat="1" ht="13.5" customHeight="1" x14ac:dyDescent="0.3">
      <c r="A2079" s="251"/>
      <c r="B2079" s="251"/>
      <c r="C2079" s="252"/>
      <c r="D2079" s="251"/>
      <c r="E2079" s="253"/>
      <c r="F2079" s="157"/>
      <c r="G2079" s="249"/>
      <c r="H2079" s="249"/>
      <c r="I2079" s="249"/>
      <c r="J2079" s="249"/>
      <c r="K2079" s="249"/>
    </row>
    <row r="2080" spans="1:11" s="250" customFormat="1" ht="13.5" customHeight="1" x14ac:dyDescent="0.3">
      <c r="A2080" s="251"/>
      <c r="B2080" s="251"/>
      <c r="C2080" s="252"/>
      <c r="D2080" s="251"/>
      <c r="E2080" s="253"/>
      <c r="F2080" s="157"/>
      <c r="G2080" s="249"/>
      <c r="H2080" s="249"/>
      <c r="I2080" s="249"/>
      <c r="J2080" s="249"/>
      <c r="K2080" s="249"/>
    </row>
    <row r="2081" spans="1:11" s="250" customFormat="1" ht="13.5" customHeight="1" x14ac:dyDescent="0.3">
      <c r="A2081" s="251"/>
      <c r="B2081" s="251"/>
      <c r="C2081" s="252"/>
      <c r="D2081" s="251"/>
      <c r="E2081" s="253"/>
      <c r="F2081" s="157"/>
      <c r="G2081" s="249"/>
      <c r="H2081" s="249"/>
      <c r="I2081" s="249"/>
      <c r="J2081" s="249"/>
      <c r="K2081" s="249"/>
    </row>
    <row r="2082" spans="1:11" s="250" customFormat="1" ht="13.5" customHeight="1" x14ac:dyDescent="0.3">
      <c r="A2082" s="251"/>
      <c r="B2082" s="251"/>
      <c r="C2082" s="252"/>
      <c r="D2082" s="251"/>
      <c r="E2082" s="253"/>
      <c r="F2082" s="157"/>
      <c r="G2082" s="249"/>
      <c r="H2082" s="249"/>
      <c r="I2082" s="249"/>
      <c r="J2082" s="249"/>
      <c r="K2082" s="249"/>
    </row>
    <row r="2083" spans="1:11" s="250" customFormat="1" ht="13.5" customHeight="1" x14ac:dyDescent="0.3">
      <c r="A2083" s="251"/>
      <c r="B2083" s="251"/>
      <c r="C2083" s="252"/>
      <c r="D2083" s="251"/>
      <c r="E2083" s="253"/>
      <c r="F2083" s="157"/>
      <c r="G2083" s="249"/>
      <c r="H2083" s="249"/>
      <c r="I2083" s="249"/>
      <c r="J2083" s="249"/>
      <c r="K2083" s="249"/>
    </row>
    <row r="2084" spans="1:11" s="250" customFormat="1" ht="13.5" customHeight="1" x14ac:dyDescent="0.3">
      <c r="A2084" s="251"/>
      <c r="B2084" s="251"/>
      <c r="C2084" s="252"/>
      <c r="D2084" s="251"/>
      <c r="E2084" s="253"/>
      <c r="F2084" s="157"/>
      <c r="G2084" s="249"/>
      <c r="H2084" s="249"/>
      <c r="I2084" s="249"/>
      <c r="J2084" s="249"/>
      <c r="K2084" s="249"/>
    </row>
    <row r="2085" spans="1:11" s="250" customFormat="1" ht="13.5" customHeight="1" x14ac:dyDescent="0.3">
      <c r="A2085" s="251"/>
      <c r="B2085" s="251"/>
      <c r="C2085" s="252"/>
      <c r="D2085" s="251"/>
      <c r="E2085" s="253"/>
      <c r="F2085" s="157"/>
      <c r="G2085" s="249"/>
      <c r="H2085" s="249"/>
      <c r="I2085" s="249"/>
      <c r="J2085" s="249"/>
      <c r="K2085" s="249"/>
    </row>
    <row r="2086" spans="1:11" s="250" customFormat="1" ht="13.5" customHeight="1" x14ac:dyDescent="0.3">
      <c r="A2086" s="251"/>
      <c r="B2086" s="251"/>
      <c r="C2086" s="252"/>
      <c r="D2086" s="251"/>
      <c r="E2086" s="253"/>
      <c r="F2086" s="157"/>
      <c r="G2086" s="249"/>
      <c r="H2086" s="249"/>
      <c r="I2086" s="249"/>
      <c r="J2086" s="249"/>
      <c r="K2086" s="249"/>
    </row>
    <row r="2087" spans="1:11" s="250" customFormat="1" ht="13.5" customHeight="1" x14ac:dyDescent="0.3">
      <c r="A2087" s="251"/>
      <c r="B2087" s="251"/>
      <c r="C2087" s="252"/>
      <c r="D2087" s="251"/>
      <c r="E2087" s="253"/>
      <c r="F2087" s="157"/>
      <c r="G2087" s="249"/>
      <c r="H2087" s="249"/>
      <c r="I2087" s="249"/>
      <c r="J2087" s="249"/>
      <c r="K2087" s="249"/>
    </row>
    <row r="2088" spans="1:11" s="250" customFormat="1" ht="13.5" customHeight="1" x14ac:dyDescent="0.3">
      <c r="A2088" s="251"/>
      <c r="B2088" s="251"/>
      <c r="C2088" s="252"/>
      <c r="D2088" s="251"/>
      <c r="E2088" s="253"/>
      <c r="F2088" s="157"/>
      <c r="G2088" s="249"/>
      <c r="H2088" s="249"/>
      <c r="I2088" s="249"/>
      <c r="J2088" s="249"/>
      <c r="K2088" s="249"/>
    </row>
    <row r="2089" spans="1:11" s="250" customFormat="1" ht="13.5" customHeight="1" x14ac:dyDescent="0.3">
      <c r="A2089" s="251"/>
      <c r="B2089" s="251"/>
      <c r="C2089" s="252"/>
      <c r="D2089" s="251"/>
      <c r="E2089" s="253"/>
      <c r="F2089" s="157"/>
      <c r="G2089" s="249"/>
      <c r="H2089" s="249"/>
      <c r="I2089" s="249"/>
      <c r="J2089" s="249"/>
      <c r="K2089" s="249"/>
    </row>
    <row r="2090" spans="1:11" s="250" customFormat="1" ht="13.5" customHeight="1" x14ac:dyDescent="0.3">
      <c r="A2090" s="251"/>
      <c r="B2090" s="251"/>
      <c r="C2090" s="252"/>
      <c r="D2090" s="251"/>
      <c r="E2090" s="253"/>
      <c r="F2090" s="157"/>
      <c r="G2090" s="249"/>
      <c r="H2090" s="249"/>
      <c r="I2090" s="249"/>
      <c r="J2090" s="249"/>
      <c r="K2090" s="249"/>
    </row>
    <row r="2091" spans="1:11" s="250" customFormat="1" ht="13.5" customHeight="1" x14ac:dyDescent="0.3">
      <c r="A2091" s="251"/>
      <c r="B2091" s="251"/>
      <c r="C2091" s="252"/>
      <c r="D2091" s="251"/>
      <c r="E2091" s="253"/>
      <c r="F2091" s="157"/>
      <c r="G2091" s="249"/>
      <c r="H2091" s="249"/>
      <c r="I2091" s="249"/>
      <c r="J2091" s="249"/>
      <c r="K2091" s="249"/>
    </row>
    <row r="2092" spans="1:11" s="250" customFormat="1" ht="13.5" customHeight="1" x14ac:dyDescent="0.3">
      <c r="A2092" s="251"/>
      <c r="B2092" s="251"/>
      <c r="C2092" s="252"/>
      <c r="D2092" s="251"/>
      <c r="E2092" s="253"/>
      <c r="F2092" s="157"/>
      <c r="G2092" s="249"/>
      <c r="H2092" s="249"/>
      <c r="I2092" s="249"/>
      <c r="J2092" s="249"/>
      <c r="K2092" s="249"/>
    </row>
    <row r="2093" spans="1:11" s="250" customFormat="1" ht="13.5" customHeight="1" x14ac:dyDescent="0.3">
      <c r="A2093" s="251"/>
      <c r="B2093" s="251"/>
      <c r="C2093" s="252"/>
      <c r="D2093" s="251"/>
      <c r="E2093" s="253"/>
      <c r="F2093" s="157"/>
      <c r="G2093" s="249"/>
      <c r="H2093" s="249"/>
      <c r="I2093" s="249"/>
      <c r="J2093" s="249"/>
      <c r="K2093" s="249"/>
    </row>
    <row r="2094" spans="1:11" s="250" customFormat="1" ht="13.5" customHeight="1" x14ac:dyDescent="0.3">
      <c r="A2094" s="251"/>
      <c r="B2094" s="251"/>
      <c r="C2094" s="252"/>
      <c r="D2094" s="251"/>
      <c r="E2094" s="253"/>
      <c r="F2094" s="157"/>
      <c r="G2094" s="249"/>
      <c r="H2094" s="249"/>
      <c r="I2094" s="249"/>
      <c r="J2094" s="249"/>
      <c r="K2094" s="249"/>
    </row>
    <row r="2095" spans="1:11" s="250" customFormat="1" ht="13.5" customHeight="1" x14ac:dyDescent="0.3">
      <c r="A2095" s="251"/>
      <c r="B2095" s="251"/>
      <c r="C2095" s="252"/>
      <c r="D2095" s="251"/>
      <c r="E2095" s="253"/>
      <c r="F2095" s="157"/>
      <c r="G2095" s="249"/>
      <c r="H2095" s="249"/>
      <c r="I2095" s="249"/>
      <c r="J2095" s="249"/>
      <c r="K2095" s="249"/>
    </row>
    <row r="2096" spans="1:11" s="250" customFormat="1" ht="13.5" customHeight="1" x14ac:dyDescent="0.3">
      <c r="A2096" s="251"/>
      <c r="B2096" s="251"/>
      <c r="C2096" s="252"/>
      <c r="D2096" s="251"/>
      <c r="E2096" s="253"/>
      <c r="F2096" s="157"/>
      <c r="G2096" s="249"/>
      <c r="H2096" s="249"/>
      <c r="I2096" s="249"/>
      <c r="J2096" s="249"/>
      <c r="K2096" s="249"/>
    </row>
    <row r="2097" spans="1:11" s="250" customFormat="1" ht="13.5" customHeight="1" x14ac:dyDescent="0.3">
      <c r="A2097" s="251"/>
      <c r="B2097" s="251"/>
      <c r="C2097" s="252"/>
      <c r="D2097" s="251"/>
      <c r="E2097" s="253"/>
      <c r="F2097" s="157"/>
      <c r="G2097" s="249"/>
      <c r="H2097" s="249"/>
      <c r="I2097" s="249"/>
      <c r="J2097" s="249"/>
      <c r="K2097" s="249"/>
    </row>
    <row r="2098" spans="1:11" s="250" customFormat="1" ht="13.5" customHeight="1" x14ac:dyDescent="0.3">
      <c r="A2098" s="251"/>
      <c r="B2098" s="251"/>
      <c r="C2098" s="252"/>
      <c r="D2098" s="251"/>
      <c r="E2098" s="253"/>
      <c r="F2098" s="157"/>
      <c r="G2098" s="249"/>
      <c r="H2098" s="249"/>
      <c r="I2098" s="249"/>
      <c r="J2098" s="249"/>
      <c r="K2098" s="249"/>
    </row>
    <row r="2099" spans="1:11" s="250" customFormat="1" ht="13.5" customHeight="1" x14ac:dyDescent="0.3">
      <c r="A2099" s="251"/>
      <c r="B2099" s="251"/>
      <c r="C2099" s="252"/>
      <c r="D2099" s="251"/>
      <c r="E2099" s="253"/>
      <c r="F2099" s="157"/>
      <c r="G2099" s="249"/>
      <c r="H2099" s="249"/>
      <c r="I2099" s="249"/>
      <c r="J2099" s="249"/>
      <c r="K2099" s="249"/>
    </row>
    <row r="2100" spans="1:11" s="250" customFormat="1" ht="13.5" customHeight="1" x14ac:dyDescent="0.3">
      <c r="A2100" s="251"/>
      <c r="B2100" s="251"/>
      <c r="C2100" s="252"/>
      <c r="D2100" s="251"/>
      <c r="E2100" s="253"/>
      <c r="F2100" s="157"/>
      <c r="G2100" s="249"/>
      <c r="H2100" s="249"/>
      <c r="I2100" s="249"/>
      <c r="J2100" s="249"/>
      <c r="K2100" s="249"/>
    </row>
    <row r="2101" spans="1:11" s="250" customFormat="1" ht="13.5" customHeight="1" x14ac:dyDescent="0.3">
      <c r="A2101" s="251"/>
      <c r="B2101" s="251"/>
      <c r="C2101" s="252"/>
      <c r="D2101" s="251"/>
      <c r="E2101" s="253"/>
      <c r="F2101" s="157"/>
      <c r="G2101" s="249"/>
      <c r="H2101" s="249"/>
      <c r="I2101" s="249"/>
      <c r="J2101" s="249"/>
      <c r="K2101" s="249"/>
    </row>
    <row r="2102" spans="1:11" s="250" customFormat="1" ht="13.5" customHeight="1" x14ac:dyDescent="0.3">
      <c r="A2102" s="251"/>
      <c r="B2102" s="251"/>
      <c r="C2102" s="252"/>
      <c r="D2102" s="251"/>
      <c r="E2102" s="253"/>
      <c r="F2102" s="157"/>
      <c r="G2102" s="249"/>
      <c r="H2102" s="249"/>
      <c r="I2102" s="249"/>
      <c r="J2102" s="249"/>
      <c r="K2102" s="249"/>
    </row>
    <row r="2103" spans="1:11" s="250" customFormat="1" ht="13.5" customHeight="1" x14ac:dyDescent="0.3">
      <c r="A2103" s="251"/>
      <c r="B2103" s="251"/>
      <c r="C2103" s="252"/>
      <c r="D2103" s="251"/>
      <c r="E2103" s="253"/>
      <c r="F2103" s="157"/>
      <c r="G2103" s="249"/>
      <c r="H2103" s="249"/>
      <c r="I2103" s="249"/>
      <c r="J2103" s="249"/>
      <c r="K2103" s="249"/>
    </row>
    <row r="2104" spans="1:11" s="250" customFormat="1" ht="13.5" customHeight="1" x14ac:dyDescent="0.3">
      <c r="A2104" s="251"/>
      <c r="B2104" s="251"/>
      <c r="C2104" s="252"/>
      <c r="D2104" s="251"/>
      <c r="E2104" s="253"/>
      <c r="F2104" s="157"/>
      <c r="G2104" s="249"/>
      <c r="H2104" s="249"/>
      <c r="I2104" s="249"/>
      <c r="J2104" s="249"/>
      <c r="K2104" s="249"/>
    </row>
    <row r="2105" spans="1:11" s="250" customFormat="1" ht="13.5" customHeight="1" x14ac:dyDescent="0.3">
      <c r="A2105" s="251"/>
      <c r="B2105" s="251"/>
      <c r="C2105" s="252"/>
      <c r="D2105" s="251"/>
      <c r="E2105" s="253"/>
      <c r="F2105" s="157"/>
      <c r="G2105" s="249"/>
      <c r="H2105" s="249"/>
      <c r="I2105" s="249"/>
      <c r="J2105" s="249"/>
      <c r="K2105" s="249"/>
    </row>
    <row r="2106" spans="1:11" s="250" customFormat="1" ht="13.5" customHeight="1" x14ac:dyDescent="0.3">
      <c r="A2106" s="251"/>
      <c r="B2106" s="251"/>
      <c r="C2106" s="252"/>
      <c r="D2106" s="251"/>
      <c r="E2106" s="253"/>
      <c r="F2106" s="157"/>
      <c r="G2106" s="249"/>
      <c r="H2106" s="249"/>
      <c r="I2106" s="249"/>
      <c r="J2106" s="249"/>
      <c r="K2106" s="249"/>
    </row>
    <row r="2107" spans="1:11" s="250" customFormat="1" ht="13.5" customHeight="1" x14ac:dyDescent="0.3">
      <c r="A2107" s="251"/>
      <c r="B2107" s="251"/>
      <c r="C2107" s="252"/>
      <c r="D2107" s="251"/>
      <c r="E2107" s="253"/>
      <c r="F2107" s="157"/>
      <c r="G2107" s="249"/>
      <c r="H2107" s="249"/>
      <c r="I2107" s="249"/>
      <c r="J2107" s="249"/>
      <c r="K2107" s="249"/>
    </row>
    <row r="2108" spans="1:11" s="250" customFormat="1" ht="13.5" customHeight="1" x14ac:dyDescent="0.3">
      <c r="A2108" s="251"/>
      <c r="B2108" s="251"/>
      <c r="C2108" s="252"/>
      <c r="D2108" s="251"/>
      <c r="E2108" s="253"/>
      <c r="F2108" s="157"/>
      <c r="G2108" s="249"/>
      <c r="H2108" s="249"/>
      <c r="I2108" s="249"/>
      <c r="J2108" s="249"/>
      <c r="K2108" s="249"/>
    </row>
    <row r="2109" spans="1:11" s="250" customFormat="1" ht="13.5" customHeight="1" x14ac:dyDescent="0.3">
      <c r="A2109" s="251"/>
      <c r="B2109" s="251"/>
      <c r="C2109" s="252"/>
      <c r="D2109" s="251"/>
      <c r="E2109" s="253"/>
      <c r="F2109" s="157"/>
      <c r="G2109" s="249"/>
      <c r="H2109" s="249"/>
      <c r="I2109" s="249"/>
      <c r="J2109" s="249"/>
      <c r="K2109" s="249"/>
    </row>
    <row r="2110" spans="1:11" s="250" customFormat="1" ht="13.5" customHeight="1" x14ac:dyDescent="0.3">
      <c r="A2110" s="251"/>
      <c r="B2110" s="251"/>
      <c r="C2110" s="252"/>
      <c r="D2110" s="251"/>
      <c r="E2110" s="253"/>
      <c r="F2110" s="157"/>
      <c r="G2110" s="249"/>
      <c r="H2110" s="249"/>
      <c r="I2110" s="249"/>
      <c r="J2110" s="249"/>
      <c r="K2110" s="249"/>
    </row>
    <row r="2111" spans="1:11" s="250" customFormat="1" ht="13.5" customHeight="1" x14ac:dyDescent="0.3">
      <c r="A2111" s="251"/>
      <c r="B2111" s="251"/>
      <c r="C2111" s="252"/>
      <c r="D2111" s="251"/>
      <c r="E2111" s="253"/>
      <c r="F2111" s="157"/>
      <c r="G2111" s="249"/>
      <c r="H2111" s="249"/>
      <c r="I2111" s="249"/>
      <c r="J2111" s="249"/>
      <c r="K2111" s="249"/>
    </row>
    <row r="2112" spans="1:11" s="250" customFormat="1" ht="13.5" customHeight="1" x14ac:dyDescent="0.3">
      <c r="A2112" s="251"/>
      <c r="B2112" s="251"/>
      <c r="C2112" s="252"/>
      <c r="D2112" s="251"/>
      <c r="E2112" s="253"/>
      <c r="F2112" s="157"/>
      <c r="G2112" s="249"/>
      <c r="H2112" s="249"/>
      <c r="I2112" s="249"/>
      <c r="J2112" s="249"/>
      <c r="K2112" s="249"/>
    </row>
    <row r="2113" spans="1:11" s="250" customFormat="1" ht="13.5" customHeight="1" x14ac:dyDescent="0.3">
      <c r="A2113" s="251"/>
      <c r="B2113" s="251"/>
      <c r="C2113" s="252"/>
      <c r="D2113" s="251"/>
      <c r="E2113" s="253"/>
      <c r="F2113" s="157"/>
      <c r="G2113" s="249"/>
      <c r="H2113" s="249"/>
      <c r="I2113" s="249"/>
      <c r="J2113" s="249"/>
      <c r="K2113" s="249"/>
    </row>
    <row r="2114" spans="1:11" s="250" customFormat="1" ht="13.5" customHeight="1" x14ac:dyDescent="0.3">
      <c r="A2114" s="251"/>
      <c r="B2114" s="251"/>
      <c r="C2114" s="252"/>
      <c r="D2114" s="251"/>
      <c r="E2114" s="253"/>
      <c r="F2114" s="157"/>
      <c r="G2114" s="249"/>
      <c r="H2114" s="249"/>
      <c r="I2114" s="249"/>
      <c r="J2114" s="249"/>
      <c r="K2114" s="249"/>
    </row>
    <row r="2115" spans="1:11" s="250" customFormat="1" ht="13.5" customHeight="1" x14ac:dyDescent="0.3">
      <c r="A2115" s="251"/>
      <c r="B2115" s="251"/>
      <c r="C2115" s="252"/>
      <c r="D2115" s="251"/>
      <c r="E2115" s="253"/>
      <c r="F2115" s="157"/>
      <c r="G2115" s="249"/>
      <c r="H2115" s="249"/>
      <c r="I2115" s="249"/>
      <c r="J2115" s="249"/>
      <c r="K2115" s="249"/>
    </row>
    <row r="2116" spans="1:11" s="250" customFormat="1" ht="13.5" customHeight="1" x14ac:dyDescent="0.3">
      <c r="A2116" s="251"/>
      <c r="B2116" s="251"/>
      <c r="C2116" s="252"/>
      <c r="D2116" s="251"/>
      <c r="E2116" s="253"/>
      <c r="F2116" s="157"/>
      <c r="G2116" s="249"/>
      <c r="H2116" s="249"/>
      <c r="I2116" s="249"/>
      <c r="J2116" s="249"/>
      <c r="K2116" s="249"/>
    </row>
    <row r="2117" spans="1:11" s="250" customFormat="1" ht="13.5" customHeight="1" x14ac:dyDescent="0.3">
      <c r="A2117" s="251"/>
      <c r="B2117" s="251"/>
      <c r="C2117" s="252"/>
      <c r="D2117" s="251"/>
      <c r="E2117" s="253"/>
      <c r="F2117" s="157"/>
      <c r="G2117" s="249"/>
      <c r="H2117" s="249"/>
      <c r="I2117" s="249"/>
      <c r="J2117" s="249"/>
      <c r="K2117" s="249"/>
    </row>
    <row r="2118" spans="1:11" s="250" customFormat="1" ht="13.5" customHeight="1" x14ac:dyDescent="0.3">
      <c r="A2118" s="251"/>
      <c r="B2118" s="251"/>
      <c r="C2118" s="252"/>
      <c r="D2118" s="251"/>
      <c r="E2118" s="253"/>
      <c r="F2118" s="157"/>
      <c r="G2118" s="249"/>
      <c r="H2118" s="249"/>
      <c r="I2118" s="249"/>
      <c r="J2118" s="249"/>
      <c r="K2118" s="249"/>
    </row>
    <row r="2119" spans="1:11" s="250" customFormat="1" ht="13.5" customHeight="1" x14ac:dyDescent="0.3">
      <c r="A2119" s="251"/>
      <c r="B2119" s="251"/>
      <c r="C2119" s="252"/>
      <c r="D2119" s="251"/>
      <c r="E2119" s="253"/>
      <c r="F2119" s="157"/>
      <c r="G2119" s="249"/>
      <c r="H2119" s="249"/>
      <c r="I2119" s="249"/>
      <c r="J2119" s="249"/>
      <c r="K2119" s="249"/>
    </row>
    <row r="2120" spans="1:11" s="250" customFormat="1" ht="13.5" customHeight="1" x14ac:dyDescent="0.3">
      <c r="A2120" s="251"/>
      <c r="B2120" s="251"/>
      <c r="C2120" s="252"/>
      <c r="D2120" s="251"/>
      <c r="E2120" s="253"/>
      <c r="F2120" s="157"/>
      <c r="G2120" s="249"/>
      <c r="H2120" s="249"/>
      <c r="I2120" s="249"/>
      <c r="J2120" s="249"/>
      <c r="K2120" s="249"/>
    </row>
    <row r="2121" spans="1:11" s="250" customFormat="1" ht="13.5" customHeight="1" x14ac:dyDescent="0.3">
      <c r="A2121" s="251"/>
      <c r="B2121" s="251"/>
      <c r="C2121" s="252"/>
      <c r="D2121" s="251"/>
      <c r="E2121" s="253"/>
      <c r="F2121" s="157"/>
      <c r="G2121" s="249"/>
      <c r="H2121" s="249"/>
      <c r="I2121" s="249"/>
      <c r="J2121" s="249"/>
      <c r="K2121" s="249"/>
    </row>
    <row r="2122" spans="1:11" s="250" customFormat="1" ht="13.5" customHeight="1" x14ac:dyDescent="0.3">
      <c r="A2122" s="251"/>
      <c r="B2122" s="251"/>
      <c r="C2122" s="252"/>
      <c r="D2122" s="251"/>
      <c r="E2122" s="253"/>
      <c r="F2122" s="157"/>
      <c r="G2122" s="249"/>
      <c r="H2122" s="249"/>
      <c r="I2122" s="249"/>
      <c r="J2122" s="249"/>
      <c r="K2122" s="249"/>
    </row>
    <row r="2123" spans="1:11" s="250" customFormat="1" ht="13.5" customHeight="1" x14ac:dyDescent="0.3">
      <c r="A2123" s="251"/>
      <c r="B2123" s="251"/>
      <c r="C2123" s="252"/>
      <c r="D2123" s="251"/>
      <c r="E2123" s="253"/>
      <c r="F2123" s="157"/>
      <c r="G2123" s="249"/>
      <c r="H2123" s="249"/>
      <c r="I2123" s="249"/>
      <c r="J2123" s="249"/>
      <c r="K2123" s="249"/>
    </row>
    <row r="2124" spans="1:11" s="250" customFormat="1" ht="13.5" customHeight="1" x14ac:dyDescent="0.3">
      <c r="A2124" s="251"/>
      <c r="B2124" s="251"/>
      <c r="C2124" s="252"/>
      <c r="D2124" s="251"/>
      <c r="E2124" s="253"/>
      <c r="F2124" s="157"/>
      <c r="G2124" s="249"/>
      <c r="H2124" s="249"/>
      <c r="I2124" s="249"/>
      <c r="J2124" s="249"/>
      <c r="K2124" s="249"/>
    </row>
    <row r="2125" spans="1:11" s="250" customFormat="1" ht="13.5" customHeight="1" x14ac:dyDescent="0.3">
      <c r="A2125" s="251"/>
      <c r="B2125" s="251"/>
      <c r="C2125" s="252"/>
      <c r="D2125" s="251"/>
      <c r="E2125" s="253"/>
      <c r="F2125" s="157"/>
      <c r="G2125" s="249"/>
      <c r="H2125" s="249"/>
      <c r="I2125" s="249"/>
      <c r="J2125" s="249"/>
      <c r="K2125" s="249"/>
    </row>
    <row r="2126" spans="1:11" s="250" customFormat="1" ht="13.5" customHeight="1" x14ac:dyDescent="0.3">
      <c r="A2126" s="251"/>
      <c r="B2126" s="251"/>
      <c r="C2126" s="252"/>
      <c r="D2126" s="251"/>
      <c r="E2126" s="253"/>
      <c r="F2126" s="157"/>
      <c r="G2126" s="249"/>
      <c r="H2126" s="249"/>
      <c r="I2126" s="249"/>
      <c r="J2126" s="249"/>
      <c r="K2126" s="249"/>
    </row>
    <row r="2127" spans="1:11" s="250" customFormat="1" ht="13.5" customHeight="1" x14ac:dyDescent="0.3">
      <c r="A2127" s="251"/>
      <c r="B2127" s="251"/>
      <c r="C2127" s="252"/>
      <c r="D2127" s="251"/>
      <c r="E2127" s="253"/>
      <c r="F2127" s="157"/>
      <c r="G2127" s="249"/>
      <c r="H2127" s="249"/>
      <c r="I2127" s="249"/>
      <c r="J2127" s="249"/>
      <c r="K2127" s="249"/>
    </row>
    <row r="2128" spans="1:11" s="250" customFormat="1" ht="13.5" customHeight="1" x14ac:dyDescent="0.3">
      <c r="A2128" s="251"/>
      <c r="B2128" s="251"/>
      <c r="C2128" s="252"/>
      <c r="D2128" s="251"/>
      <c r="E2128" s="253"/>
      <c r="F2128" s="157"/>
      <c r="G2128" s="249"/>
      <c r="H2128" s="249"/>
      <c r="I2128" s="249"/>
      <c r="J2128" s="249"/>
      <c r="K2128" s="249"/>
    </row>
    <row r="2129" spans="1:11" s="250" customFormat="1" ht="13.5" customHeight="1" x14ac:dyDescent="0.3">
      <c r="A2129" s="251"/>
      <c r="B2129" s="251"/>
      <c r="C2129" s="252"/>
      <c r="D2129" s="251"/>
      <c r="E2129" s="253"/>
      <c r="F2129" s="157"/>
      <c r="G2129" s="249"/>
      <c r="H2129" s="249"/>
      <c r="I2129" s="249"/>
      <c r="J2129" s="249"/>
      <c r="K2129" s="249"/>
    </row>
    <row r="2130" spans="1:11" s="250" customFormat="1" ht="13.5" customHeight="1" x14ac:dyDescent="0.3">
      <c r="A2130" s="251"/>
      <c r="B2130" s="251"/>
      <c r="C2130" s="252"/>
      <c r="D2130" s="251"/>
      <c r="E2130" s="253"/>
      <c r="F2130" s="157"/>
      <c r="G2130" s="249"/>
      <c r="H2130" s="249"/>
      <c r="I2130" s="249"/>
      <c r="J2130" s="249"/>
      <c r="K2130" s="249"/>
    </row>
    <row r="2131" spans="1:11" s="250" customFormat="1" ht="13.5" customHeight="1" x14ac:dyDescent="0.3">
      <c r="A2131" s="251"/>
      <c r="B2131" s="251"/>
      <c r="C2131" s="252"/>
      <c r="D2131" s="251"/>
      <c r="E2131" s="253"/>
      <c r="F2131" s="157"/>
      <c r="G2131" s="249"/>
      <c r="H2131" s="249"/>
      <c r="I2131" s="249"/>
      <c r="J2131" s="249"/>
      <c r="K2131" s="249"/>
    </row>
    <row r="2132" spans="1:11" s="250" customFormat="1" ht="13.5" customHeight="1" x14ac:dyDescent="0.3">
      <c r="A2132" s="251"/>
      <c r="B2132" s="251"/>
      <c r="C2132" s="252"/>
      <c r="D2132" s="251"/>
      <c r="E2132" s="253"/>
      <c r="F2132" s="157"/>
      <c r="G2132" s="249"/>
      <c r="H2132" s="249"/>
      <c r="I2132" s="249"/>
      <c r="J2132" s="249"/>
      <c r="K2132" s="249"/>
    </row>
    <row r="2133" spans="1:11" s="250" customFormat="1" ht="13.5" customHeight="1" x14ac:dyDescent="0.3">
      <c r="A2133" s="251"/>
      <c r="B2133" s="251"/>
      <c r="C2133" s="252"/>
      <c r="D2133" s="251"/>
      <c r="E2133" s="253"/>
      <c r="F2133" s="157"/>
      <c r="G2133" s="249"/>
      <c r="H2133" s="249"/>
      <c r="I2133" s="249"/>
      <c r="J2133" s="249"/>
      <c r="K2133" s="249"/>
    </row>
    <row r="2134" spans="1:11" s="250" customFormat="1" ht="13.5" customHeight="1" x14ac:dyDescent="0.3">
      <c r="A2134" s="251"/>
      <c r="B2134" s="251"/>
      <c r="C2134" s="252"/>
      <c r="D2134" s="251"/>
      <c r="E2134" s="253"/>
      <c r="F2134" s="157"/>
      <c r="G2134" s="249"/>
      <c r="H2134" s="249"/>
      <c r="I2134" s="249"/>
      <c r="J2134" s="249"/>
      <c r="K2134" s="249"/>
    </row>
    <row r="2135" spans="1:11" s="250" customFormat="1" ht="13.5" customHeight="1" x14ac:dyDescent="0.3">
      <c r="A2135" s="251"/>
      <c r="B2135" s="251"/>
      <c r="C2135" s="252"/>
      <c r="D2135" s="251"/>
      <c r="E2135" s="253"/>
      <c r="F2135" s="157"/>
      <c r="G2135" s="249"/>
      <c r="H2135" s="249"/>
      <c r="I2135" s="249"/>
      <c r="J2135" s="249"/>
      <c r="K2135" s="249"/>
    </row>
    <row r="2136" spans="1:11" s="250" customFormat="1" ht="13.5" customHeight="1" x14ac:dyDescent="0.3">
      <c r="A2136" s="251"/>
      <c r="B2136" s="251"/>
      <c r="C2136" s="252"/>
      <c r="D2136" s="251"/>
      <c r="E2136" s="253"/>
      <c r="F2136" s="157"/>
      <c r="G2136" s="249"/>
      <c r="H2136" s="249"/>
      <c r="I2136" s="249"/>
      <c r="J2136" s="249"/>
      <c r="K2136" s="249"/>
    </row>
    <row r="2137" spans="1:11" s="250" customFormat="1" ht="13.5" customHeight="1" x14ac:dyDescent="0.3">
      <c r="A2137" s="251"/>
      <c r="B2137" s="251"/>
      <c r="C2137" s="252"/>
      <c r="D2137" s="251"/>
      <c r="E2137" s="253"/>
      <c r="F2137" s="157"/>
      <c r="G2137" s="249"/>
      <c r="H2137" s="249"/>
      <c r="I2137" s="249"/>
      <c r="J2137" s="249"/>
      <c r="K2137" s="249"/>
    </row>
    <row r="2138" spans="1:11" s="250" customFormat="1" ht="13.5" customHeight="1" x14ac:dyDescent="0.3">
      <c r="A2138" s="251"/>
      <c r="B2138" s="251"/>
      <c r="C2138" s="252"/>
      <c r="D2138" s="251"/>
      <c r="E2138" s="253"/>
      <c r="F2138" s="157"/>
      <c r="G2138" s="249"/>
      <c r="H2138" s="249"/>
      <c r="I2138" s="249"/>
      <c r="J2138" s="249"/>
      <c r="K2138" s="249"/>
    </row>
    <row r="2139" spans="1:11" s="250" customFormat="1" ht="13.5" customHeight="1" x14ac:dyDescent="0.3">
      <c r="A2139" s="251"/>
      <c r="B2139" s="251"/>
      <c r="C2139" s="252"/>
      <c r="D2139" s="251"/>
      <c r="E2139" s="253"/>
      <c r="F2139" s="157"/>
      <c r="G2139" s="249"/>
      <c r="H2139" s="249"/>
      <c r="I2139" s="249"/>
      <c r="J2139" s="249"/>
      <c r="K2139" s="249"/>
    </row>
    <row r="2140" spans="1:11" s="250" customFormat="1" ht="13.5" customHeight="1" x14ac:dyDescent="0.3">
      <c r="A2140" s="251"/>
      <c r="B2140" s="251"/>
      <c r="C2140" s="252"/>
      <c r="D2140" s="251"/>
      <c r="E2140" s="253"/>
      <c r="F2140" s="157"/>
      <c r="G2140" s="249"/>
      <c r="H2140" s="249"/>
      <c r="I2140" s="249"/>
      <c r="J2140" s="249"/>
      <c r="K2140" s="249"/>
    </row>
    <row r="2141" spans="1:11" s="250" customFormat="1" ht="13.5" customHeight="1" x14ac:dyDescent="0.3">
      <c r="A2141" s="251"/>
      <c r="B2141" s="251"/>
      <c r="C2141" s="252"/>
      <c r="D2141" s="251"/>
      <c r="E2141" s="253"/>
      <c r="F2141" s="157"/>
      <c r="G2141" s="249"/>
      <c r="H2141" s="249"/>
      <c r="I2141" s="249"/>
      <c r="J2141" s="249"/>
      <c r="K2141" s="249"/>
    </row>
    <row r="2142" spans="1:11" s="250" customFormat="1" ht="13.5" customHeight="1" x14ac:dyDescent="0.3">
      <c r="A2142" s="251"/>
      <c r="B2142" s="251"/>
      <c r="C2142" s="252"/>
      <c r="D2142" s="251"/>
      <c r="E2142" s="253"/>
      <c r="F2142" s="157"/>
      <c r="G2142" s="249"/>
      <c r="H2142" s="249"/>
      <c r="I2142" s="249"/>
      <c r="J2142" s="249"/>
      <c r="K2142" s="249"/>
    </row>
    <row r="2143" spans="1:11" s="250" customFormat="1" ht="13.5" customHeight="1" x14ac:dyDescent="0.3">
      <c r="A2143" s="251"/>
      <c r="B2143" s="251"/>
      <c r="C2143" s="252"/>
      <c r="D2143" s="251"/>
      <c r="E2143" s="253"/>
      <c r="F2143" s="157"/>
      <c r="G2143" s="249"/>
      <c r="H2143" s="249"/>
      <c r="I2143" s="249"/>
      <c r="J2143" s="249"/>
      <c r="K2143" s="249"/>
    </row>
    <row r="2144" spans="1:11" s="250" customFormat="1" ht="13.5" customHeight="1" x14ac:dyDescent="0.3">
      <c r="A2144" s="251"/>
      <c r="B2144" s="251"/>
      <c r="C2144" s="252"/>
      <c r="D2144" s="251"/>
      <c r="E2144" s="253"/>
      <c r="F2144" s="157"/>
      <c r="G2144" s="249"/>
      <c r="H2144" s="249"/>
      <c r="I2144" s="249"/>
      <c r="J2144" s="249"/>
      <c r="K2144" s="249"/>
    </row>
    <row r="2145" spans="1:11" s="250" customFormat="1" ht="13.5" customHeight="1" x14ac:dyDescent="0.3">
      <c r="A2145" s="251"/>
      <c r="B2145" s="251"/>
      <c r="C2145" s="252"/>
      <c r="D2145" s="251"/>
      <c r="E2145" s="253"/>
      <c r="F2145" s="157"/>
      <c r="G2145" s="249"/>
      <c r="H2145" s="249"/>
      <c r="I2145" s="249"/>
      <c r="J2145" s="249"/>
      <c r="K2145" s="249"/>
    </row>
    <row r="2146" spans="1:11" s="250" customFormat="1" ht="13.5" customHeight="1" x14ac:dyDescent="0.3">
      <c r="A2146" s="251"/>
      <c r="B2146" s="251"/>
      <c r="C2146" s="252"/>
      <c r="D2146" s="251"/>
      <c r="E2146" s="253"/>
      <c r="F2146" s="157"/>
      <c r="G2146" s="249"/>
      <c r="H2146" s="249"/>
      <c r="I2146" s="249"/>
      <c r="J2146" s="249"/>
      <c r="K2146" s="249"/>
    </row>
    <row r="2147" spans="1:11" s="250" customFormat="1" ht="13.5" customHeight="1" x14ac:dyDescent="0.3">
      <c r="A2147" s="251"/>
      <c r="B2147" s="251"/>
      <c r="C2147" s="252"/>
      <c r="D2147" s="251"/>
      <c r="E2147" s="253"/>
      <c r="F2147" s="157"/>
      <c r="G2147" s="249"/>
      <c r="H2147" s="249"/>
      <c r="I2147" s="249"/>
      <c r="J2147" s="249"/>
      <c r="K2147" s="249"/>
    </row>
    <row r="2148" spans="1:11" s="250" customFormat="1" ht="13.5" customHeight="1" x14ac:dyDescent="0.3">
      <c r="A2148" s="251"/>
      <c r="B2148" s="251"/>
      <c r="C2148" s="252"/>
      <c r="D2148" s="251"/>
      <c r="E2148" s="253"/>
      <c r="F2148" s="157"/>
      <c r="G2148" s="249"/>
      <c r="H2148" s="249"/>
      <c r="I2148" s="249"/>
      <c r="J2148" s="249"/>
      <c r="K2148" s="249"/>
    </row>
    <row r="2149" spans="1:11" s="250" customFormat="1" ht="13.5" customHeight="1" x14ac:dyDescent="0.3">
      <c r="A2149" s="251"/>
      <c r="B2149" s="251"/>
      <c r="C2149" s="252"/>
      <c r="D2149" s="251"/>
      <c r="E2149" s="253"/>
      <c r="F2149" s="157"/>
      <c r="G2149" s="249"/>
      <c r="H2149" s="249"/>
      <c r="I2149" s="249"/>
      <c r="J2149" s="249"/>
      <c r="K2149" s="249"/>
    </row>
    <row r="2150" spans="1:11" s="250" customFormat="1" ht="13.5" customHeight="1" x14ac:dyDescent="0.3">
      <c r="A2150" s="251"/>
      <c r="B2150" s="251"/>
      <c r="C2150" s="252"/>
      <c r="D2150" s="251"/>
      <c r="E2150" s="253"/>
      <c r="F2150" s="157"/>
      <c r="G2150" s="249"/>
      <c r="H2150" s="249"/>
      <c r="I2150" s="249"/>
      <c r="J2150" s="249"/>
      <c r="K2150" s="249"/>
    </row>
    <row r="2151" spans="1:11" s="250" customFormat="1" ht="13.5" customHeight="1" x14ac:dyDescent="0.3">
      <c r="A2151" s="251"/>
      <c r="B2151" s="251"/>
      <c r="C2151" s="252"/>
      <c r="D2151" s="251"/>
      <c r="E2151" s="253"/>
      <c r="F2151" s="157"/>
      <c r="G2151" s="249"/>
      <c r="H2151" s="249"/>
      <c r="I2151" s="249"/>
      <c r="J2151" s="249"/>
      <c r="K2151" s="249"/>
    </row>
    <row r="2152" spans="1:11" s="250" customFormat="1" ht="13.5" customHeight="1" x14ac:dyDescent="0.3">
      <c r="A2152" s="251"/>
      <c r="B2152" s="251"/>
      <c r="C2152" s="252"/>
      <c r="D2152" s="251"/>
      <c r="E2152" s="253"/>
      <c r="F2152" s="157"/>
      <c r="G2152" s="249"/>
      <c r="H2152" s="249"/>
      <c r="I2152" s="249"/>
      <c r="J2152" s="249"/>
      <c r="K2152" s="249"/>
    </row>
    <row r="2153" spans="1:11" s="250" customFormat="1" ht="13.5" customHeight="1" x14ac:dyDescent="0.3">
      <c r="A2153" s="251"/>
      <c r="B2153" s="251"/>
      <c r="C2153" s="252"/>
      <c r="D2153" s="251"/>
      <c r="E2153" s="253"/>
      <c r="F2153" s="157"/>
      <c r="G2153" s="249"/>
      <c r="H2153" s="249"/>
      <c r="I2153" s="249"/>
      <c r="J2153" s="249"/>
      <c r="K2153" s="249"/>
    </row>
    <row r="2154" spans="1:11" s="250" customFormat="1" ht="13.5" customHeight="1" x14ac:dyDescent="0.3">
      <c r="A2154" s="251"/>
      <c r="B2154" s="251"/>
      <c r="C2154" s="252"/>
      <c r="D2154" s="251"/>
      <c r="E2154" s="253"/>
      <c r="F2154" s="157"/>
      <c r="G2154" s="249"/>
      <c r="H2154" s="249"/>
      <c r="I2154" s="249"/>
      <c r="J2154" s="249"/>
      <c r="K2154" s="249"/>
    </row>
    <row r="2155" spans="1:11" s="250" customFormat="1" ht="13.5" customHeight="1" x14ac:dyDescent="0.3">
      <c r="A2155" s="251"/>
      <c r="B2155" s="251"/>
      <c r="C2155" s="252"/>
      <c r="D2155" s="251"/>
      <c r="E2155" s="253"/>
      <c r="F2155" s="157"/>
      <c r="G2155" s="249"/>
      <c r="H2155" s="249"/>
      <c r="I2155" s="249"/>
      <c r="J2155" s="249"/>
      <c r="K2155" s="249"/>
    </row>
    <row r="2156" spans="1:11" s="250" customFormat="1" ht="13.5" customHeight="1" x14ac:dyDescent="0.3">
      <c r="A2156" s="251"/>
      <c r="B2156" s="251"/>
      <c r="C2156" s="252"/>
      <c r="D2156" s="251"/>
      <c r="E2156" s="253"/>
      <c r="F2156" s="157"/>
      <c r="G2156" s="249"/>
      <c r="H2156" s="249"/>
      <c r="I2156" s="249"/>
      <c r="J2156" s="249"/>
      <c r="K2156" s="249"/>
    </row>
    <row r="2157" spans="1:11" s="250" customFormat="1" ht="13.5" customHeight="1" x14ac:dyDescent="0.3">
      <c r="A2157" s="251"/>
      <c r="B2157" s="251"/>
      <c r="C2157" s="252"/>
      <c r="D2157" s="251"/>
      <c r="E2157" s="253"/>
      <c r="F2157" s="157"/>
      <c r="G2157" s="249"/>
      <c r="H2157" s="249"/>
      <c r="I2157" s="249"/>
      <c r="J2157" s="249"/>
      <c r="K2157" s="249"/>
    </row>
    <row r="2158" spans="1:11" s="250" customFormat="1" ht="13.5" customHeight="1" x14ac:dyDescent="0.3">
      <c r="A2158" s="251"/>
      <c r="B2158" s="251"/>
      <c r="C2158" s="252"/>
      <c r="D2158" s="251"/>
      <c r="E2158" s="253"/>
      <c r="F2158" s="157"/>
      <c r="G2158" s="249"/>
      <c r="H2158" s="249"/>
      <c r="I2158" s="249"/>
      <c r="J2158" s="249"/>
      <c r="K2158" s="249"/>
    </row>
    <row r="2159" spans="1:11" s="250" customFormat="1" ht="13.5" customHeight="1" x14ac:dyDescent="0.3">
      <c r="A2159" s="251"/>
      <c r="B2159" s="251"/>
      <c r="C2159" s="252"/>
      <c r="D2159" s="251"/>
      <c r="E2159" s="253"/>
      <c r="F2159" s="157"/>
      <c r="G2159" s="249"/>
      <c r="H2159" s="249"/>
      <c r="I2159" s="249"/>
      <c r="J2159" s="249"/>
      <c r="K2159" s="249"/>
    </row>
    <row r="2160" spans="1:11" s="250" customFormat="1" ht="13.5" customHeight="1" x14ac:dyDescent="0.3">
      <c r="A2160" s="251"/>
      <c r="B2160" s="251"/>
      <c r="C2160" s="252"/>
      <c r="D2160" s="251"/>
      <c r="E2160" s="253"/>
      <c r="F2160" s="157"/>
      <c r="G2160" s="249"/>
      <c r="H2160" s="249"/>
      <c r="I2160" s="249"/>
      <c r="J2160" s="249"/>
      <c r="K2160" s="249"/>
    </row>
    <row r="2161" spans="1:11" s="250" customFormat="1" ht="13.5" customHeight="1" x14ac:dyDescent="0.3">
      <c r="A2161" s="251"/>
      <c r="B2161" s="251"/>
      <c r="C2161" s="252"/>
      <c r="D2161" s="251"/>
      <c r="E2161" s="253"/>
      <c r="F2161" s="157"/>
      <c r="G2161" s="249"/>
      <c r="H2161" s="249"/>
      <c r="I2161" s="249"/>
      <c r="J2161" s="249"/>
      <c r="K2161" s="249"/>
    </row>
    <row r="2162" spans="1:11" s="250" customFormat="1" ht="13.5" customHeight="1" x14ac:dyDescent="0.3">
      <c r="A2162" s="251"/>
      <c r="B2162" s="251"/>
      <c r="C2162" s="252"/>
      <c r="D2162" s="251"/>
      <c r="E2162" s="253"/>
      <c r="F2162" s="157"/>
      <c r="G2162" s="249"/>
      <c r="H2162" s="249"/>
      <c r="I2162" s="249"/>
      <c r="J2162" s="249"/>
      <c r="K2162" s="249"/>
    </row>
    <row r="2163" spans="1:11" s="250" customFormat="1" ht="13.5" customHeight="1" x14ac:dyDescent="0.3">
      <c r="A2163" s="251"/>
      <c r="B2163" s="251"/>
      <c r="C2163" s="252"/>
      <c r="D2163" s="251"/>
      <c r="E2163" s="253"/>
      <c r="F2163" s="157"/>
      <c r="G2163" s="249"/>
      <c r="H2163" s="249"/>
      <c r="I2163" s="249"/>
      <c r="J2163" s="249"/>
      <c r="K2163" s="249"/>
    </row>
    <row r="2164" spans="1:11" s="250" customFormat="1" ht="13.5" customHeight="1" x14ac:dyDescent="0.3">
      <c r="A2164" s="251"/>
      <c r="B2164" s="251"/>
      <c r="C2164" s="252"/>
      <c r="D2164" s="251"/>
      <c r="E2164" s="253"/>
      <c r="F2164" s="157"/>
      <c r="G2164" s="249"/>
      <c r="H2164" s="249"/>
      <c r="I2164" s="249"/>
      <c r="J2164" s="249"/>
      <c r="K2164" s="249"/>
    </row>
    <row r="2165" spans="1:11" s="250" customFormat="1" ht="13.5" customHeight="1" x14ac:dyDescent="0.3">
      <c r="A2165" s="251"/>
      <c r="B2165" s="251"/>
      <c r="C2165" s="252"/>
      <c r="D2165" s="251"/>
      <c r="E2165" s="253"/>
      <c r="F2165" s="157"/>
      <c r="G2165" s="249"/>
      <c r="H2165" s="249"/>
      <c r="I2165" s="249"/>
      <c r="J2165" s="249"/>
      <c r="K2165" s="249"/>
    </row>
    <row r="2166" spans="1:11" s="250" customFormat="1" ht="13.5" customHeight="1" x14ac:dyDescent="0.3">
      <c r="A2166" s="251"/>
      <c r="B2166" s="251"/>
      <c r="C2166" s="252"/>
      <c r="D2166" s="251"/>
      <c r="E2166" s="253"/>
      <c r="F2166" s="157"/>
      <c r="G2166" s="249"/>
      <c r="H2166" s="249"/>
      <c r="I2166" s="249"/>
      <c r="J2166" s="249"/>
      <c r="K2166" s="249"/>
    </row>
    <row r="2167" spans="1:11" s="250" customFormat="1" ht="13.5" customHeight="1" x14ac:dyDescent="0.3">
      <c r="A2167" s="251"/>
      <c r="B2167" s="251"/>
      <c r="C2167" s="252"/>
      <c r="D2167" s="251"/>
      <c r="E2167" s="253"/>
      <c r="F2167" s="157"/>
      <c r="G2167" s="249"/>
      <c r="H2167" s="249"/>
      <c r="I2167" s="249"/>
      <c r="J2167" s="249"/>
      <c r="K2167" s="249"/>
    </row>
    <row r="2168" spans="1:11" s="250" customFormat="1" ht="13.5" customHeight="1" x14ac:dyDescent="0.3">
      <c r="A2168" s="251"/>
      <c r="B2168" s="251"/>
      <c r="C2168" s="252"/>
      <c r="D2168" s="251"/>
      <c r="E2168" s="253"/>
      <c r="F2168" s="157"/>
      <c r="G2168" s="249"/>
      <c r="H2168" s="249"/>
      <c r="I2168" s="249"/>
      <c r="J2168" s="249"/>
      <c r="K2168" s="249"/>
    </row>
    <row r="2169" spans="1:11" s="250" customFormat="1" ht="13.5" customHeight="1" x14ac:dyDescent="0.3">
      <c r="A2169" s="251"/>
      <c r="B2169" s="251"/>
      <c r="C2169" s="252"/>
      <c r="D2169" s="251"/>
      <c r="E2169" s="253"/>
      <c r="F2169" s="157"/>
      <c r="G2169" s="249"/>
      <c r="H2169" s="249"/>
      <c r="I2169" s="249"/>
      <c r="J2169" s="249"/>
      <c r="K2169" s="249"/>
    </row>
    <row r="2170" spans="1:11" s="250" customFormat="1" ht="13.5" customHeight="1" x14ac:dyDescent="0.3">
      <c r="A2170" s="251"/>
      <c r="B2170" s="251"/>
      <c r="C2170" s="252"/>
      <c r="D2170" s="251"/>
      <c r="E2170" s="253"/>
      <c r="F2170" s="157"/>
      <c r="G2170" s="249"/>
      <c r="H2170" s="249"/>
      <c r="I2170" s="249"/>
      <c r="J2170" s="249"/>
      <c r="K2170" s="249"/>
    </row>
    <row r="2171" spans="1:11" s="250" customFormat="1" ht="13.5" customHeight="1" x14ac:dyDescent="0.3">
      <c r="A2171" s="251"/>
      <c r="B2171" s="251"/>
      <c r="C2171" s="252"/>
      <c r="D2171" s="251"/>
      <c r="E2171" s="253"/>
      <c r="F2171" s="157"/>
      <c r="G2171" s="249"/>
      <c r="H2171" s="249"/>
      <c r="I2171" s="249"/>
      <c r="J2171" s="249"/>
      <c r="K2171" s="249"/>
    </row>
    <row r="2172" spans="1:11" s="250" customFormat="1" ht="13.5" customHeight="1" x14ac:dyDescent="0.3">
      <c r="A2172" s="251"/>
      <c r="B2172" s="251"/>
      <c r="C2172" s="252"/>
      <c r="D2172" s="251"/>
      <c r="E2172" s="253"/>
      <c r="F2172" s="157"/>
      <c r="G2172" s="249"/>
      <c r="H2172" s="249"/>
      <c r="I2172" s="249"/>
      <c r="J2172" s="249"/>
      <c r="K2172" s="249"/>
    </row>
    <row r="2173" spans="1:11" s="250" customFormat="1" ht="13.5" customHeight="1" x14ac:dyDescent="0.3">
      <c r="A2173" s="251"/>
      <c r="B2173" s="251"/>
      <c r="C2173" s="252"/>
      <c r="D2173" s="251"/>
      <c r="E2173" s="253"/>
      <c r="F2173" s="157"/>
      <c r="G2173" s="249"/>
      <c r="H2173" s="249"/>
      <c r="I2173" s="249"/>
      <c r="J2173" s="249"/>
      <c r="K2173" s="249"/>
    </row>
    <row r="2174" spans="1:11" s="250" customFormat="1" ht="13.5" customHeight="1" x14ac:dyDescent="0.3">
      <c r="A2174" s="251"/>
      <c r="B2174" s="251"/>
      <c r="C2174" s="252"/>
      <c r="D2174" s="251"/>
      <c r="E2174" s="253"/>
      <c r="F2174" s="157"/>
      <c r="G2174" s="249"/>
      <c r="H2174" s="249"/>
      <c r="I2174" s="249"/>
      <c r="J2174" s="249"/>
      <c r="K2174" s="249"/>
    </row>
    <row r="2175" spans="1:11" s="250" customFormat="1" ht="13.5" customHeight="1" x14ac:dyDescent="0.3">
      <c r="A2175" s="251"/>
      <c r="B2175" s="251"/>
      <c r="C2175" s="252"/>
      <c r="D2175" s="251"/>
      <c r="E2175" s="253"/>
      <c r="F2175" s="157"/>
      <c r="G2175" s="249"/>
      <c r="H2175" s="249"/>
      <c r="I2175" s="249"/>
      <c r="J2175" s="249"/>
      <c r="K2175" s="249"/>
    </row>
    <row r="2176" spans="1:11" s="250" customFormat="1" ht="13.5" customHeight="1" x14ac:dyDescent="0.3">
      <c r="A2176" s="251"/>
      <c r="B2176" s="251"/>
      <c r="C2176" s="252"/>
      <c r="D2176" s="251"/>
      <c r="E2176" s="253"/>
      <c r="F2176" s="157"/>
      <c r="G2176" s="249"/>
      <c r="H2176" s="249"/>
      <c r="I2176" s="249"/>
      <c r="J2176" s="249"/>
      <c r="K2176" s="249"/>
    </row>
    <row r="2177" spans="1:11" s="250" customFormat="1" ht="13.5" customHeight="1" x14ac:dyDescent="0.3">
      <c r="A2177" s="251"/>
      <c r="B2177" s="251"/>
      <c r="C2177" s="252"/>
      <c r="D2177" s="251"/>
      <c r="E2177" s="253"/>
      <c r="F2177" s="157"/>
      <c r="G2177" s="249"/>
      <c r="H2177" s="249"/>
      <c r="I2177" s="249"/>
      <c r="J2177" s="249"/>
      <c r="K2177" s="249"/>
    </row>
    <row r="2178" spans="1:11" s="250" customFormat="1" ht="13.5" customHeight="1" x14ac:dyDescent="0.3">
      <c r="A2178" s="251"/>
      <c r="B2178" s="251"/>
      <c r="C2178" s="252"/>
      <c r="D2178" s="251"/>
      <c r="E2178" s="253"/>
      <c r="F2178" s="157"/>
      <c r="G2178" s="249"/>
      <c r="H2178" s="249"/>
      <c r="I2178" s="249"/>
      <c r="J2178" s="249"/>
      <c r="K2178" s="249"/>
    </row>
    <row r="2179" spans="1:11" s="250" customFormat="1" ht="13.5" customHeight="1" x14ac:dyDescent="0.3">
      <c r="A2179" s="251"/>
      <c r="B2179" s="251"/>
      <c r="C2179" s="252"/>
      <c r="D2179" s="251"/>
      <c r="E2179" s="253"/>
      <c r="F2179" s="157"/>
      <c r="G2179" s="249"/>
      <c r="H2179" s="249"/>
      <c r="I2179" s="249"/>
      <c r="J2179" s="249"/>
      <c r="K2179" s="249"/>
    </row>
    <row r="2180" spans="1:11" s="250" customFormat="1" ht="13.5" customHeight="1" x14ac:dyDescent="0.3">
      <c r="A2180" s="251"/>
      <c r="B2180" s="251"/>
      <c r="C2180" s="252"/>
      <c r="D2180" s="251"/>
      <c r="E2180" s="253"/>
      <c r="F2180" s="157"/>
      <c r="G2180" s="249"/>
      <c r="H2180" s="249"/>
      <c r="I2180" s="249"/>
      <c r="J2180" s="249"/>
      <c r="K2180" s="249"/>
    </row>
    <row r="2181" spans="1:11" s="250" customFormat="1" ht="13.5" customHeight="1" x14ac:dyDescent="0.3">
      <c r="A2181" s="251"/>
      <c r="B2181" s="251"/>
      <c r="C2181" s="252"/>
      <c r="D2181" s="251"/>
      <c r="E2181" s="253"/>
      <c r="F2181" s="157"/>
      <c r="G2181" s="249"/>
      <c r="H2181" s="249"/>
      <c r="I2181" s="249"/>
      <c r="J2181" s="249"/>
      <c r="K2181" s="249"/>
    </row>
    <row r="2182" spans="1:11" s="250" customFormat="1" ht="13.5" customHeight="1" x14ac:dyDescent="0.3">
      <c r="A2182" s="251"/>
      <c r="B2182" s="251"/>
      <c r="C2182" s="252"/>
      <c r="D2182" s="251"/>
      <c r="E2182" s="253"/>
      <c r="F2182" s="157"/>
      <c r="G2182" s="249"/>
      <c r="H2182" s="249"/>
      <c r="I2182" s="249"/>
      <c r="J2182" s="249"/>
      <c r="K2182" s="249"/>
    </row>
    <row r="2183" spans="1:11" s="250" customFormat="1" ht="13.5" customHeight="1" x14ac:dyDescent="0.3">
      <c r="A2183" s="251"/>
      <c r="B2183" s="251"/>
      <c r="C2183" s="252"/>
      <c r="D2183" s="251"/>
      <c r="E2183" s="253"/>
      <c r="F2183" s="157"/>
      <c r="G2183" s="249"/>
      <c r="H2183" s="249"/>
      <c r="I2183" s="249"/>
      <c r="J2183" s="249"/>
      <c r="K2183" s="249"/>
    </row>
    <row r="2184" spans="1:11" s="250" customFormat="1" ht="13.5" customHeight="1" x14ac:dyDescent="0.3">
      <c r="A2184" s="251"/>
      <c r="B2184" s="251"/>
      <c r="C2184" s="252"/>
      <c r="D2184" s="251"/>
      <c r="E2184" s="253"/>
      <c r="F2184" s="157"/>
      <c r="G2184" s="249"/>
      <c r="H2184" s="249"/>
      <c r="I2184" s="249"/>
      <c r="J2184" s="249"/>
      <c r="K2184" s="249"/>
    </row>
    <row r="2185" spans="1:11" s="250" customFormat="1" ht="13.5" customHeight="1" x14ac:dyDescent="0.3">
      <c r="A2185" s="251"/>
      <c r="B2185" s="251"/>
      <c r="C2185" s="252"/>
      <c r="D2185" s="251"/>
      <c r="E2185" s="253"/>
      <c r="F2185" s="157"/>
      <c r="G2185" s="249"/>
      <c r="H2185" s="249"/>
      <c r="I2185" s="249"/>
      <c r="J2185" s="249"/>
      <c r="K2185" s="249"/>
    </row>
    <row r="2186" spans="1:11" s="250" customFormat="1" ht="13.5" customHeight="1" x14ac:dyDescent="0.3">
      <c r="A2186" s="251"/>
      <c r="B2186" s="251"/>
      <c r="C2186" s="252"/>
      <c r="D2186" s="251"/>
      <c r="E2186" s="253"/>
      <c r="F2186" s="157"/>
      <c r="G2186" s="249"/>
      <c r="H2186" s="249"/>
      <c r="I2186" s="249"/>
      <c r="J2186" s="249"/>
      <c r="K2186" s="249"/>
    </row>
    <row r="2187" spans="1:11" s="250" customFormat="1" ht="13.5" customHeight="1" x14ac:dyDescent="0.3">
      <c r="A2187" s="251"/>
      <c r="B2187" s="251"/>
      <c r="C2187" s="252"/>
      <c r="D2187" s="251"/>
      <c r="E2187" s="253"/>
      <c r="F2187" s="157"/>
      <c r="G2187" s="249"/>
      <c r="H2187" s="249"/>
      <c r="I2187" s="249"/>
      <c r="J2187" s="249"/>
      <c r="K2187" s="249"/>
    </row>
    <row r="2188" spans="1:11" s="250" customFormat="1" ht="13.5" customHeight="1" x14ac:dyDescent="0.3">
      <c r="A2188" s="251"/>
      <c r="B2188" s="251"/>
      <c r="C2188" s="252"/>
      <c r="D2188" s="251"/>
      <c r="E2188" s="253"/>
      <c r="F2188" s="157"/>
      <c r="G2188" s="249"/>
      <c r="H2188" s="249"/>
      <c r="I2188" s="249"/>
      <c r="J2188" s="249"/>
      <c r="K2188" s="249"/>
    </row>
    <row r="2189" spans="1:11" s="250" customFormat="1" ht="13.5" customHeight="1" x14ac:dyDescent="0.3">
      <c r="A2189" s="251"/>
      <c r="B2189" s="251"/>
      <c r="C2189" s="252"/>
      <c r="D2189" s="251"/>
      <c r="E2189" s="253"/>
      <c r="F2189" s="157"/>
      <c r="G2189" s="249"/>
      <c r="H2189" s="249"/>
      <c r="I2189" s="249"/>
      <c r="J2189" s="249"/>
      <c r="K2189" s="249"/>
    </row>
    <row r="2190" spans="1:11" s="250" customFormat="1" ht="13.5" customHeight="1" x14ac:dyDescent="0.3">
      <c r="A2190" s="251"/>
      <c r="B2190" s="251"/>
      <c r="C2190" s="252"/>
      <c r="D2190" s="251"/>
      <c r="E2190" s="253"/>
      <c r="F2190" s="157"/>
      <c r="G2190" s="249"/>
      <c r="H2190" s="249"/>
      <c r="I2190" s="249"/>
      <c r="J2190" s="249"/>
      <c r="K2190" s="249"/>
    </row>
    <row r="2191" spans="1:11" s="250" customFormat="1" ht="13.5" customHeight="1" x14ac:dyDescent="0.3">
      <c r="A2191" s="251"/>
      <c r="B2191" s="251"/>
      <c r="C2191" s="252"/>
      <c r="D2191" s="251"/>
      <c r="E2191" s="253"/>
      <c r="F2191" s="157"/>
      <c r="G2191" s="249"/>
      <c r="H2191" s="249"/>
      <c r="I2191" s="249"/>
      <c r="J2191" s="249"/>
      <c r="K2191" s="249"/>
    </row>
    <row r="2192" spans="1:11" s="250" customFormat="1" ht="13.5" customHeight="1" x14ac:dyDescent="0.3">
      <c r="A2192" s="251"/>
      <c r="B2192" s="251"/>
      <c r="C2192" s="252"/>
      <c r="D2192" s="251"/>
      <c r="E2192" s="253"/>
      <c r="F2192" s="157"/>
      <c r="G2192" s="249"/>
      <c r="H2192" s="249"/>
      <c r="I2192" s="249"/>
      <c r="J2192" s="249"/>
      <c r="K2192" s="249"/>
    </row>
    <row r="2193" spans="1:11" s="250" customFormat="1" ht="13.5" customHeight="1" x14ac:dyDescent="0.3">
      <c r="A2193" s="251"/>
      <c r="B2193" s="251"/>
      <c r="C2193" s="252"/>
      <c r="D2193" s="251"/>
      <c r="E2193" s="253"/>
      <c r="F2193" s="157"/>
      <c r="G2193" s="249"/>
      <c r="H2193" s="249"/>
      <c r="I2193" s="249"/>
      <c r="J2193" s="249"/>
      <c r="K2193" s="249"/>
    </row>
    <row r="2194" spans="1:11" s="250" customFormat="1" ht="13.5" customHeight="1" x14ac:dyDescent="0.3">
      <c r="A2194" s="251"/>
      <c r="B2194" s="251"/>
      <c r="C2194" s="252"/>
      <c r="D2194" s="251"/>
      <c r="E2194" s="253"/>
      <c r="F2194" s="157"/>
      <c r="G2194" s="249"/>
      <c r="H2194" s="249"/>
      <c r="I2194" s="249"/>
      <c r="J2194" s="249"/>
      <c r="K2194" s="249"/>
    </row>
    <row r="2195" spans="1:11" s="250" customFormat="1" ht="13.5" customHeight="1" x14ac:dyDescent="0.3">
      <c r="A2195" s="251"/>
      <c r="B2195" s="251"/>
      <c r="C2195" s="252"/>
      <c r="D2195" s="251"/>
      <c r="E2195" s="253"/>
      <c r="F2195" s="157"/>
      <c r="G2195" s="249"/>
      <c r="H2195" s="249"/>
      <c r="I2195" s="249"/>
      <c r="J2195" s="249"/>
      <c r="K2195" s="249"/>
    </row>
    <row r="2196" spans="1:11" s="250" customFormat="1" ht="13.5" customHeight="1" x14ac:dyDescent="0.3">
      <c r="A2196" s="251"/>
      <c r="B2196" s="251"/>
      <c r="C2196" s="252"/>
      <c r="D2196" s="251"/>
      <c r="E2196" s="253"/>
      <c r="F2196" s="157"/>
      <c r="G2196" s="249"/>
      <c r="H2196" s="249"/>
      <c r="I2196" s="249"/>
      <c r="J2196" s="249"/>
      <c r="K2196" s="249"/>
    </row>
    <row r="2197" spans="1:11" s="250" customFormat="1" ht="13.5" customHeight="1" x14ac:dyDescent="0.3">
      <c r="A2197" s="251"/>
      <c r="B2197" s="251"/>
      <c r="C2197" s="252"/>
      <c r="D2197" s="251"/>
      <c r="E2197" s="253"/>
      <c r="F2197" s="157"/>
      <c r="G2197" s="249"/>
      <c r="H2197" s="249"/>
      <c r="I2197" s="249"/>
      <c r="J2197" s="249"/>
      <c r="K2197" s="249"/>
    </row>
    <row r="2198" spans="1:11" s="250" customFormat="1" ht="13.5" customHeight="1" x14ac:dyDescent="0.3">
      <c r="A2198" s="251"/>
      <c r="B2198" s="251"/>
      <c r="C2198" s="252"/>
      <c r="D2198" s="251"/>
      <c r="E2198" s="253"/>
      <c r="F2198" s="157"/>
      <c r="G2198" s="249"/>
      <c r="H2198" s="249"/>
      <c r="I2198" s="249"/>
      <c r="J2198" s="249"/>
      <c r="K2198" s="249"/>
    </row>
    <row r="2199" spans="1:11" s="250" customFormat="1" ht="13.5" customHeight="1" x14ac:dyDescent="0.3">
      <c r="A2199" s="251"/>
      <c r="B2199" s="251"/>
      <c r="C2199" s="252"/>
      <c r="D2199" s="251"/>
      <c r="E2199" s="253"/>
      <c r="F2199" s="157"/>
      <c r="G2199" s="249"/>
      <c r="H2199" s="249"/>
      <c r="I2199" s="249"/>
      <c r="J2199" s="249"/>
      <c r="K2199" s="249"/>
    </row>
    <row r="2200" spans="1:11" s="250" customFormat="1" ht="13.5" customHeight="1" x14ac:dyDescent="0.3">
      <c r="A2200" s="251"/>
      <c r="B2200" s="251"/>
      <c r="C2200" s="252"/>
      <c r="D2200" s="251"/>
      <c r="E2200" s="253"/>
      <c r="F2200" s="157"/>
      <c r="G2200" s="249"/>
      <c r="H2200" s="249"/>
      <c r="I2200" s="249"/>
      <c r="J2200" s="249"/>
      <c r="K2200" s="249"/>
    </row>
    <row r="2201" spans="1:11" s="250" customFormat="1" ht="13.5" customHeight="1" x14ac:dyDescent="0.3">
      <c r="A2201" s="251"/>
      <c r="B2201" s="251"/>
      <c r="C2201" s="252"/>
      <c r="D2201" s="251"/>
      <c r="E2201" s="253"/>
      <c r="F2201" s="157"/>
      <c r="G2201" s="249"/>
      <c r="H2201" s="249"/>
      <c r="I2201" s="249"/>
      <c r="J2201" s="249"/>
      <c r="K2201" s="249"/>
    </row>
    <row r="2202" spans="1:11" s="250" customFormat="1" ht="13.5" customHeight="1" x14ac:dyDescent="0.3">
      <c r="A2202" s="251"/>
      <c r="B2202" s="251"/>
      <c r="C2202" s="252"/>
      <c r="D2202" s="251"/>
      <c r="E2202" s="253"/>
      <c r="F2202" s="157"/>
      <c r="G2202" s="249"/>
      <c r="H2202" s="249"/>
      <c r="I2202" s="249"/>
      <c r="J2202" s="249"/>
      <c r="K2202" s="249"/>
    </row>
    <row r="2203" spans="1:11" s="250" customFormat="1" ht="13.5" customHeight="1" x14ac:dyDescent="0.3">
      <c r="A2203" s="251"/>
      <c r="B2203" s="251"/>
      <c r="C2203" s="252"/>
      <c r="D2203" s="251"/>
      <c r="E2203" s="253"/>
      <c r="F2203" s="157"/>
      <c r="G2203" s="249"/>
      <c r="H2203" s="249"/>
      <c r="I2203" s="249"/>
      <c r="J2203" s="249"/>
      <c r="K2203" s="249"/>
    </row>
    <row r="2204" spans="1:11" s="250" customFormat="1" ht="13.5" customHeight="1" x14ac:dyDescent="0.3">
      <c r="A2204" s="251"/>
      <c r="B2204" s="251"/>
      <c r="C2204" s="252"/>
      <c r="D2204" s="251"/>
      <c r="E2204" s="253"/>
      <c r="F2204" s="157"/>
      <c r="G2204" s="249"/>
      <c r="H2204" s="249"/>
      <c r="I2204" s="249"/>
      <c r="J2204" s="249"/>
      <c r="K2204" s="249"/>
    </row>
    <row r="2205" spans="1:11" s="250" customFormat="1" ht="13.5" customHeight="1" x14ac:dyDescent="0.3">
      <c r="A2205" s="251"/>
      <c r="B2205" s="251"/>
      <c r="C2205" s="252"/>
      <c r="D2205" s="251"/>
      <c r="E2205" s="253"/>
      <c r="F2205" s="157"/>
      <c r="G2205" s="249"/>
      <c r="H2205" s="249"/>
      <c r="I2205" s="249"/>
      <c r="J2205" s="249"/>
      <c r="K2205" s="249"/>
    </row>
    <row r="2206" spans="1:11" s="250" customFormat="1" ht="13.5" customHeight="1" x14ac:dyDescent="0.3">
      <c r="A2206" s="251"/>
      <c r="B2206" s="251"/>
      <c r="C2206" s="252"/>
      <c r="D2206" s="251"/>
      <c r="E2206" s="253"/>
      <c r="F2206" s="157"/>
      <c r="G2206" s="249"/>
      <c r="H2206" s="249"/>
      <c r="I2206" s="249"/>
      <c r="J2206" s="249"/>
      <c r="K2206" s="249"/>
    </row>
    <row r="2207" spans="1:11" s="250" customFormat="1" ht="13.5" customHeight="1" x14ac:dyDescent="0.3">
      <c r="A2207" s="251"/>
      <c r="B2207" s="251"/>
      <c r="C2207" s="252"/>
      <c r="D2207" s="251"/>
      <c r="E2207" s="253"/>
      <c r="F2207" s="157"/>
      <c r="G2207" s="249"/>
      <c r="H2207" s="249"/>
      <c r="I2207" s="249"/>
      <c r="J2207" s="249"/>
      <c r="K2207" s="249"/>
    </row>
    <row r="2208" spans="1:11" s="250" customFormat="1" ht="13.5" customHeight="1" x14ac:dyDescent="0.3">
      <c r="A2208" s="251"/>
      <c r="B2208" s="251"/>
      <c r="C2208" s="252"/>
      <c r="D2208" s="251"/>
      <c r="E2208" s="253"/>
      <c r="F2208" s="157"/>
      <c r="G2208" s="249"/>
      <c r="H2208" s="249"/>
      <c r="I2208" s="249"/>
      <c r="J2208" s="249"/>
      <c r="K2208" s="249"/>
    </row>
    <row r="2209" spans="1:11" s="250" customFormat="1" ht="13.5" customHeight="1" x14ac:dyDescent="0.3">
      <c r="A2209" s="251"/>
      <c r="B2209" s="251"/>
      <c r="C2209" s="252"/>
      <c r="D2209" s="251"/>
      <c r="E2209" s="253"/>
      <c r="F2209" s="157"/>
      <c r="G2209" s="249"/>
      <c r="H2209" s="249"/>
      <c r="I2209" s="249"/>
      <c r="J2209" s="249"/>
      <c r="K2209" s="249"/>
    </row>
    <row r="2210" spans="1:11" s="250" customFormat="1" ht="13.5" customHeight="1" x14ac:dyDescent="0.3">
      <c r="A2210" s="251"/>
      <c r="B2210" s="251"/>
      <c r="C2210" s="252"/>
      <c r="D2210" s="251"/>
      <c r="E2210" s="253"/>
      <c r="F2210" s="157"/>
      <c r="G2210" s="249"/>
      <c r="H2210" s="249"/>
      <c r="I2210" s="249"/>
      <c r="J2210" s="249"/>
      <c r="K2210" s="249"/>
    </row>
    <row r="2211" spans="1:11" s="250" customFormat="1" ht="13.5" customHeight="1" x14ac:dyDescent="0.3">
      <c r="A2211" s="251"/>
      <c r="B2211" s="251"/>
      <c r="C2211" s="252"/>
      <c r="D2211" s="251"/>
      <c r="E2211" s="253"/>
      <c r="F2211" s="157"/>
      <c r="G2211" s="249"/>
      <c r="H2211" s="249"/>
      <c r="I2211" s="249"/>
      <c r="J2211" s="249"/>
      <c r="K2211" s="249"/>
    </row>
    <row r="2212" spans="1:11" s="250" customFormat="1" ht="13.5" customHeight="1" x14ac:dyDescent="0.3">
      <c r="A2212" s="251"/>
      <c r="B2212" s="251"/>
      <c r="C2212" s="252"/>
      <c r="D2212" s="251"/>
      <c r="E2212" s="253"/>
      <c r="F2212" s="157"/>
      <c r="G2212" s="249"/>
      <c r="H2212" s="249"/>
      <c r="I2212" s="249"/>
      <c r="J2212" s="249"/>
      <c r="K2212" s="249"/>
    </row>
    <row r="2213" spans="1:11" s="250" customFormat="1" ht="13.5" customHeight="1" x14ac:dyDescent="0.3">
      <c r="A2213" s="251"/>
      <c r="B2213" s="251"/>
      <c r="C2213" s="252"/>
      <c r="D2213" s="251"/>
      <c r="E2213" s="253"/>
      <c r="F2213" s="157"/>
      <c r="G2213" s="249"/>
      <c r="H2213" s="249"/>
      <c r="I2213" s="249"/>
      <c r="J2213" s="249"/>
      <c r="K2213" s="249"/>
    </row>
    <row r="2214" spans="1:11" s="250" customFormat="1" ht="13.5" customHeight="1" x14ac:dyDescent="0.3">
      <c r="A2214" s="251"/>
      <c r="B2214" s="251"/>
      <c r="C2214" s="252"/>
      <c r="D2214" s="251"/>
      <c r="E2214" s="253"/>
      <c r="F2214" s="157"/>
      <c r="G2214" s="249"/>
      <c r="H2214" s="249"/>
      <c r="I2214" s="249"/>
      <c r="J2214" s="249"/>
      <c r="K2214" s="249"/>
    </row>
    <row r="2215" spans="1:11" s="250" customFormat="1" ht="13.5" customHeight="1" x14ac:dyDescent="0.3">
      <c r="A2215" s="251"/>
      <c r="B2215" s="251"/>
      <c r="C2215" s="252"/>
      <c r="D2215" s="251"/>
      <c r="E2215" s="253"/>
      <c r="F2215" s="157"/>
      <c r="G2215" s="249"/>
      <c r="H2215" s="249"/>
      <c r="I2215" s="249"/>
      <c r="J2215" s="249"/>
      <c r="K2215" s="249"/>
    </row>
    <row r="2216" spans="1:11" s="250" customFormat="1" ht="13.5" customHeight="1" x14ac:dyDescent="0.3">
      <c r="A2216" s="251"/>
      <c r="B2216" s="251"/>
      <c r="C2216" s="252"/>
      <c r="D2216" s="251"/>
      <c r="E2216" s="253"/>
      <c r="F2216" s="157"/>
      <c r="G2216" s="249"/>
      <c r="H2216" s="249"/>
      <c r="I2216" s="249"/>
      <c r="J2216" s="249"/>
      <c r="K2216" s="249"/>
    </row>
    <row r="2217" spans="1:11" s="250" customFormat="1" ht="13.5" customHeight="1" x14ac:dyDescent="0.3">
      <c r="A2217" s="251"/>
      <c r="B2217" s="251"/>
      <c r="C2217" s="252"/>
      <c r="D2217" s="251"/>
      <c r="E2217" s="253"/>
      <c r="F2217" s="157"/>
      <c r="G2217" s="249"/>
      <c r="H2217" s="249"/>
      <c r="I2217" s="249"/>
      <c r="J2217" s="249"/>
      <c r="K2217" s="249"/>
    </row>
    <row r="2218" spans="1:11" s="250" customFormat="1" ht="13.5" customHeight="1" x14ac:dyDescent="0.3">
      <c r="A2218" s="251"/>
      <c r="B2218" s="251"/>
      <c r="C2218" s="252"/>
      <c r="D2218" s="251"/>
      <c r="E2218" s="253"/>
      <c r="F2218" s="157"/>
      <c r="G2218" s="249"/>
      <c r="H2218" s="249"/>
      <c r="I2218" s="249"/>
      <c r="J2218" s="249"/>
      <c r="K2218" s="249"/>
    </row>
    <row r="2219" spans="1:11" s="250" customFormat="1" ht="13.5" customHeight="1" x14ac:dyDescent="0.3">
      <c r="A2219" s="251"/>
      <c r="B2219" s="251"/>
      <c r="C2219" s="252"/>
      <c r="D2219" s="251"/>
      <c r="E2219" s="253"/>
      <c r="F2219" s="157"/>
      <c r="G2219" s="249"/>
      <c r="H2219" s="249"/>
      <c r="I2219" s="249"/>
      <c r="J2219" s="249"/>
      <c r="K2219" s="249"/>
    </row>
    <row r="2220" spans="1:11" s="250" customFormat="1" ht="13.5" customHeight="1" x14ac:dyDescent="0.3">
      <c r="A2220" s="251"/>
      <c r="B2220" s="251"/>
      <c r="C2220" s="252"/>
      <c r="D2220" s="251"/>
      <c r="E2220" s="253"/>
      <c r="F2220" s="157"/>
      <c r="G2220" s="249"/>
      <c r="H2220" s="249"/>
      <c r="I2220" s="249"/>
      <c r="J2220" s="249"/>
      <c r="K2220" s="249"/>
    </row>
    <row r="2221" spans="1:11" s="250" customFormat="1" ht="13.5" customHeight="1" x14ac:dyDescent="0.3">
      <c r="A2221" s="251"/>
      <c r="B2221" s="251"/>
      <c r="C2221" s="252"/>
      <c r="D2221" s="251"/>
      <c r="E2221" s="253"/>
      <c r="F2221" s="157"/>
      <c r="G2221" s="249"/>
      <c r="H2221" s="249"/>
      <c r="I2221" s="249"/>
      <c r="J2221" s="249"/>
      <c r="K2221" s="249"/>
    </row>
    <row r="2222" spans="1:11" s="250" customFormat="1" ht="13.5" customHeight="1" x14ac:dyDescent="0.3">
      <c r="A2222" s="251"/>
      <c r="B2222" s="251"/>
      <c r="C2222" s="252"/>
      <c r="D2222" s="251"/>
      <c r="E2222" s="253"/>
      <c r="F2222" s="157"/>
      <c r="G2222" s="249"/>
      <c r="H2222" s="249"/>
      <c r="I2222" s="249"/>
      <c r="J2222" s="249"/>
      <c r="K2222" s="249"/>
    </row>
    <row r="2223" spans="1:11" s="250" customFormat="1" ht="13.5" customHeight="1" x14ac:dyDescent="0.3">
      <c r="A2223" s="251"/>
      <c r="B2223" s="251"/>
      <c r="C2223" s="252"/>
      <c r="D2223" s="251"/>
      <c r="E2223" s="253"/>
      <c r="F2223" s="157"/>
      <c r="G2223" s="249"/>
      <c r="H2223" s="249"/>
      <c r="I2223" s="249"/>
      <c r="J2223" s="249"/>
      <c r="K2223" s="249"/>
    </row>
    <row r="2224" spans="1:11" s="250" customFormat="1" ht="13.5" customHeight="1" x14ac:dyDescent="0.3">
      <c r="A2224" s="251"/>
      <c r="B2224" s="251"/>
      <c r="C2224" s="252"/>
      <c r="D2224" s="251"/>
      <c r="E2224" s="253"/>
      <c r="F2224" s="157"/>
      <c r="G2224" s="249"/>
      <c r="H2224" s="249"/>
      <c r="I2224" s="249"/>
      <c r="J2224" s="249"/>
      <c r="K2224" s="249"/>
    </row>
    <row r="2225" spans="1:11" s="250" customFormat="1" ht="13.5" customHeight="1" x14ac:dyDescent="0.3">
      <c r="A2225" s="251"/>
      <c r="B2225" s="251"/>
      <c r="C2225" s="252"/>
      <c r="D2225" s="251"/>
      <c r="E2225" s="253"/>
      <c r="F2225" s="157"/>
      <c r="G2225" s="249"/>
      <c r="H2225" s="249"/>
      <c r="I2225" s="249"/>
      <c r="J2225" s="249"/>
      <c r="K2225" s="249"/>
    </row>
    <row r="2226" spans="1:11" s="250" customFormat="1" ht="13.5" customHeight="1" x14ac:dyDescent="0.3">
      <c r="A2226" s="251"/>
      <c r="B2226" s="251"/>
      <c r="C2226" s="252"/>
      <c r="D2226" s="251"/>
      <c r="E2226" s="253"/>
      <c r="F2226" s="157"/>
      <c r="G2226" s="249"/>
      <c r="H2226" s="249"/>
      <c r="I2226" s="249"/>
      <c r="J2226" s="249"/>
      <c r="K2226" s="249"/>
    </row>
    <row r="2227" spans="1:11" s="250" customFormat="1" ht="13.5" customHeight="1" x14ac:dyDescent="0.3">
      <c r="A2227" s="251"/>
      <c r="B2227" s="251"/>
      <c r="C2227" s="252"/>
      <c r="D2227" s="251"/>
      <c r="E2227" s="253"/>
      <c r="F2227" s="157"/>
      <c r="G2227" s="249"/>
      <c r="H2227" s="249"/>
      <c r="I2227" s="249"/>
      <c r="J2227" s="249"/>
      <c r="K2227" s="249"/>
    </row>
    <row r="2228" spans="1:11" s="250" customFormat="1" ht="13.5" customHeight="1" x14ac:dyDescent="0.3">
      <c r="A2228" s="251"/>
      <c r="B2228" s="251"/>
      <c r="C2228" s="252"/>
      <c r="D2228" s="251"/>
      <c r="E2228" s="253"/>
      <c r="F2228" s="157"/>
      <c r="G2228" s="249"/>
      <c r="H2228" s="249"/>
      <c r="I2228" s="249"/>
      <c r="J2228" s="249"/>
      <c r="K2228" s="249"/>
    </row>
    <row r="2229" spans="1:11" s="250" customFormat="1" ht="13.5" customHeight="1" x14ac:dyDescent="0.3">
      <c r="A2229" s="251"/>
      <c r="B2229" s="251"/>
      <c r="C2229" s="252"/>
      <c r="D2229" s="251"/>
      <c r="E2229" s="253"/>
      <c r="F2229" s="157"/>
      <c r="G2229" s="249"/>
      <c r="H2229" s="249"/>
      <c r="I2229" s="249"/>
      <c r="J2229" s="249"/>
      <c r="K2229" s="249"/>
    </row>
    <row r="2230" spans="1:11" s="250" customFormat="1" ht="13.5" customHeight="1" x14ac:dyDescent="0.3">
      <c r="A2230" s="251"/>
      <c r="B2230" s="251"/>
      <c r="C2230" s="252"/>
      <c r="D2230" s="251"/>
      <c r="E2230" s="253"/>
      <c r="F2230" s="157"/>
      <c r="G2230" s="249"/>
      <c r="H2230" s="249"/>
      <c r="I2230" s="249"/>
      <c r="J2230" s="249"/>
      <c r="K2230" s="249"/>
    </row>
    <row r="2231" spans="1:11" s="250" customFormat="1" ht="13.5" customHeight="1" x14ac:dyDescent="0.3">
      <c r="A2231" s="251"/>
      <c r="B2231" s="251"/>
      <c r="C2231" s="252"/>
      <c r="D2231" s="251"/>
      <c r="E2231" s="253"/>
      <c r="F2231" s="157"/>
      <c r="G2231" s="249"/>
      <c r="H2231" s="249"/>
      <c r="I2231" s="249"/>
      <c r="J2231" s="249"/>
      <c r="K2231" s="249"/>
    </row>
    <row r="2232" spans="1:11" ht="13.5" customHeight="1" x14ac:dyDescent="0.25">
      <c r="A2232" s="251"/>
      <c r="B2232" s="251"/>
      <c r="C2232" s="252"/>
      <c r="D2232" s="251"/>
      <c r="E2232" s="253"/>
    </row>
    <row r="2233" spans="1:11" ht="13.5" customHeight="1" x14ac:dyDescent="0.25">
      <c r="A2233" s="251"/>
      <c r="B2233" s="251"/>
      <c r="C2233" s="252"/>
      <c r="D2233" s="251"/>
      <c r="E2233" s="253"/>
    </row>
    <row r="2234" spans="1:11" ht="13.5" customHeight="1" x14ac:dyDescent="0.25">
      <c r="A2234" s="251"/>
      <c r="B2234" s="251"/>
      <c r="C2234" s="252"/>
      <c r="D2234" s="251"/>
      <c r="E2234" s="253"/>
    </row>
    <row r="2235" spans="1:11" ht="13.5" customHeight="1" x14ac:dyDescent="0.25">
      <c r="A2235" s="251"/>
      <c r="B2235" s="251"/>
      <c r="C2235" s="252"/>
      <c r="D2235" s="251"/>
      <c r="E2235" s="253"/>
    </row>
    <row r="2236" spans="1:11" ht="13.5" customHeight="1" x14ac:dyDescent="0.25">
      <c r="A2236" s="251"/>
      <c r="B2236" s="251"/>
      <c r="C2236" s="252"/>
      <c r="D2236" s="251"/>
      <c r="E2236" s="253"/>
      <c r="F2236"/>
      <c r="G2236"/>
      <c r="H2236"/>
      <c r="I2236"/>
      <c r="J2236"/>
      <c r="K2236"/>
    </row>
    <row r="2237" spans="1:11" ht="13.5" customHeight="1" x14ac:dyDescent="0.25">
      <c r="A2237" s="251"/>
      <c r="B2237" s="251"/>
      <c r="C2237" s="252"/>
      <c r="D2237" s="251"/>
      <c r="E2237" s="253"/>
      <c r="F2237"/>
      <c r="G2237"/>
      <c r="H2237"/>
      <c r="I2237"/>
      <c r="J2237"/>
      <c r="K2237"/>
    </row>
    <row r="2238" spans="1:11" ht="13.5" customHeight="1" x14ac:dyDescent="0.25">
      <c r="A2238" s="251"/>
      <c r="B2238" s="251"/>
      <c r="C2238" s="252"/>
      <c r="D2238" s="251"/>
      <c r="E2238" s="253"/>
      <c r="F2238"/>
      <c r="G2238"/>
      <c r="H2238"/>
      <c r="I2238"/>
      <c r="J2238"/>
      <c r="K2238"/>
    </row>
    <row r="2239" spans="1:11" ht="13.5" customHeight="1" x14ac:dyDescent="0.25">
      <c r="A2239" s="251"/>
      <c r="B2239" s="251"/>
      <c r="C2239" s="252"/>
      <c r="D2239" s="251"/>
      <c r="E2239" s="253"/>
      <c r="F2239"/>
      <c r="G2239"/>
      <c r="H2239"/>
      <c r="I2239"/>
      <c r="J2239"/>
      <c r="K2239"/>
    </row>
    <row r="2240" spans="1:11" ht="13.5" customHeight="1" x14ac:dyDescent="0.25">
      <c r="A2240" s="251"/>
      <c r="B2240" s="251"/>
      <c r="C2240" s="252"/>
      <c r="D2240" s="251"/>
      <c r="E2240" s="253"/>
      <c r="F2240"/>
      <c r="G2240"/>
      <c r="H2240"/>
      <c r="I2240"/>
      <c r="J2240"/>
      <c r="K2240"/>
    </row>
    <row r="2241" spans="1:11" ht="13.5" customHeight="1" x14ac:dyDescent="0.25">
      <c r="A2241" s="251"/>
      <c r="B2241" s="251"/>
      <c r="C2241" s="252"/>
      <c r="D2241" s="251"/>
      <c r="E2241" s="253"/>
      <c r="F2241"/>
      <c r="G2241"/>
      <c r="H2241"/>
      <c r="I2241"/>
      <c r="J2241"/>
      <c r="K2241"/>
    </row>
    <row r="2242" spans="1:11" ht="13.5" customHeight="1" x14ac:dyDescent="0.25">
      <c r="A2242" s="251"/>
      <c r="B2242" s="251"/>
      <c r="C2242" s="252"/>
      <c r="D2242" s="251"/>
      <c r="E2242" s="253"/>
      <c r="F2242"/>
      <c r="G2242"/>
      <c r="H2242"/>
      <c r="I2242"/>
      <c r="J2242"/>
      <c r="K2242"/>
    </row>
    <row r="2243" spans="1:11" ht="13.5" customHeight="1" x14ac:dyDescent="0.25">
      <c r="A2243" s="251"/>
      <c r="B2243" s="251"/>
      <c r="C2243" s="252"/>
      <c r="D2243" s="251"/>
      <c r="E2243" s="253"/>
      <c r="F2243"/>
      <c r="G2243"/>
      <c r="H2243"/>
      <c r="I2243"/>
      <c r="J2243"/>
      <c r="K2243"/>
    </row>
    <row r="2244" spans="1:11" ht="13.5" customHeight="1" x14ac:dyDescent="0.25">
      <c r="A2244" s="251"/>
      <c r="B2244" s="251"/>
      <c r="C2244" s="252"/>
      <c r="D2244" s="251"/>
      <c r="E2244" s="253"/>
      <c r="F2244"/>
      <c r="G2244"/>
      <c r="H2244"/>
      <c r="I2244"/>
      <c r="J2244"/>
      <c r="K2244"/>
    </row>
    <row r="2245" spans="1:11" ht="13.5" customHeight="1" x14ac:dyDescent="0.25">
      <c r="A2245" s="251"/>
      <c r="B2245" s="251"/>
      <c r="C2245" s="252"/>
      <c r="D2245" s="251"/>
      <c r="E2245" s="253"/>
      <c r="F2245"/>
      <c r="G2245"/>
      <c r="H2245"/>
      <c r="I2245"/>
      <c r="J2245"/>
      <c r="K2245"/>
    </row>
    <row r="2246" spans="1:11" ht="13.5" customHeight="1" x14ac:dyDescent="0.25">
      <c r="A2246" s="251"/>
      <c r="B2246" s="251"/>
      <c r="C2246" s="252"/>
      <c r="D2246" s="251"/>
      <c r="E2246" s="253"/>
      <c r="F2246"/>
      <c r="G2246"/>
      <c r="H2246"/>
      <c r="I2246"/>
      <c r="J2246"/>
      <c r="K2246"/>
    </row>
    <row r="2247" spans="1:11" ht="13.5" customHeight="1" x14ac:dyDescent="0.25">
      <c r="A2247" s="251"/>
      <c r="B2247" s="251"/>
      <c r="C2247" s="252"/>
      <c r="D2247" s="251"/>
      <c r="E2247" s="253"/>
      <c r="F2247"/>
      <c r="G2247"/>
      <c r="H2247"/>
      <c r="I2247"/>
      <c r="J2247"/>
      <c r="K2247"/>
    </row>
    <row r="2248" spans="1:11" ht="13.5" customHeight="1" x14ac:dyDescent="0.25">
      <c r="A2248" s="251"/>
      <c r="B2248" s="251"/>
      <c r="C2248" s="252"/>
      <c r="D2248" s="251"/>
      <c r="E2248" s="253"/>
      <c r="F2248"/>
      <c r="G2248"/>
      <c r="H2248"/>
      <c r="I2248"/>
      <c r="J2248"/>
      <c r="K2248"/>
    </row>
    <row r="2249" spans="1:11" ht="13.5" customHeight="1" x14ac:dyDescent="0.25">
      <c r="A2249" s="251"/>
      <c r="B2249" s="251"/>
      <c r="C2249" s="252"/>
      <c r="D2249" s="251"/>
      <c r="E2249" s="253"/>
      <c r="F2249"/>
      <c r="G2249"/>
      <c r="H2249"/>
      <c r="I2249"/>
      <c r="J2249"/>
      <c r="K2249"/>
    </row>
    <row r="2250" spans="1:11" ht="13.5" customHeight="1" x14ac:dyDescent="0.25">
      <c r="A2250" s="251"/>
      <c r="B2250" s="251"/>
      <c r="C2250" s="252"/>
      <c r="D2250" s="251"/>
      <c r="E2250" s="253"/>
      <c r="F2250"/>
      <c r="G2250"/>
      <c r="H2250"/>
      <c r="I2250"/>
      <c r="J2250"/>
      <c r="K2250"/>
    </row>
    <row r="2251" spans="1:11" ht="13.5" customHeight="1" x14ac:dyDescent="0.25">
      <c r="A2251" s="251"/>
      <c r="B2251" s="251"/>
      <c r="C2251" s="252"/>
      <c r="D2251" s="251"/>
      <c r="E2251" s="253"/>
      <c r="F2251"/>
      <c r="G2251"/>
      <c r="H2251"/>
      <c r="I2251"/>
      <c r="J2251"/>
      <c r="K2251"/>
    </row>
    <row r="2252" spans="1:11" ht="13.5" customHeight="1" x14ac:dyDescent="0.25">
      <c r="A2252" s="251"/>
      <c r="B2252" s="251"/>
      <c r="C2252" s="252"/>
      <c r="D2252" s="251"/>
      <c r="E2252" s="253"/>
      <c r="F2252"/>
      <c r="G2252"/>
      <c r="H2252"/>
      <c r="I2252"/>
      <c r="J2252"/>
      <c r="K2252"/>
    </row>
    <row r="2253" spans="1:11" ht="13.5" customHeight="1" x14ac:dyDescent="0.25">
      <c r="A2253" s="251"/>
      <c r="B2253" s="251"/>
      <c r="C2253" s="252"/>
      <c r="D2253" s="251"/>
      <c r="E2253" s="253"/>
      <c r="F2253"/>
      <c r="G2253"/>
      <c r="H2253"/>
      <c r="I2253"/>
      <c r="J2253"/>
      <c r="K2253"/>
    </row>
    <row r="2254" spans="1:11" ht="13.5" customHeight="1" x14ac:dyDescent="0.25">
      <c r="A2254" s="251"/>
      <c r="B2254" s="251"/>
      <c r="C2254" s="252"/>
      <c r="D2254" s="251"/>
      <c r="E2254" s="253"/>
      <c r="F2254"/>
      <c r="G2254"/>
      <c r="H2254"/>
      <c r="I2254"/>
      <c r="J2254"/>
      <c r="K2254"/>
    </row>
    <row r="2255" spans="1:11" ht="13.5" customHeight="1" x14ac:dyDescent="0.25">
      <c r="A2255" s="251"/>
      <c r="B2255" s="251"/>
      <c r="C2255" s="252"/>
      <c r="D2255" s="251"/>
      <c r="E2255" s="253"/>
      <c r="F2255"/>
      <c r="G2255"/>
      <c r="H2255"/>
      <c r="I2255"/>
      <c r="J2255"/>
      <c r="K2255"/>
    </row>
    <row r="2256" spans="1:11" ht="13.5" customHeight="1" x14ac:dyDescent="0.25">
      <c r="A2256" s="251"/>
      <c r="B2256" s="251"/>
      <c r="C2256" s="252"/>
      <c r="D2256" s="251"/>
      <c r="E2256" s="253"/>
      <c r="F2256"/>
      <c r="G2256"/>
      <c r="H2256"/>
      <c r="I2256"/>
      <c r="J2256"/>
      <c r="K2256"/>
    </row>
    <row r="2257" spans="1:11" ht="13.5" customHeight="1" x14ac:dyDescent="0.25">
      <c r="A2257" s="251"/>
      <c r="B2257" s="251"/>
      <c r="C2257" s="252"/>
      <c r="D2257" s="251"/>
      <c r="E2257" s="253"/>
      <c r="F2257"/>
      <c r="G2257"/>
      <c r="H2257"/>
      <c r="I2257"/>
      <c r="J2257"/>
      <c r="K2257"/>
    </row>
    <row r="2258" spans="1:11" ht="13.5" customHeight="1" x14ac:dyDescent="0.25">
      <c r="A2258" s="251"/>
      <c r="B2258" s="251"/>
      <c r="C2258" s="252"/>
      <c r="D2258" s="251"/>
      <c r="E2258" s="253"/>
      <c r="F2258"/>
      <c r="G2258"/>
      <c r="H2258"/>
      <c r="I2258"/>
      <c r="J2258"/>
      <c r="K2258"/>
    </row>
    <row r="2259" spans="1:11" ht="13.5" customHeight="1" x14ac:dyDescent="0.25">
      <c r="A2259" s="251"/>
      <c r="B2259" s="251"/>
      <c r="C2259" s="252"/>
      <c r="D2259" s="251"/>
      <c r="E2259" s="253"/>
      <c r="F2259"/>
      <c r="G2259"/>
      <c r="H2259"/>
      <c r="I2259"/>
      <c r="J2259"/>
      <c r="K2259"/>
    </row>
    <row r="2260" spans="1:11" ht="13.5" customHeight="1" x14ac:dyDescent="0.25">
      <c r="A2260" s="251"/>
      <c r="B2260" s="251"/>
      <c r="C2260" s="252"/>
      <c r="D2260" s="251"/>
      <c r="E2260" s="253"/>
      <c r="F2260"/>
      <c r="G2260"/>
      <c r="H2260"/>
      <c r="I2260"/>
      <c r="J2260"/>
      <c r="K2260"/>
    </row>
    <row r="2261" spans="1:11" ht="13.5" customHeight="1" x14ac:dyDescent="0.25">
      <c r="A2261" s="251"/>
      <c r="B2261" s="251"/>
      <c r="C2261" s="252"/>
      <c r="D2261" s="251"/>
      <c r="E2261" s="253"/>
      <c r="F2261"/>
      <c r="G2261"/>
      <c r="H2261"/>
      <c r="I2261"/>
      <c r="J2261"/>
      <c r="K2261"/>
    </row>
    <row r="2262" spans="1:11" ht="13.5" customHeight="1" x14ac:dyDescent="0.25">
      <c r="A2262" s="251"/>
      <c r="B2262" s="251"/>
      <c r="C2262" s="252"/>
      <c r="D2262" s="251"/>
      <c r="E2262" s="253"/>
      <c r="F2262"/>
      <c r="G2262"/>
      <c r="H2262"/>
      <c r="I2262"/>
      <c r="J2262"/>
      <c r="K2262"/>
    </row>
    <row r="2263" spans="1:11" ht="13.5" customHeight="1" x14ac:dyDescent="0.25">
      <c r="A2263" s="251"/>
      <c r="B2263" s="251"/>
      <c r="C2263" s="252"/>
      <c r="D2263" s="251"/>
      <c r="E2263" s="253"/>
      <c r="F2263"/>
      <c r="G2263"/>
      <c r="H2263"/>
      <c r="I2263"/>
      <c r="J2263"/>
      <c r="K2263"/>
    </row>
    <row r="2264" spans="1:11" ht="13.5" customHeight="1" x14ac:dyDescent="0.25">
      <c r="A2264" s="251"/>
      <c r="B2264" s="251"/>
      <c r="C2264" s="252"/>
      <c r="D2264" s="251"/>
      <c r="E2264" s="253"/>
      <c r="F2264"/>
      <c r="G2264"/>
      <c r="H2264"/>
      <c r="I2264"/>
      <c r="J2264"/>
      <c r="K2264"/>
    </row>
    <row r="2265" spans="1:11" ht="13.5" customHeight="1" x14ac:dyDescent="0.25">
      <c r="A2265" s="251"/>
      <c r="B2265" s="251"/>
      <c r="C2265" s="252"/>
      <c r="D2265" s="251"/>
      <c r="E2265" s="253"/>
      <c r="F2265"/>
      <c r="G2265"/>
      <c r="H2265"/>
      <c r="I2265"/>
      <c r="J2265"/>
      <c r="K2265"/>
    </row>
    <row r="2266" spans="1:11" ht="13.5" customHeight="1" x14ac:dyDescent="0.25">
      <c r="F2266"/>
      <c r="G2266"/>
      <c r="H2266"/>
      <c r="I2266"/>
      <c r="J2266"/>
      <c r="K2266"/>
    </row>
    <row r="2267" spans="1:11" ht="13.5" customHeight="1" x14ac:dyDescent="0.25">
      <c r="F2267"/>
      <c r="G2267"/>
      <c r="H2267"/>
      <c r="I2267"/>
      <c r="J2267"/>
      <c r="K2267"/>
    </row>
    <row r="2268" spans="1:11" ht="13.5" customHeight="1" x14ac:dyDescent="0.25">
      <c r="A2268"/>
      <c r="B2268"/>
      <c r="C2268"/>
      <c r="D2268"/>
      <c r="E2268"/>
      <c r="F2268"/>
      <c r="G2268"/>
      <c r="H2268"/>
      <c r="I2268"/>
      <c r="J2268"/>
      <c r="K2268"/>
    </row>
    <row r="2269" spans="1:11" ht="13.5" customHeight="1" x14ac:dyDescent="0.25">
      <c r="A2269"/>
      <c r="B2269"/>
      <c r="C2269"/>
      <c r="D2269"/>
      <c r="E2269"/>
      <c r="F2269"/>
      <c r="G2269"/>
      <c r="H2269"/>
      <c r="I2269"/>
      <c r="J2269"/>
      <c r="K2269"/>
    </row>
    <row r="2270" spans="1:11" ht="13.5" customHeight="1" x14ac:dyDescent="0.25">
      <c r="A2270"/>
      <c r="B2270"/>
      <c r="C2270"/>
      <c r="D2270"/>
      <c r="E2270"/>
      <c r="F2270"/>
      <c r="G2270"/>
      <c r="H2270"/>
      <c r="I2270"/>
      <c r="J2270"/>
      <c r="K2270"/>
    </row>
    <row r="2271" spans="1:11" ht="13.5" customHeight="1" x14ac:dyDescent="0.25">
      <c r="A2271"/>
      <c r="B2271"/>
      <c r="C2271"/>
      <c r="D2271"/>
      <c r="E2271"/>
      <c r="F2271"/>
      <c r="G2271"/>
      <c r="H2271"/>
      <c r="I2271"/>
      <c r="J2271"/>
      <c r="K2271"/>
    </row>
    <row r="2272" spans="1:11" ht="13.5" customHeight="1" x14ac:dyDescent="0.25">
      <c r="A2272"/>
      <c r="B2272"/>
      <c r="C2272"/>
      <c r="D2272"/>
      <c r="E2272"/>
      <c r="F2272"/>
      <c r="G2272"/>
      <c r="H2272"/>
      <c r="I2272"/>
      <c r="J2272"/>
      <c r="K2272"/>
    </row>
    <row r="2273" customFormat="1" ht="13.5" customHeight="1" x14ac:dyDescent="0.25"/>
    <row r="2274" customFormat="1" ht="13.5" customHeight="1" x14ac:dyDescent="0.25"/>
    <row r="2275" customFormat="1" ht="13.5" customHeight="1" x14ac:dyDescent="0.25"/>
    <row r="2276" customFormat="1" ht="13.5" customHeight="1" x14ac:dyDescent="0.25"/>
    <row r="2277" customFormat="1" ht="13.5" customHeight="1" x14ac:dyDescent="0.25"/>
    <row r="2278" customFormat="1" ht="13.5" customHeight="1" x14ac:dyDescent="0.25"/>
    <row r="2279" customFormat="1" ht="13.5" customHeight="1" x14ac:dyDescent="0.25"/>
    <row r="2280" customFormat="1" ht="13.5" customHeight="1" x14ac:dyDescent="0.25"/>
    <row r="2281" customFormat="1" ht="13.5" customHeight="1" x14ac:dyDescent="0.25"/>
    <row r="2282" customFormat="1" ht="13.5" customHeight="1" x14ac:dyDescent="0.25"/>
    <row r="2283" customFormat="1" ht="13.5" customHeight="1" x14ac:dyDescent="0.25"/>
    <row r="2284" customFormat="1" ht="13.5" customHeight="1" x14ac:dyDescent="0.25"/>
    <row r="2285" customFormat="1" ht="13.5" customHeight="1" x14ac:dyDescent="0.25"/>
    <row r="2286" customFormat="1" ht="13.5" customHeight="1" x14ac:dyDescent="0.25"/>
    <row r="2287" customFormat="1" ht="13.5" customHeight="1" x14ac:dyDescent="0.25"/>
    <row r="2288" customFormat="1" ht="13.5" customHeight="1" x14ac:dyDescent="0.25"/>
    <row r="2289" customFormat="1" ht="13.5" customHeight="1" x14ac:dyDescent="0.25"/>
    <row r="2290" customFormat="1" ht="13.5" customHeight="1" x14ac:dyDescent="0.25"/>
    <row r="2291" customFormat="1" ht="13.5" customHeight="1" x14ac:dyDescent="0.25"/>
    <row r="2292" customFormat="1" ht="13.5" customHeight="1" x14ac:dyDescent="0.25"/>
    <row r="2293" customFormat="1" ht="13.5" customHeight="1" x14ac:dyDescent="0.25"/>
    <row r="2294" customFormat="1" ht="13.5" customHeight="1" x14ac:dyDescent="0.25"/>
    <row r="2295" customFormat="1" ht="13.5" customHeight="1" x14ac:dyDescent="0.25"/>
    <row r="2296" customFormat="1" ht="13.5" customHeight="1" x14ac:dyDescent="0.25"/>
    <row r="2297" customFormat="1" ht="13.5" customHeight="1" x14ac:dyDescent="0.25"/>
    <row r="2298" customFormat="1" ht="13.5" customHeight="1" x14ac:dyDescent="0.25"/>
    <row r="2299" customFormat="1" ht="13.5" customHeight="1" x14ac:dyDescent="0.25"/>
    <row r="2300" customFormat="1" ht="13.5" customHeight="1" x14ac:dyDescent="0.25"/>
    <row r="2301" customFormat="1" ht="13.5" customHeight="1" x14ac:dyDescent="0.25"/>
    <row r="2302" customFormat="1" ht="13.5" customHeight="1" x14ac:dyDescent="0.25"/>
    <row r="2303" customFormat="1" ht="13.5" customHeight="1" x14ac:dyDescent="0.25"/>
    <row r="2304" customFormat="1" ht="13.5" customHeight="1" x14ac:dyDescent="0.25"/>
    <row r="2305" customFormat="1" ht="13.5" customHeight="1" x14ac:dyDescent="0.25"/>
    <row r="2306" customFormat="1" ht="13.5" customHeight="1" x14ac:dyDescent="0.25"/>
    <row r="2307" customFormat="1" ht="13.5" customHeight="1" x14ac:dyDescent="0.25"/>
    <row r="2308" customFormat="1" ht="13.5" customHeight="1" x14ac:dyDescent="0.25"/>
    <row r="2309" customFormat="1" ht="13.5" customHeight="1" x14ac:dyDescent="0.25"/>
    <row r="2310" customFormat="1" ht="13.5" customHeight="1" x14ac:dyDescent="0.25"/>
    <row r="2311" customFormat="1" ht="13.5" customHeight="1" x14ac:dyDescent="0.25"/>
    <row r="2312" customFormat="1" ht="13.5" customHeight="1" x14ac:dyDescent="0.25"/>
    <row r="2313" customFormat="1" ht="13.5" customHeight="1" x14ac:dyDescent="0.25"/>
    <row r="2314" customFormat="1" ht="13.5" customHeight="1" x14ac:dyDescent="0.25"/>
    <row r="2315" customFormat="1" ht="13.5" customHeight="1" x14ac:dyDescent="0.25"/>
    <row r="2316" customFormat="1" ht="13.5" customHeight="1" x14ac:dyDescent="0.25"/>
    <row r="2317" customFormat="1" ht="13.5" customHeight="1" x14ac:dyDescent="0.25"/>
    <row r="2318" customFormat="1" ht="13.5" customHeight="1" x14ac:dyDescent="0.25"/>
    <row r="2319" customFormat="1" ht="13.5" customHeight="1" x14ac:dyDescent="0.25"/>
    <row r="2320" customFormat="1" ht="13.5" customHeight="1" x14ac:dyDescent="0.25"/>
    <row r="2321" customFormat="1" ht="13.5" customHeight="1" x14ac:dyDescent="0.25"/>
    <row r="2322" customFormat="1" ht="13.5" customHeight="1" x14ac:dyDescent="0.25"/>
    <row r="2323" customFormat="1" ht="13.5" customHeight="1" x14ac:dyDescent="0.25"/>
    <row r="2324" customFormat="1" ht="13.5" customHeight="1" x14ac:dyDescent="0.25"/>
    <row r="2325" customFormat="1" ht="13.5" customHeight="1" x14ac:dyDescent="0.25"/>
    <row r="2326" customFormat="1" ht="13.5" customHeight="1" x14ac:dyDescent="0.25"/>
    <row r="2327" customFormat="1" ht="13.5" customHeight="1" x14ac:dyDescent="0.25"/>
    <row r="2328" customFormat="1" ht="13.5" customHeight="1" x14ac:dyDescent="0.25"/>
    <row r="2329" customFormat="1" ht="13.5" customHeight="1" x14ac:dyDescent="0.25"/>
    <row r="2330" customFormat="1" ht="13.5" customHeight="1" x14ac:dyDescent="0.25"/>
    <row r="2331" customFormat="1" ht="13.5" customHeight="1" x14ac:dyDescent="0.25"/>
    <row r="2332" customFormat="1" ht="13.5" customHeight="1" x14ac:dyDescent="0.25"/>
    <row r="2333" customFormat="1" ht="13.5" customHeight="1" x14ac:dyDescent="0.25"/>
    <row r="2334" customFormat="1" ht="13.5" customHeight="1" x14ac:dyDescent="0.25"/>
    <row r="2335" customFormat="1" ht="13.5" customHeight="1" x14ac:dyDescent="0.25"/>
    <row r="2336" customFormat="1" ht="13.5" customHeight="1" x14ac:dyDescent="0.25"/>
    <row r="2337" customFormat="1" ht="13.5" customHeight="1" x14ac:dyDescent="0.25"/>
    <row r="2338" customFormat="1" ht="13.5" customHeight="1" x14ac:dyDescent="0.25"/>
    <row r="2339" customFormat="1" ht="13.5" customHeight="1" x14ac:dyDescent="0.25"/>
    <row r="2340" customFormat="1" ht="13.5" customHeight="1" x14ac:dyDescent="0.25"/>
    <row r="2341" customFormat="1" ht="13.5" customHeight="1" x14ac:dyDescent="0.25"/>
    <row r="2342" customFormat="1" ht="13.5" customHeight="1" x14ac:dyDescent="0.25"/>
    <row r="2343" customFormat="1" ht="13.5" customHeight="1" x14ac:dyDescent="0.25"/>
    <row r="2344" customFormat="1" ht="13.5" customHeight="1" x14ac:dyDescent="0.25"/>
    <row r="2345" customFormat="1" ht="13.5" customHeight="1" x14ac:dyDescent="0.25"/>
    <row r="2346" customFormat="1" ht="13.5" customHeight="1" x14ac:dyDescent="0.25"/>
    <row r="2347" customFormat="1" ht="13.5" customHeight="1" x14ac:dyDescent="0.25"/>
    <row r="2348" customFormat="1" ht="13.5" customHeight="1" x14ac:dyDescent="0.25"/>
    <row r="2349" customFormat="1" ht="13.5" customHeight="1" x14ac:dyDescent="0.25"/>
    <row r="2350" customFormat="1" ht="13.5" customHeight="1" x14ac:dyDescent="0.25"/>
    <row r="2351" customFormat="1" ht="13.5" customHeight="1" x14ac:dyDescent="0.25"/>
    <row r="2352" customFormat="1" ht="13.5" customHeight="1" x14ac:dyDescent="0.25"/>
    <row r="2353" customFormat="1" ht="13.5" customHeight="1" x14ac:dyDescent="0.25"/>
    <row r="2354" customFormat="1" ht="13.5" customHeight="1" x14ac:dyDescent="0.25"/>
    <row r="2355" customFormat="1" ht="13.5" customHeight="1" x14ac:dyDescent="0.25"/>
    <row r="2356" customFormat="1" ht="13.5" customHeight="1" x14ac:dyDescent="0.25"/>
    <row r="2357" customFormat="1" ht="13.5" customHeight="1" x14ac:dyDescent="0.25"/>
    <row r="2358" customFormat="1" ht="13.5" customHeight="1" x14ac:dyDescent="0.25"/>
    <row r="2359" customFormat="1" ht="13.5" customHeight="1" x14ac:dyDescent="0.25"/>
    <row r="2360" customFormat="1" ht="13.5" customHeight="1" x14ac:dyDescent="0.25"/>
    <row r="2361" customFormat="1" ht="13.5" customHeight="1" x14ac:dyDescent="0.25"/>
    <row r="2362" customFormat="1" ht="13.5" customHeight="1" x14ac:dyDescent="0.25"/>
    <row r="2363" customFormat="1" ht="13.5" customHeight="1" x14ac:dyDescent="0.25"/>
    <row r="2364" customFormat="1" ht="13.5" customHeight="1" x14ac:dyDescent="0.25"/>
    <row r="2365" customFormat="1" ht="13.5" customHeight="1" x14ac:dyDescent="0.25"/>
    <row r="2366" customFormat="1" ht="13.5" customHeight="1" x14ac:dyDescent="0.25"/>
    <row r="2367" customFormat="1" ht="13.5" customHeight="1" x14ac:dyDescent="0.25"/>
    <row r="2368" customFormat="1" ht="13.5" customHeight="1" x14ac:dyDescent="0.25"/>
    <row r="2369" customFormat="1" ht="13.5" customHeight="1" x14ac:dyDescent="0.25"/>
    <row r="2370" customFormat="1" ht="13.5" customHeight="1" x14ac:dyDescent="0.25"/>
    <row r="2371" customFormat="1" ht="13.5" customHeight="1" x14ac:dyDescent="0.25"/>
    <row r="2372" customFormat="1" ht="13.5" customHeight="1" x14ac:dyDescent="0.25"/>
    <row r="2373" customFormat="1" ht="13.5" customHeight="1" x14ac:dyDescent="0.25"/>
    <row r="2374" customFormat="1" ht="13.5" customHeight="1" x14ac:dyDescent="0.25"/>
    <row r="2375" customFormat="1" ht="13.5" customHeight="1" x14ac:dyDescent="0.25"/>
    <row r="2376" customFormat="1" ht="13.5" customHeight="1" x14ac:dyDescent="0.25"/>
    <row r="2377" customFormat="1" ht="13.5" customHeight="1" x14ac:dyDescent="0.25"/>
    <row r="2378" customFormat="1" ht="13.5" customHeight="1" x14ac:dyDescent="0.25"/>
    <row r="2379" customFormat="1" ht="13.5" customHeight="1" x14ac:dyDescent="0.25"/>
    <row r="2380" customFormat="1" ht="13.5" customHeight="1" x14ac:dyDescent="0.25"/>
    <row r="2381" customFormat="1" ht="13.5" customHeight="1" x14ac:dyDescent="0.25"/>
    <row r="2382" customFormat="1" ht="13.5" customHeight="1" x14ac:dyDescent="0.25"/>
    <row r="2383" customFormat="1" ht="13.5" customHeight="1" x14ac:dyDescent="0.25"/>
    <row r="2384" customFormat="1" ht="13.5" customHeight="1" x14ac:dyDescent="0.25"/>
    <row r="2385" customFormat="1" ht="13.5" customHeight="1" x14ac:dyDescent="0.25"/>
    <row r="2386" customFormat="1" ht="13.5" customHeight="1" x14ac:dyDescent="0.25"/>
    <row r="2387" customFormat="1" ht="13.5" customHeight="1" x14ac:dyDescent="0.25"/>
    <row r="2388" customFormat="1" ht="13.5" customHeight="1" x14ac:dyDescent="0.25"/>
    <row r="2389" customFormat="1" ht="13.5" customHeight="1" x14ac:dyDescent="0.25"/>
    <row r="2390" customFormat="1" ht="13.5" customHeight="1" x14ac:dyDescent="0.25"/>
    <row r="2391" customFormat="1" ht="13.5" customHeight="1" x14ac:dyDescent="0.25"/>
    <row r="2392" customFormat="1" ht="13.5" customHeight="1" x14ac:dyDescent="0.25"/>
    <row r="2393" customFormat="1" ht="13.5" customHeight="1" x14ac:dyDescent="0.25"/>
    <row r="2394" customFormat="1" ht="13.5" customHeight="1" x14ac:dyDescent="0.25"/>
    <row r="2395" customFormat="1" ht="13.5" customHeight="1" x14ac:dyDescent="0.25"/>
    <row r="2396" customFormat="1" ht="13.5" customHeight="1" x14ac:dyDescent="0.25"/>
    <row r="2397" customFormat="1" ht="13.5" customHeight="1" x14ac:dyDescent="0.25"/>
    <row r="2398" customFormat="1" ht="13.5" customHeight="1" x14ac:dyDescent="0.25"/>
    <row r="2399" customFormat="1" ht="13.5" customHeight="1" x14ac:dyDescent="0.25"/>
    <row r="2400" customFormat="1" ht="13.5" customHeight="1" x14ac:dyDescent="0.25"/>
    <row r="2401" customFormat="1" ht="13.5" customHeight="1" x14ac:dyDescent="0.25"/>
    <row r="2402" customFormat="1" ht="13.5" customHeight="1" x14ac:dyDescent="0.25"/>
    <row r="2403" customFormat="1" ht="13.5" customHeight="1" x14ac:dyDescent="0.25"/>
    <row r="2404" customFormat="1" ht="13.5" customHeight="1" x14ac:dyDescent="0.25"/>
    <row r="2405" customFormat="1" ht="13.5" customHeight="1" x14ac:dyDescent="0.25"/>
    <row r="2406" customFormat="1" ht="13.5" customHeight="1" x14ac:dyDescent="0.25"/>
    <row r="2407" customFormat="1" ht="13.5" customHeight="1" x14ac:dyDescent="0.25"/>
    <row r="2408" customFormat="1" ht="13.5" customHeight="1" x14ac:dyDescent="0.25"/>
    <row r="2409" customFormat="1" ht="13.5" customHeight="1" x14ac:dyDescent="0.25"/>
    <row r="2410" customFormat="1" ht="13.5" customHeight="1" x14ac:dyDescent="0.25"/>
    <row r="2411" customFormat="1" ht="13.5" customHeight="1" x14ac:dyDescent="0.25"/>
    <row r="2412" customFormat="1" ht="13.5" customHeight="1" x14ac:dyDescent="0.25"/>
    <row r="2413" customFormat="1" ht="13.5" customHeight="1" x14ac:dyDescent="0.25"/>
    <row r="2414" customFormat="1" ht="13.5" customHeight="1" x14ac:dyDescent="0.25"/>
    <row r="2415" customFormat="1" ht="13.5" customHeight="1" x14ac:dyDescent="0.25"/>
    <row r="2416" customFormat="1" ht="13.5" customHeight="1" x14ac:dyDescent="0.25"/>
    <row r="2417" customFormat="1" ht="13.5" customHeight="1" x14ac:dyDescent="0.25"/>
    <row r="2418" customFormat="1" ht="13.5" customHeight="1" x14ac:dyDescent="0.25"/>
    <row r="2419" customFormat="1" ht="13.5" customHeight="1" x14ac:dyDescent="0.25"/>
    <row r="2420" customFormat="1" ht="13.5" customHeight="1" x14ac:dyDescent="0.25"/>
    <row r="2421" customFormat="1" ht="13.5" customHeight="1" x14ac:dyDescent="0.25"/>
    <row r="2422" customFormat="1" ht="13.5" customHeight="1" x14ac:dyDescent="0.25"/>
    <row r="2423" customFormat="1" ht="13.5" customHeight="1" x14ac:dyDescent="0.25"/>
    <row r="2424" customFormat="1" ht="13.5" customHeight="1" x14ac:dyDescent="0.25"/>
    <row r="2425" customFormat="1" ht="13.5" customHeight="1" x14ac:dyDescent="0.25"/>
    <row r="2426" customFormat="1" ht="13.5" customHeight="1" x14ac:dyDescent="0.25"/>
    <row r="2427" customFormat="1" ht="13.5" customHeight="1" x14ac:dyDescent="0.25"/>
    <row r="2428" customFormat="1" ht="13.5" customHeight="1" x14ac:dyDescent="0.25"/>
    <row r="2429" customFormat="1" ht="13.5" customHeight="1" x14ac:dyDescent="0.25"/>
    <row r="2430" customFormat="1" ht="13.5" customHeight="1" x14ac:dyDescent="0.25"/>
    <row r="2431" customFormat="1" ht="13.5" customHeight="1" x14ac:dyDescent="0.25"/>
    <row r="2432" customFormat="1" ht="13.5" customHeight="1" x14ac:dyDescent="0.25"/>
    <row r="2433" customFormat="1" ht="13.5" customHeight="1" x14ac:dyDescent="0.25"/>
    <row r="2434" customFormat="1" ht="13.5" customHeight="1" x14ac:dyDescent="0.25"/>
    <row r="2435" customFormat="1" ht="13.5" customHeight="1" x14ac:dyDescent="0.25"/>
    <row r="2436" customFormat="1" ht="13.5" customHeight="1" x14ac:dyDescent="0.25"/>
    <row r="2437" customFormat="1" ht="13.5" customHeight="1" x14ac:dyDescent="0.25"/>
    <row r="2438" customFormat="1" ht="13.5" customHeight="1" x14ac:dyDescent="0.25"/>
    <row r="2439" customFormat="1" ht="13.5" customHeight="1" x14ac:dyDescent="0.25"/>
    <row r="2440" customFormat="1" ht="13.5" customHeight="1" x14ac:dyDescent="0.25"/>
    <row r="2441" customFormat="1" ht="13.5" customHeight="1" x14ac:dyDescent="0.25"/>
    <row r="2442" customFormat="1" ht="13.5" customHeight="1" x14ac:dyDescent="0.25"/>
    <row r="2443" customFormat="1" ht="13.5" customHeight="1" x14ac:dyDescent="0.25"/>
    <row r="2444" customFormat="1" ht="13.5" customHeight="1" x14ac:dyDescent="0.25"/>
    <row r="2445" customFormat="1" ht="13.5" customHeight="1" x14ac:dyDescent="0.25"/>
    <row r="2446" customFormat="1" ht="13.5" customHeight="1" x14ac:dyDescent="0.25"/>
    <row r="2447" customFormat="1" ht="13.5" customHeight="1" x14ac:dyDescent="0.25"/>
    <row r="2448" customFormat="1" ht="13.5" customHeight="1" x14ac:dyDescent="0.25"/>
    <row r="2449" customFormat="1" ht="13.5" customHeight="1" x14ac:dyDescent="0.25"/>
    <row r="2450" customFormat="1" ht="13.5" customHeight="1" x14ac:dyDescent="0.25"/>
    <row r="2451" customFormat="1" ht="13.5" customHeight="1" x14ac:dyDescent="0.25"/>
    <row r="2452" customFormat="1" ht="13.5" customHeight="1" x14ac:dyDescent="0.25"/>
    <row r="2453" customFormat="1" ht="13.5" customHeight="1" x14ac:dyDescent="0.25"/>
    <row r="2454" customFormat="1" ht="13.5" customHeight="1" x14ac:dyDescent="0.25"/>
    <row r="2455" customFormat="1" ht="13.5" customHeight="1" x14ac:dyDescent="0.25"/>
    <row r="2456" customFormat="1" ht="13.5" customHeight="1" x14ac:dyDescent="0.25"/>
    <row r="2457" customFormat="1" ht="13.5" customHeight="1" x14ac:dyDescent="0.25"/>
    <row r="2458" customFormat="1" ht="13.5" customHeight="1" x14ac:dyDescent="0.25"/>
    <row r="2459" customFormat="1" ht="13.5" customHeight="1" x14ac:dyDescent="0.25"/>
    <row r="2460" customFormat="1" ht="13.5" customHeight="1" x14ac:dyDescent="0.25"/>
    <row r="2461" customFormat="1" ht="13.5" customHeight="1" x14ac:dyDescent="0.25"/>
    <row r="2462" customFormat="1" ht="13.5" customHeight="1" x14ac:dyDescent="0.25"/>
    <row r="2463" customFormat="1" ht="13.5" customHeight="1" x14ac:dyDescent="0.25"/>
    <row r="2464" customFormat="1" ht="13.5" customHeight="1" x14ac:dyDescent="0.25"/>
    <row r="2465" customFormat="1" ht="13.5" customHeight="1" x14ac:dyDescent="0.25"/>
    <row r="2466" customFormat="1" ht="13.5" customHeight="1" x14ac:dyDescent="0.25"/>
    <row r="2467" customFormat="1" ht="13.5" customHeight="1" x14ac:dyDescent="0.25"/>
    <row r="2468" customFormat="1" ht="13.5" customHeight="1" x14ac:dyDescent="0.25"/>
    <row r="2469" customFormat="1" ht="13.5" customHeight="1" x14ac:dyDescent="0.25"/>
    <row r="2470" customFormat="1" ht="13.5" customHeight="1" x14ac:dyDescent="0.25"/>
    <row r="2471" customFormat="1" ht="13.5" customHeight="1" x14ac:dyDescent="0.25"/>
    <row r="2472" customFormat="1" ht="13.5" customHeight="1" x14ac:dyDescent="0.25"/>
    <row r="2473" customFormat="1" ht="13.5" customHeight="1" x14ac:dyDescent="0.25"/>
    <row r="2474" customFormat="1" ht="13.5" customHeight="1" x14ac:dyDescent="0.25"/>
    <row r="2475" customFormat="1" ht="13.5" customHeight="1" x14ac:dyDescent="0.25"/>
    <row r="2476" customFormat="1" ht="13.5" customHeight="1" x14ac:dyDescent="0.25"/>
    <row r="2477" customFormat="1" ht="13.5" customHeight="1" x14ac:dyDescent="0.25"/>
    <row r="2478" customFormat="1" ht="13.5" customHeight="1" x14ac:dyDescent="0.25"/>
    <row r="2479" customFormat="1" ht="13.5" customHeight="1" x14ac:dyDescent="0.25"/>
    <row r="2480" customFormat="1" ht="13.5" customHeight="1" x14ac:dyDescent="0.25"/>
    <row r="2481" customFormat="1" ht="13.5" customHeight="1" x14ac:dyDescent="0.25"/>
    <row r="2482" customFormat="1" ht="13.5" customHeight="1" x14ac:dyDescent="0.25"/>
    <row r="2483" customFormat="1" ht="13.5" customHeight="1" x14ac:dyDescent="0.25"/>
    <row r="2484" customFormat="1" ht="13.5" customHeight="1" x14ac:dyDescent="0.25"/>
    <row r="2485" customFormat="1" ht="13.5" customHeight="1" x14ac:dyDescent="0.25"/>
    <row r="2486" customFormat="1" ht="13.5" customHeight="1" x14ac:dyDescent="0.25"/>
    <row r="2487" customFormat="1" ht="13.5" customHeight="1" x14ac:dyDescent="0.25"/>
    <row r="2488" customFormat="1" ht="13.5" customHeight="1" x14ac:dyDescent="0.25"/>
    <row r="2489" customFormat="1" ht="13.5" customHeight="1" x14ac:dyDescent="0.25"/>
    <row r="2490" customFormat="1" ht="13.5" customHeight="1" x14ac:dyDescent="0.25"/>
    <row r="2491" customFormat="1" ht="13.5" customHeight="1" x14ac:dyDescent="0.25"/>
    <row r="2492" customFormat="1" ht="13.5" customHeight="1" x14ac:dyDescent="0.25"/>
    <row r="2493" customFormat="1" ht="13.5" customHeight="1" x14ac:dyDescent="0.25"/>
    <row r="2494" customFormat="1" ht="13.5" customHeight="1" x14ac:dyDescent="0.25"/>
    <row r="2495" customFormat="1" ht="13.5" customHeight="1" x14ac:dyDescent="0.25"/>
    <row r="2496" customFormat="1" ht="13.5" customHeight="1" x14ac:dyDescent="0.25"/>
    <row r="2497" customFormat="1" ht="13.5" customHeight="1" x14ac:dyDescent="0.25"/>
    <row r="2498" customFormat="1" ht="13.5" customHeight="1" x14ac:dyDescent="0.25"/>
    <row r="2499" customFormat="1" ht="13.5" customHeight="1" x14ac:dyDescent="0.25"/>
    <row r="2500" customFormat="1" ht="13.5" customHeight="1" x14ac:dyDescent="0.25"/>
    <row r="2501" customFormat="1" ht="13.5" customHeight="1" x14ac:dyDescent="0.25"/>
    <row r="2502" customFormat="1" ht="13.5" customHeight="1" x14ac:dyDescent="0.25"/>
    <row r="2503" customFormat="1" ht="13.5" customHeight="1" x14ac:dyDescent="0.25"/>
    <row r="2504" customFormat="1" ht="13.5" customHeight="1" x14ac:dyDescent="0.25"/>
    <row r="2505" customFormat="1" ht="13.5" customHeight="1" x14ac:dyDescent="0.25"/>
    <row r="2506" customFormat="1" ht="13.5" customHeight="1" x14ac:dyDescent="0.25"/>
    <row r="2507" customFormat="1" ht="13.5" customHeight="1" x14ac:dyDescent="0.25"/>
    <row r="2508" customFormat="1" ht="13.5" customHeight="1" x14ac:dyDescent="0.25"/>
    <row r="2509" customFormat="1" ht="13.5" customHeight="1" x14ac:dyDescent="0.25"/>
    <row r="2510" customFormat="1" ht="13.5" customHeight="1" x14ac:dyDescent="0.25"/>
    <row r="2511" customFormat="1" ht="13.5" customHeight="1" x14ac:dyDescent="0.25"/>
    <row r="2512" customFormat="1" ht="13.5" customHeight="1" x14ac:dyDescent="0.25"/>
    <row r="2513" customFormat="1" ht="13.5" customHeight="1" x14ac:dyDescent="0.25"/>
    <row r="2514" customFormat="1" ht="13.5" customHeight="1" x14ac:dyDescent="0.25"/>
    <row r="2515" customFormat="1" ht="13.5" customHeight="1" x14ac:dyDescent="0.25"/>
    <row r="2516" customFormat="1" ht="13.5" customHeight="1" x14ac:dyDescent="0.25"/>
    <row r="2517" customFormat="1" ht="13.5" customHeight="1" x14ac:dyDescent="0.25"/>
    <row r="2518" customFormat="1" ht="13.5" customHeight="1" x14ac:dyDescent="0.25"/>
    <row r="2519" customFormat="1" ht="13.5" customHeight="1" x14ac:dyDescent="0.25"/>
    <row r="2520" customFormat="1" ht="13.5" customHeight="1" x14ac:dyDescent="0.25"/>
    <row r="2521" customFormat="1" ht="13.5" customHeight="1" x14ac:dyDescent="0.25"/>
    <row r="2522" customFormat="1" ht="13.5" customHeight="1" x14ac:dyDescent="0.25"/>
    <row r="2523" customFormat="1" ht="13.5" customHeight="1" x14ac:dyDescent="0.25"/>
    <row r="2524" customFormat="1" ht="13.5" customHeight="1" x14ac:dyDescent="0.25"/>
    <row r="2525" customFormat="1" ht="13.5" customHeight="1" x14ac:dyDescent="0.25"/>
    <row r="2526" customFormat="1" ht="13.5" customHeight="1" x14ac:dyDescent="0.25"/>
    <row r="2527" customFormat="1" ht="13.5" customHeight="1" x14ac:dyDescent="0.25"/>
    <row r="2528" customFormat="1" ht="13.5" customHeight="1" x14ac:dyDescent="0.25"/>
    <row r="2529" customFormat="1" ht="13.5" customHeight="1" x14ac:dyDescent="0.25"/>
    <row r="2530" customFormat="1" ht="13.5" customHeight="1" x14ac:dyDescent="0.25"/>
    <row r="2531" customFormat="1" ht="13.5" customHeight="1" x14ac:dyDescent="0.25"/>
    <row r="2532" customFormat="1" ht="13.5" customHeight="1" x14ac:dyDescent="0.25"/>
    <row r="2533" customFormat="1" ht="13.5" customHeight="1" x14ac:dyDescent="0.25"/>
    <row r="2534" customFormat="1" ht="13.5" customHeight="1" x14ac:dyDescent="0.25"/>
    <row r="2535" customFormat="1" ht="13.5" customHeight="1" x14ac:dyDescent="0.25"/>
    <row r="2536" customFormat="1" ht="13.5" customHeight="1" x14ac:dyDescent="0.25"/>
    <row r="2537" customFormat="1" ht="13.5" customHeight="1" x14ac:dyDescent="0.25"/>
    <row r="2538" customFormat="1" ht="13.5" customHeight="1" x14ac:dyDescent="0.25"/>
    <row r="2539" customFormat="1" ht="13.5" customHeight="1" x14ac:dyDescent="0.25"/>
    <row r="2540" customFormat="1" ht="13.5" customHeight="1" x14ac:dyDescent="0.25"/>
    <row r="2541" customFormat="1" ht="13.5" customHeight="1" x14ac:dyDescent="0.25"/>
    <row r="2542" customFormat="1" ht="13.5" customHeight="1" x14ac:dyDescent="0.25"/>
    <row r="2543" customFormat="1" ht="13.5" customHeight="1" x14ac:dyDescent="0.25"/>
    <row r="2544" customFormat="1" ht="13.5" customHeight="1" x14ac:dyDescent="0.25"/>
    <row r="2545" customFormat="1" ht="13.5" customHeight="1" x14ac:dyDescent="0.25"/>
    <row r="2546" customFormat="1" ht="13.5" customHeight="1" x14ac:dyDescent="0.25"/>
    <row r="2547" customFormat="1" ht="13.5" customHeight="1" x14ac:dyDescent="0.25"/>
    <row r="2548" customFormat="1" ht="13.5" customHeight="1" x14ac:dyDescent="0.25"/>
    <row r="2549" customFormat="1" ht="13.5" customHeight="1" x14ac:dyDescent="0.25"/>
    <row r="2550" customFormat="1" ht="13.5" customHeight="1" x14ac:dyDescent="0.25"/>
    <row r="2551" customFormat="1" ht="13.5" customHeight="1" x14ac:dyDescent="0.25"/>
    <row r="2552" customFormat="1" ht="13.5" customHeight="1" x14ac:dyDescent="0.25"/>
    <row r="2553" customFormat="1" ht="13.5" customHeight="1" x14ac:dyDescent="0.25"/>
    <row r="2554" customFormat="1" ht="13.5" customHeight="1" x14ac:dyDescent="0.25"/>
    <row r="2555" customFormat="1" ht="13.5" customHeight="1" x14ac:dyDescent="0.25"/>
    <row r="2556" customFormat="1" ht="13.5" customHeight="1" x14ac:dyDescent="0.25"/>
    <row r="2557" customFormat="1" ht="13.5" customHeight="1" x14ac:dyDescent="0.25"/>
    <row r="2558" customFormat="1" ht="13.5" customHeight="1" x14ac:dyDescent="0.25"/>
    <row r="2559" customFormat="1" ht="13.5" customHeight="1" x14ac:dyDescent="0.25"/>
    <row r="2560" customFormat="1" ht="13.5" customHeight="1" x14ac:dyDescent="0.25"/>
    <row r="2561" customFormat="1" ht="13.5" customHeight="1" x14ac:dyDescent="0.25"/>
    <row r="2562" customFormat="1" ht="13.5" customHeight="1" x14ac:dyDescent="0.25"/>
    <row r="2563" customFormat="1" ht="13.5" customHeight="1" x14ac:dyDescent="0.25"/>
    <row r="2564" customFormat="1" ht="13.5" customHeight="1" x14ac:dyDescent="0.25"/>
    <row r="2565" customFormat="1" ht="13.5" customHeight="1" x14ac:dyDescent="0.25"/>
    <row r="2566" customFormat="1" ht="13.5" customHeight="1" x14ac:dyDescent="0.25"/>
    <row r="2567" customFormat="1" ht="13.5" customHeight="1" x14ac:dyDescent="0.25"/>
    <row r="2568" customFormat="1" ht="13.5" customHeight="1" x14ac:dyDescent="0.25"/>
    <row r="2569" customFormat="1" ht="13.5" customHeight="1" x14ac:dyDescent="0.25"/>
    <row r="2570" customFormat="1" ht="13.5" customHeight="1" x14ac:dyDescent="0.25"/>
    <row r="2571" customFormat="1" ht="13.5" customHeight="1" x14ac:dyDescent="0.25"/>
    <row r="2572" customFormat="1" ht="13.5" customHeight="1" x14ac:dyDescent="0.25"/>
    <row r="2573" customFormat="1" ht="13.5" customHeight="1" x14ac:dyDescent="0.25"/>
    <row r="2574" customFormat="1" ht="13.5" customHeight="1" x14ac:dyDescent="0.25"/>
    <row r="2575" customFormat="1" ht="13.5" customHeight="1" x14ac:dyDescent="0.25"/>
    <row r="2576" customFormat="1" ht="13.5" customHeight="1" x14ac:dyDescent="0.25"/>
    <row r="2577" customFormat="1" ht="13.5" customHeight="1" x14ac:dyDescent="0.25"/>
    <row r="2578" customFormat="1" ht="13.5" customHeight="1" x14ac:dyDescent="0.25"/>
    <row r="2579" customFormat="1" ht="13.5" customHeight="1" x14ac:dyDescent="0.25"/>
    <row r="2580" customFormat="1" ht="13.5" customHeight="1" x14ac:dyDescent="0.25"/>
    <row r="2581" customFormat="1" ht="13.5" customHeight="1" x14ac:dyDescent="0.25"/>
    <row r="2582" customFormat="1" ht="13.5" customHeight="1" x14ac:dyDescent="0.25"/>
    <row r="2583" customFormat="1" ht="13.5" customHeight="1" x14ac:dyDescent="0.25"/>
    <row r="2584" customFormat="1" ht="13.5" customHeight="1" x14ac:dyDescent="0.25"/>
    <row r="2585" customFormat="1" ht="13.5" customHeight="1" x14ac:dyDescent="0.25"/>
    <row r="2586" customFormat="1" ht="13.5" customHeight="1" x14ac:dyDescent="0.25"/>
    <row r="2587" customFormat="1" ht="13.5" customHeight="1" x14ac:dyDescent="0.25"/>
    <row r="2588" customFormat="1" ht="13.5" customHeight="1" x14ac:dyDescent="0.25"/>
    <row r="2589" customFormat="1" ht="13.5" customHeight="1" x14ac:dyDescent="0.25"/>
    <row r="2590" customFormat="1" ht="13.5" customHeight="1" x14ac:dyDescent="0.25"/>
    <row r="2591" customFormat="1" ht="13.5" customHeight="1" x14ac:dyDescent="0.25"/>
    <row r="2592" customFormat="1" ht="13.5" customHeight="1" x14ac:dyDescent="0.25"/>
    <row r="2593" customFormat="1" ht="13.5" customHeight="1" x14ac:dyDescent="0.25"/>
    <row r="2594" customFormat="1" ht="13.5" customHeight="1" x14ac:dyDescent="0.25"/>
    <row r="2595" customFormat="1" ht="13.5" customHeight="1" x14ac:dyDescent="0.25"/>
    <row r="2596" customFormat="1" ht="13.5" customHeight="1" x14ac:dyDescent="0.25"/>
    <row r="2597" customFormat="1" ht="13.5" customHeight="1" x14ac:dyDescent="0.25"/>
    <row r="2598" customFormat="1" ht="13.5" customHeight="1" x14ac:dyDescent="0.25"/>
    <row r="2599" customFormat="1" ht="13.5" customHeight="1" x14ac:dyDescent="0.25"/>
    <row r="2600" customFormat="1" ht="13.5" customHeight="1" x14ac:dyDescent="0.25"/>
    <row r="2601" customFormat="1" ht="13.5" customHeight="1" x14ac:dyDescent="0.25"/>
    <row r="2602" customFormat="1" ht="13.5" customHeight="1" x14ac:dyDescent="0.25"/>
    <row r="2603" customFormat="1" ht="13.5" customHeight="1" x14ac:dyDescent="0.25"/>
    <row r="2604" customFormat="1" ht="13.5" customHeight="1" x14ac:dyDescent="0.25"/>
    <row r="2605" customFormat="1" ht="13.5" customHeight="1" x14ac:dyDescent="0.25"/>
    <row r="2606" customFormat="1" ht="13.5" customHeight="1" x14ac:dyDescent="0.25"/>
    <row r="2607" customFormat="1" ht="13.5" customHeight="1" x14ac:dyDescent="0.25"/>
    <row r="2608" customFormat="1" ht="13.5" customHeight="1" x14ac:dyDescent="0.25"/>
    <row r="2609" customFormat="1" ht="13.5" customHeight="1" x14ac:dyDescent="0.25"/>
    <row r="2610" customFormat="1" ht="13.5" customHeight="1" x14ac:dyDescent="0.25"/>
    <row r="2611" customFormat="1" ht="13.5" customHeight="1" x14ac:dyDescent="0.25"/>
    <row r="2612" customFormat="1" ht="13.5" customHeight="1" x14ac:dyDescent="0.25"/>
    <row r="2613" customFormat="1" ht="13.5" customHeight="1" x14ac:dyDescent="0.25"/>
    <row r="2614" customFormat="1" ht="13.5" customHeight="1" x14ac:dyDescent="0.25"/>
    <row r="2615" customFormat="1" ht="13.5" customHeight="1" x14ac:dyDescent="0.25"/>
    <row r="2616" customFormat="1" ht="13.5" customHeight="1" x14ac:dyDescent="0.25"/>
    <row r="2617" customFormat="1" ht="13.5" customHeight="1" x14ac:dyDescent="0.25"/>
    <row r="2618" customFormat="1" ht="13.5" customHeight="1" x14ac:dyDescent="0.25"/>
    <row r="2619" customFormat="1" ht="13.5" customHeight="1" x14ac:dyDescent="0.25"/>
    <row r="2620" customFormat="1" ht="13.5" customHeight="1" x14ac:dyDescent="0.25"/>
    <row r="2621" customFormat="1" ht="13.5" customHeight="1" x14ac:dyDescent="0.25"/>
    <row r="2622" customFormat="1" ht="13.5" customHeight="1" x14ac:dyDescent="0.25"/>
    <row r="2623" customFormat="1" ht="13.5" customHeight="1" x14ac:dyDescent="0.25"/>
    <row r="2624" customFormat="1" ht="13.5" customHeight="1" x14ac:dyDescent="0.25"/>
    <row r="2625" customFormat="1" ht="13.5" customHeight="1" x14ac:dyDescent="0.25"/>
    <row r="2626" customFormat="1" ht="13.5" customHeight="1" x14ac:dyDescent="0.25"/>
    <row r="2627" customFormat="1" ht="13.5" customHeight="1" x14ac:dyDescent="0.25"/>
    <row r="2628" customFormat="1" ht="13.5" customHeight="1" x14ac:dyDescent="0.25"/>
    <row r="2629" customFormat="1" ht="13.5" customHeight="1" x14ac:dyDescent="0.25"/>
    <row r="2630" customFormat="1" ht="13.5" customHeight="1" x14ac:dyDescent="0.25"/>
    <row r="2631" customFormat="1" ht="13.5" customHeight="1" x14ac:dyDescent="0.25"/>
    <row r="2632" customFormat="1" ht="13.5" customHeight="1" x14ac:dyDescent="0.25"/>
    <row r="2633" customFormat="1" ht="13.5" customHeight="1" x14ac:dyDescent="0.25"/>
    <row r="2634" customFormat="1" ht="13.5" customHeight="1" x14ac:dyDescent="0.25"/>
    <row r="2635" customFormat="1" ht="13.5" customHeight="1" x14ac:dyDescent="0.25"/>
    <row r="2636" customFormat="1" ht="13.5" customHeight="1" x14ac:dyDescent="0.25"/>
    <row r="2637" customFormat="1" ht="13.5" customHeight="1" x14ac:dyDescent="0.25"/>
    <row r="2638" customFormat="1" ht="13.5" customHeight="1" x14ac:dyDescent="0.25"/>
    <row r="2639" customFormat="1" ht="13.5" customHeight="1" x14ac:dyDescent="0.25"/>
    <row r="2640" customFormat="1" ht="13.5" customHeight="1" x14ac:dyDescent="0.25"/>
    <row r="2641" customFormat="1" ht="13.5" customHeight="1" x14ac:dyDescent="0.25"/>
    <row r="2642" customFormat="1" ht="13.5" customHeight="1" x14ac:dyDescent="0.25"/>
    <row r="2643" customFormat="1" ht="13.5" customHeight="1" x14ac:dyDescent="0.25"/>
    <row r="2644" customFormat="1" ht="13.5" customHeight="1" x14ac:dyDescent="0.25"/>
    <row r="2645" customFormat="1" ht="13.5" customHeight="1" x14ac:dyDescent="0.25"/>
    <row r="2646" customFormat="1" ht="13.5" customHeight="1" x14ac:dyDescent="0.25"/>
    <row r="2647" customFormat="1" ht="13.5" customHeight="1" x14ac:dyDescent="0.25"/>
    <row r="2648" customFormat="1" ht="13.5" customHeight="1" x14ac:dyDescent="0.25"/>
    <row r="2649" customFormat="1" ht="13.5" customHeight="1" x14ac:dyDescent="0.25"/>
    <row r="2650" customFormat="1" ht="13.5" customHeight="1" x14ac:dyDescent="0.25"/>
    <row r="2651" customFormat="1" ht="13.5" customHeight="1" x14ac:dyDescent="0.25"/>
    <row r="2652" customFormat="1" ht="13.5" customHeight="1" x14ac:dyDescent="0.25"/>
    <row r="2653" customFormat="1" ht="13.5" customHeight="1" x14ac:dyDescent="0.25"/>
    <row r="2654" customFormat="1" ht="13.5" customHeight="1" x14ac:dyDescent="0.25"/>
    <row r="2655" customFormat="1" ht="13.5" customHeight="1" x14ac:dyDescent="0.25"/>
    <row r="2656" customFormat="1" ht="13.5" customHeight="1" x14ac:dyDescent="0.25"/>
    <row r="2657" customFormat="1" ht="13.5" customHeight="1" x14ac:dyDescent="0.25"/>
    <row r="2658" customFormat="1" ht="13.5" customHeight="1" x14ac:dyDescent="0.25"/>
    <row r="2659" customFormat="1" ht="13.5" customHeight="1" x14ac:dyDescent="0.25"/>
    <row r="2660" customFormat="1" ht="13.5" customHeight="1" x14ac:dyDescent="0.25"/>
    <row r="2661" customFormat="1" ht="13.5" customHeight="1" x14ac:dyDescent="0.25"/>
    <row r="2662" customFormat="1" ht="13.5" customHeight="1" x14ac:dyDescent="0.25"/>
    <row r="2663" customFormat="1" ht="13.5" customHeight="1" x14ac:dyDescent="0.25"/>
    <row r="2664" customFormat="1" ht="13.5" customHeight="1" x14ac:dyDescent="0.25"/>
    <row r="2665" customFormat="1" ht="13.5" customHeight="1" x14ac:dyDescent="0.25"/>
    <row r="2666" customFormat="1" ht="13.5" customHeight="1" x14ac:dyDescent="0.25"/>
    <row r="2667" customFormat="1" ht="13.5" customHeight="1" x14ac:dyDescent="0.25"/>
    <row r="2668" customFormat="1" ht="13.5" customHeight="1" x14ac:dyDescent="0.25"/>
    <row r="2669" customFormat="1" ht="13.5" customHeight="1" x14ac:dyDescent="0.25"/>
    <row r="2670" customFormat="1" ht="13.5" customHeight="1" x14ac:dyDescent="0.25"/>
    <row r="2671" customFormat="1" ht="13.5" customHeight="1" x14ac:dyDescent="0.25"/>
    <row r="2672" customFormat="1" ht="13.5" customHeight="1" x14ac:dyDescent="0.25"/>
    <row r="2673" customFormat="1" ht="13.5" customHeight="1" x14ac:dyDescent="0.25"/>
    <row r="2674" customFormat="1" ht="13.5" customHeight="1" x14ac:dyDescent="0.25"/>
    <row r="2675" customFormat="1" ht="13.5" customHeight="1" x14ac:dyDescent="0.25"/>
    <row r="2676" customFormat="1" ht="13.5" customHeight="1" x14ac:dyDescent="0.25"/>
    <row r="2677" customFormat="1" ht="13.5" customHeight="1" x14ac:dyDescent="0.25"/>
    <row r="2678" customFormat="1" ht="13.5" customHeight="1" x14ac:dyDescent="0.25"/>
    <row r="2679" customFormat="1" ht="13.5" customHeight="1" x14ac:dyDescent="0.25"/>
    <row r="2680" customFormat="1" ht="13.5" customHeight="1" x14ac:dyDescent="0.25"/>
    <row r="2681" customFormat="1" ht="13.5" customHeight="1" x14ac:dyDescent="0.25"/>
    <row r="2682" customFormat="1" ht="13.5" customHeight="1" x14ac:dyDescent="0.25"/>
    <row r="2683" customFormat="1" ht="13.5" customHeight="1" x14ac:dyDescent="0.25"/>
    <row r="2684" customFormat="1" ht="13.5" customHeight="1" x14ac:dyDescent="0.25"/>
    <row r="2685" customFormat="1" ht="13.5" customHeight="1" x14ac:dyDescent="0.25"/>
    <row r="2686" customFormat="1" ht="13.5" customHeight="1" x14ac:dyDescent="0.25"/>
    <row r="2687" customFormat="1" ht="13.5" customHeight="1" x14ac:dyDescent="0.25"/>
    <row r="2688" customFormat="1" ht="13.5" customHeight="1" x14ac:dyDescent="0.25"/>
    <row r="2689" customFormat="1" ht="13.5" customHeight="1" x14ac:dyDescent="0.25"/>
    <row r="2690" customFormat="1" ht="13.5" customHeight="1" x14ac:dyDescent="0.25"/>
    <row r="2691" customFormat="1" ht="13.5" customHeight="1" x14ac:dyDescent="0.25"/>
    <row r="2692" customFormat="1" ht="13.5" customHeight="1" x14ac:dyDescent="0.25"/>
    <row r="2693" customFormat="1" ht="13.5" customHeight="1" x14ac:dyDescent="0.25"/>
    <row r="2694" customFormat="1" ht="13.5" customHeight="1" x14ac:dyDescent="0.25"/>
    <row r="2695" customFormat="1" ht="13.5" customHeight="1" x14ac:dyDescent="0.25"/>
    <row r="2696" customFormat="1" ht="13.5" customHeight="1" x14ac:dyDescent="0.25"/>
    <row r="2697" customFormat="1" ht="13.5" customHeight="1" x14ac:dyDescent="0.25"/>
    <row r="2698" customFormat="1" ht="13.5" customHeight="1" x14ac:dyDescent="0.25"/>
    <row r="2699" customFormat="1" ht="13.5" customHeight="1" x14ac:dyDescent="0.25"/>
    <row r="2700" customFormat="1" ht="13.5" customHeight="1" x14ac:dyDescent="0.25"/>
    <row r="2701" customFormat="1" ht="13.5" customHeight="1" x14ac:dyDescent="0.25"/>
    <row r="2702" customFormat="1" ht="13.5" customHeight="1" x14ac:dyDescent="0.25"/>
    <row r="2703" customFormat="1" ht="13.5" customHeight="1" x14ac:dyDescent="0.25"/>
    <row r="2704" customFormat="1" ht="13.5" customHeight="1" x14ac:dyDescent="0.25"/>
    <row r="2705" customFormat="1" ht="13.5" customHeight="1" x14ac:dyDescent="0.25"/>
    <row r="2706" customFormat="1" ht="13.5" customHeight="1" x14ac:dyDescent="0.25"/>
    <row r="2707" customFormat="1" ht="13.5" customHeight="1" x14ac:dyDescent="0.25"/>
    <row r="2708" customFormat="1" ht="13.5" customHeight="1" x14ac:dyDescent="0.25"/>
    <row r="2709" customFormat="1" ht="13.5" customHeight="1" x14ac:dyDescent="0.25"/>
    <row r="2710" customFormat="1" ht="13.5" customHeight="1" x14ac:dyDescent="0.25"/>
    <row r="2711" customFormat="1" ht="13.5" customHeight="1" x14ac:dyDescent="0.25"/>
    <row r="2712" customFormat="1" ht="13.5" customHeight="1" x14ac:dyDescent="0.25"/>
    <row r="2713" customFormat="1" ht="13.5" customHeight="1" x14ac:dyDescent="0.25"/>
    <row r="2714" customFormat="1" ht="13.5" customHeight="1" x14ac:dyDescent="0.25"/>
    <row r="2715" customFormat="1" ht="13.5" customHeight="1" x14ac:dyDescent="0.25"/>
    <row r="2716" customFormat="1" ht="13.5" customHeight="1" x14ac:dyDescent="0.25"/>
    <row r="2717" customFormat="1" ht="13.5" customHeight="1" x14ac:dyDescent="0.25"/>
    <row r="2718" customFormat="1" ht="13.5" customHeight="1" x14ac:dyDescent="0.25"/>
    <row r="2719" customFormat="1" ht="13.5" customHeight="1" x14ac:dyDescent="0.25"/>
    <row r="2720" customFormat="1" ht="13.5" customHeight="1" x14ac:dyDescent="0.25"/>
    <row r="2721" customFormat="1" ht="13.5" customHeight="1" x14ac:dyDescent="0.25"/>
    <row r="2722" customFormat="1" ht="13.5" customHeight="1" x14ac:dyDescent="0.25"/>
    <row r="2723" customFormat="1" ht="13.5" customHeight="1" x14ac:dyDescent="0.25"/>
    <row r="2724" customFormat="1" ht="13.5" customHeight="1" x14ac:dyDescent="0.25"/>
    <row r="2725" customFormat="1" ht="13.5" customHeight="1" x14ac:dyDescent="0.25"/>
    <row r="2726" customFormat="1" ht="13.5" customHeight="1" x14ac:dyDescent="0.25"/>
    <row r="2727" customFormat="1" ht="13.5" customHeight="1" x14ac:dyDescent="0.25"/>
    <row r="2728" customFormat="1" ht="13.5" customHeight="1" x14ac:dyDescent="0.25"/>
    <row r="2729" customFormat="1" ht="13.5" customHeight="1" x14ac:dyDescent="0.25"/>
    <row r="2730" customFormat="1" ht="13.5" customHeight="1" x14ac:dyDescent="0.25"/>
    <row r="2731" customFormat="1" ht="13.5" customHeight="1" x14ac:dyDescent="0.25"/>
    <row r="2732" customFormat="1" ht="13.5" customHeight="1" x14ac:dyDescent="0.25"/>
    <row r="2733" customFormat="1" ht="13.5" customHeight="1" x14ac:dyDescent="0.25"/>
    <row r="2734" customFormat="1" ht="13.5" customHeight="1" x14ac:dyDescent="0.25"/>
    <row r="2735" customFormat="1" ht="13.5" customHeight="1" x14ac:dyDescent="0.25"/>
    <row r="2736" customFormat="1" ht="13.5" customHeight="1" x14ac:dyDescent="0.25"/>
    <row r="2737" customFormat="1" ht="13.5" customHeight="1" x14ac:dyDescent="0.25"/>
    <row r="2738" customFormat="1" ht="13.5" customHeight="1" x14ac:dyDescent="0.25"/>
    <row r="2739" customFormat="1" ht="13.5" customHeight="1" x14ac:dyDescent="0.25"/>
    <row r="2740" customFormat="1" ht="13.5" customHeight="1" x14ac:dyDescent="0.25"/>
    <row r="2741" customFormat="1" ht="13.5" customHeight="1" x14ac:dyDescent="0.25"/>
    <row r="2742" customFormat="1" ht="13.5" customHeight="1" x14ac:dyDescent="0.25"/>
    <row r="2743" customFormat="1" ht="13.5" customHeight="1" x14ac:dyDescent="0.25"/>
    <row r="2744" customFormat="1" ht="13.5" customHeight="1" x14ac:dyDescent="0.25"/>
    <row r="2745" customFormat="1" ht="13.5" customHeight="1" x14ac:dyDescent="0.25"/>
    <row r="2746" customFormat="1" ht="13.5" customHeight="1" x14ac:dyDescent="0.25"/>
    <row r="2747" customFormat="1" ht="13.5" customHeight="1" x14ac:dyDescent="0.25"/>
    <row r="2748" customFormat="1" ht="13.5" customHeight="1" x14ac:dyDescent="0.25"/>
    <row r="2749" customFormat="1" ht="13.5" customHeight="1" x14ac:dyDescent="0.25"/>
    <row r="2750" customFormat="1" ht="13.5" customHeight="1" x14ac:dyDescent="0.25"/>
    <row r="2751" customFormat="1" ht="13.5" customHeight="1" x14ac:dyDescent="0.25"/>
    <row r="2752" customFormat="1" ht="13.5" customHeight="1" x14ac:dyDescent="0.25"/>
    <row r="2753" customFormat="1" ht="13.5" customHeight="1" x14ac:dyDescent="0.25"/>
    <row r="2754" customFormat="1" ht="13.5" customHeight="1" x14ac:dyDescent="0.25"/>
    <row r="2755" customFormat="1" ht="13.5" customHeight="1" x14ac:dyDescent="0.25"/>
    <row r="2756" customFormat="1" ht="13.5" customHeight="1" x14ac:dyDescent="0.25"/>
    <row r="2757" customFormat="1" ht="13.5" customHeight="1" x14ac:dyDescent="0.25"/>
    <row r="2758" customFormat="1" ht="13.5" customHeight="1" x14ac:dyDescent="0.25"/>
    <row r="2759" customFormat="1" ht="13.5" customHeight="1" x14ac:dyDescent="0.25"/>
    <row r="2760" customFormat="1" ht="13.5" customHeight="1" x14ac:dyDescent="0.25"/>
    <row r="2761" customFormat="1" ht="13.5" customHeight="1" x14ac:dyDescent="0.25"/>
    <row r="2762" customFormat="1" ht="13.5" customHeight="1" x14ac:dyDescent="0.25"/>
    <row r="2763" customFormat="1" ht="13.5" customHeight="1" x14ac:dyDescent="0.25"/>
    <row r="2764" customFormat="1" ht="13.5" customHeight="1" x14ac:dyDescent="0.25"/>
    <row r="2765" customFormat="1" ht="13.5" customHeight="1" x14ac:dyDescent="0.25"/>
    <row r="2766" customFormat="1" ht="13.5" customHeight="1" x14ac:dyDescent="0.25"/>
    <row r="2767" customFormat="1" ht="13.5" customHeight="1" x14ac:dyDescent="0.25"/>
    <row r="2768" customFormat="1" ht="13.5" customHeight="1" x14ac:dyDescent="0.25"/>
    <row r="2769" customFormat="1" ht="13.5" customHeight="1" x14ac:dyDescent="0.25"/>
    <row r="2770" customFormat="1" ht="13.5" customHeight="1" x14ac:dyDescent="0.25"/>
    <row r="2771" customFormat="1" ht="13.5" customHeight="1" x14ac:dyDescent="0.25"/>
    <row r="2772" customFormat="1" ht="13.5" customHeight="1" x14ac:dyDescent="0.25"/>
    <row r="2773" customFormat="1" ht="13.5" customHeight="1" x14ac:dyDescent="0.25"/>
    <row r="2774" customFormat="1" ht="13.5" customHeight="1" x14ac:dyDescent="0.25"/>
    <row r="2775" customFormat="1" ht="13.5" customHeight="1" x14ac:dyDescent="0.25"/>
    <row r="2776" customFormat="1" ht="13.5" customHeight="1" x14ac:dyDescent="0.25"/>
    <row r="2777" customFormat="1" ht="13.5" customHeight="1" x14ac:dyDescent="0.25"/>
    <row r="2778" customFormat="1" ht="13.5" customHeight="1" x14ac:dyDescent="0.25"/>
    <row r="2779" customFormat="1" ht="13.5" customHeight="1" x14ac:dyDescent="0.25"/>
    <row r="2780" customFormat="1" ht="13.5" customHeight="1" x14ac:dyDescent="0.25"/>
    <row r="2781" customFormat="1" ht="13.5" customHeight="1" x14ac:dyDescent="0.25"/>
    <row r="2782" customFormat="1" ht="13.5" customHeight="1" x14ac:dyDescent="0.25"/>
    <row r="2783" customFormat="1" ht="13.5" customHeight="1" x14ac:dyDescent="0.25"/>
    <row r="2784" customFormat="1" ht="13.5" customHeight="1" x14ac:dyDescent="0.25"/>
    <row r="2785" customFormat="1" ht="13.5" customHeight="1" x14ac:dyDescent="0.25"/>
    <row r="2786" customFormat="1" ht="13.5" customHeight="1" x14ac:dyDescent="0.25"/>
    <row r="2787" customFormat="1" ht="13.5" customHeight="1" x14ac:dyDescent="0.25"/>
    <row r="2788" customFormat="1" ht="13.5" customHeight="1" x14ac:dyDescent="0.25"/>
    <row r="2789" customFormat="1" ht="13.5" customHeight="1" x14ac:dyDescent="0.25"/>
    <row r="2790" customFormat="1" ht="13.5" customHeight="1" x14ac:dyDescent="0.25"/>
    <row r="2791" customFormat="1" ht="13.5" customHeight="1" x14ac:dyDescent="0.25"/>
    <row r="2792" customFormat="1" ht="13.5" customHeight="1" x14ac:dyDescent="0.25"/>
    <row r="2793" customFormat="1" ht="13.5" customHeight="1" x14ac:dyDescent="0.25"/>
    <row r="2794" customFormat="1" ht="13.5" customHeight="1" x14ac:dyDescent="0.25"/>
    <row r="2795" customFormat="1" ht="13.5" customHeight="1" x14ac:dyDescent="0.25"/>
    <row r="2796" customFormat="1" ht="13.5" customHeight="1" x14ac:dyDescent="0.25"/>
    <row r="2797" customFormat="1" ht="13.5" customHeight="1" x14ac:dyDescent="0.25"/>
    <row r="2798" customFormat="1" ht="13.5" customHeight="1" x14ac:dyDescent="0.25"/>
    <row r="2799" customFormat="1" ht="13.5" customHeight="1" x14ac:dyDescent="0.25"/>
    <row r="2800" customFormat="1" ht="13.5" customHeight="1" x14ac:dyDescent="0.25"/>
    <row r="2801" customFormat="1" ht="13.5" customHeight="1" x14ac:dyDescent="0.25"/>
    <row r="2802" customFormat="1" ht="13.5" customHeight="1" x14ac:dyDescent="0.25"/>
    <row r="2803" customFormat="1" ht="13.5" customHeight="1" x14ac:dyDescent="0.25"/>
    <row r="2804" customFormat="1" ht="13.5" customHeight="1" x14ac:dyDescent="0.25"/>
    <row r="2805" customFormat="1" ht="13.5" customHeight="1" x14ac:dyDescent="0.25"/>
    <row r="2806" customFormat="1" ht="13.5" customHeight="1" x14ac:dyDescent="0.25"/>
    <row r="2807" customFormat="1" ht="13.5" customHeight="1" x14ac:dyDescent="0.25"/>
    <row r="2808" customFormat="1" ht="13.5" customHeight="1" x14ac:dyDescent="0.25"/>
    <row r="2809" customFormat="1" ht="13.5" customHeight="1" x14ac:dyDescent="0.25"/>
    <row r="2810" customFormat="1" ht="13.5" customHeight="1" x14ac:dyDescent="0.25"/>
    <row r="2811" customFormat="1" ht="13.5" customHeight="1" x14ac:dyDescent="0.25"/>
    <row r="2812" customFormat="1" ht="13.5" customHeight="1" x14ac:dyDescent="0.25"/>
    <row r="2813" customFormat="1" ht="13.5" customHeight="1" x14ac:dyDescent="0.25"/>
    <row r="2814" customFormat="1" ht="13.5" customHeight="1" x14ac:dyDescent="0.25"/>
    <row r="2815" customFormat="1" ht="13.5" customHeight="1" x14ac:dyDescent="0.25"/>
    <row r="2816" customFormat="1" ht="13.5" customHeight="1" x14ac:dyDescent="0.25"/>
    <row r="2817" customFormat="1" ht="13.5" customHeight="1" x14ac:dyDescent="0.25"/>
    <row r="2818" customFormat="1" ht="13.5" customHeight="1" x14ac:dyDescent="0.25"/>
    <row r="2819" customFormat="1" ht="13.5" customHeight="1" x14ac:dyDescent="0.25"/>
    <row r="2820" customFormat="1" ht="13.5" customHeight="1" x14ac:dyDescent="0.25"/>
    <row r="2821" customFormat="1" ht="13.5" customHeight="1" x14ac:dyDescent="0.25"/>
    <row r="2822" customFormat="1" ht="13.5" customHeight="1" x14ac:dyDescent="0.25"/>
    <row r="2823" customFormat="1" ht="13.5" customHeight="1" x14ac:dyDescent="0.25"/>
    <row r="2824" customFormat="1" ht="13.5" customHeight="1" x14ac:dyDescent="0.25"/>
    <row r="2825" customFormat="1" ht="13.5" customHeight="1" x14ac:dyDescent="0.25"/>
    <row r="2826" customFormat="1" ht="13.5" customHeight="1" x14ac:dyDescent="0.25"/>
    <row r="2827" customFormat="1" ht="13.5" customHeight="1" x14ac:dyDescent="0.25"/>
    <row r="2828" customFormat="1" ht="13.5" customHeight="1" x14ac:dyDescent="0.25"/>
    <row r="2829" customFormat="1" ht="13.5" customHeight="1" x14ac:dyDescent="0.25"/>
    <row r="2830" customFormat="1" ht="13.5" customHeight="1" x14ac:dyDescent="0.25"/>
    <row r="2831" customFormat="1" ht="13.5" customHeight="1" x14ac:dyDescent="0.25"/>
    <row r="2832" customFormat="1" ht="13.5" customHeight="1" x14ac:dyDescent="0.25"/>
    <row r="2833" customFormat="1" ht="13.5" customHeight="1" x14ac:dyDescent="0.25"/>
    <row r="2834" customFormat="1" ht="13.5" customHeight="1" x14ac:dyDescent="0.25"/>
    <row r="2835" customFormat="1" ht="13.5" customHeight="1" x14ac:dyDescent="0.25"/>
    <row r="2836" customFormat="1" ht="13.5" customHeight="1" x14ac:dyDescent="0.25"/>
    <row r="2837" customFormat="1" ht="13.5" customHeight="1" x14ac:dyDescent="0.25"/>
    <row r="2838" customFormat="1" ht="13.5" customHeight="1" x14ac:dyDescent="0.25"/>
    <row r="2839" customFormat="1" ht="13.5" customHeight="1" x14ac:dyDescent="0.25"/>
    <row r="2840" customFormat="1" ht="13.5" customHeight="1" x14ac:dyDescent="0.25"/>
    <row r="2841" customFormat="1" ht="13.5" customHeight="1" x14ac:dyDescent="0.25"/>
    <row r="2842" customFormat="1" ht="13.5" customHeight="1" x14ac:dyDescent="0.25"/>
    <row r="2843" customFormat="1" ht="13.5" customHeight="1" x14ac:dyDescent="0.25"/>
    <row r="2844" customFormat="1" ht="13.5" customHeight="1" x14ac:dyDescent="0.25"/>
    <row r="2845" customFormat="1" ht="13.5" customHeight="1" x14ac:dyDescent="0.25"/>
    <row r="2846" customFormat="1" ht="13.5" customHeight="1" x14ac:dyDescent="0.25"/>
    <row r="2847" customFormat="1" ht="13.5" customHeight="1" x14ac:dyDescent="0.25"/>
    <row r="2848" customFormat="1" ht="13.5" customHeight="1" x14ac:dyDescent="0.25"/>
    <row r="2849" customFormat="1" ht="13.5" customHeight="1" x14ac:dyDescent="0.25"/>
    <row r="2850" customFormat="1" ht="13.5" customHeight="1" x14ac:dyDescent="0.25"/>
    <row r="2851" customFormat="1" ht="13.5" customHeight="1" x14ac:dyDescent="0.25"/>
    <row r="2852" customFormat="1" ht="13.5" customHeight="1" x14ac:dyDescent="0.25"/>
    <row r="2853" customFormat="1" ht="13.5" customHeight="1" x14ac:dyDescent="0.25"/>
    <row r="2854" customFormat="1" ht="13.5" customHeight="1" x14ac:dyDescent="0.25"/>
    <row r="2855" customFormat="1" ht="13.5" customHeight="1" x14ac:dyDescent="0.25"/>
    <row r="2856" customFormat="1" ht="13.5" customHeight="1" x14ac:dyDescent="0.25"/>
    <row r="2857" customFormat="1" ht="13.5" customHeight="1" x14ac:dyDescent="0.25"/>
    <row r="2858" customFormat="1" ht="13.5" customHeight="1" x14ac:dyDescent="0.25"/>
    <row r="2859" customFormat="1" ht="13.5" customHeight="1" x14ac:dyDescent="0.25"/>
    <row r="2860" customFormat="1" ht="13.5" customHeight="1" x14ac:dyDescent="0.25"/>
    <row r="2861" customFormat="1" ht="13.5" customHeight="1" x14ac:dyDescent="0.25"/>
    <row r="2862" customFormat="1" ht="13.5" customHeight="1" x14ac:dyDescent="0.25"/>
    <row r="2863" customFormat="1" ht="13.5" customHeight="1" x14ac:dyDescent="0.25"/>
    <row r="2864" customFormat="1" ht="13.5" customHeight="1" x14ac:dyDescent="0.25"/>
    <row r="2865" customFormat="1" ht="13.5" customHeight="1" x14ac:dyDescent="0.25"/>
    <row r="2866" customFormat="1" ht="13.5" customHeight="1" x14ac:dyDescent="0.25"/>
    <row r="2867" customFormat="1" ht="13.5" customHeight="1" x14ac:dyDescent="0.25"/>
    <row r="2868" customFormat="1" ht="13.5" customHeight="1" x14ac:dyDescent="0.25"/>
    <row r="2869" customFormat="1" ht="13.5" customHeight="1" x14ac:dyDescent="0.25"/>
    <row r="2870" customFormat="1" ht="13.5" customHeight="1" x14ac:dyDescent="0.25"/>
    <row r="2871" customFormat="1" ht="13.5" customHeight="1" x14ac:dyDescent="0.25"/>
    <row r="2872" customFormat="1" ht="13.5" customHeight="1" x14ac:dyDescent="0.25"/>
    <row r="2873" customFormat="1" ht="13.5" customHeight="1" x14ac:dyDescent="0.25"/>
    <row r="2874" customFormat="1" ht="13.5" customHeight="1" x14ac:dyDescent="0.25"/>
    <row r="2875" customFormat="1" ht="13.5" customHeight="1" x14ac:dyDescent="0.25"/>
    <row r="2876" customFormat="1" ht="13.5" customHeight="1" x14ac:dyDescent="0.25"/>
    <row r="2877" customFormat="1" ht="13.5" customHeight="1" x14ac:dyDescent="0.25"/>
    <row r="2878" customFormat="1" ht="13.5" customHeight="1" x14ac:dyDescent="0.25"/>
    <row r="2879" customFormat="1" ht="13.5" customHeight="1" x14ac:dyDescent="0.25"/>
    <row r="2880" customFormat="1" ht="13.5" customHeight="1" x14ac:dyDescent="0.25"/>
    <row r="2881" customFormat="1" ht="13.5" customHeight="1" x14ac:dyDescent="0.25"/>
    <row r="2882" customFormat="1" ht="13.5" customHeight="1" x14ac:dyDescent="0.25"/>
    <row r="2883" customFormat="1" ht="13.5" customHeight="1" x14ac:dyDescent="0.25"/>
    <row r="2884" customFormat="1" ht="13.5" customHeight="1" x14ac:dyDescent="0.25"/>
    <row r="2885" customFormat="1" ht="13.5" customHeight="1" x14ac:dyDescent="0.25"/>
    <row r="2886" customFormat="1" ht="13.5" customHeight="1" x14ac:dyDescent="0.25"/>
    <row r="2887" customFormat="1" ht="13.5" customHeight="1" x14ac:dyDescent="0.25"/>
    <row r="2888" customFormat="1" ht="13.5" customHeight="1" x14ac:dyDescent="0.25"/>
    <row r="2889" customFormat="1" ht="13.5" customHeight="1" x14ac:dyDescent="0.25"/>
    <row r="2890" customFormat="1" ht="13.5" customHeight="1" x14ac:dyDescent="0.25"/>
    <row r="2891" customFormat="1" ht="13.5" customHeight="1" x14ac:dyDescent="0.25"/>
    <row r="2892" customFormat="1" ht="13.5" customHeight="1" x14ac:dyDescent="0.25"/>
    <row r="2893" customFormat="1" ht="13.5" customHeight="1" x14ac:dyDescent="0.25"/>
    <row r="2894" customFormat="1" ht="13.5" customHeight="1" x14ac:dyDescent="0.25"/>
    <row r="2895" customFormat="1" ht="13.5" customHeight="1" x14ac:dyDescent="0.25"/>
    <row r="2896" customFormat="1" ht="13.5" customHeight="1" x14ac:dyDescent="0.25"/>
    <row r="2897" customFormat="1" ht="13.5" customHeight="1" x14ac:dyDescent="0.25"/>
    <row r="2898" customFormat="1" ht="13.5" customHeight="1" x14ac:dyDescent="0.25"/>
    <row r="2899" customFormat="1" ht="13.5" customHeight="1" x14ac:dyDescent="0.25"/>
    <row r="2900" customFormat="1" ht="13.5" customHeight="1" x14ac:dyDescent="0.25"/>
    <row r="2901" customFormat="1" ht="13.5" customHeight="1" x14ac:dyDescent="0.25"/>
    <row r="2902" customFormat="1" ht="13.5" customHeight="1" x14ac:dyDescent="0.25"/>
    <row r="2903" customFormat="1" ht="13.5" customHeight="1" x14ac:dyDescent="0.25"/>
    <row r="2904" customFormat="1" ht="13.5" customHeight="1" x14ac:dyDescent="0.25"/>
    <row r="2905" customFormat="1" ht="13.5" customHeight="1" x14ac:dyDescent="0.25"/>
    <row r="2906" customFormat="1" ht="13.5" customHeight="1" x14ac:dyDescent="0.25"/>
    <row r="2907" customFormat="1" ht="13.5" customHeight="1" x14ac:dyDescent="0.25"/>
    <row r="2908" customFormat="1" ht="13.5" customHeight="1" x14ac:dyDescent="0.25"/>
    <row r="2909" customFormat="1" ht="13.5" customHeight="1" x14ac:dyDescent="0.25"/>
    <row r="2910" customFormat="1" ht="13.5" customHeight="1" x14ac:dyDescent="0.25"/>
    <row r="2911" customFormat="1" ht="13.5" customHeight="1" x14ac:dyDescent="0.25"/>
    <row r="2912" customFormat="1" ht="13.5" customHeight="1" x14ac:dyDescent="0.25"/>
    <row r="2913" customFormat="1" ht="13.5" customHeight="1" x14ac:dyDescent="0.25"/>
    <row r="2914" customFormat="1" ht="13.5" customHeight="1" x14ac:dyDescent="0.25"/>
    <row r="2915" customFormat="1" ht="13.5" customHeight="1" x14ac:dyDescent="0.25"/>
    <row r="2916" customFormat="1" ht="13.5" customHeight="1" x14ac:dyDescent="0.25"/>
    <row r="2917" customFormat="1" ht="13.5" customHeight="1" x14ac:dyDescent="0.25"/>
    <row r="2918" customFormat="1" ht="13.5" customHeight="1" x14ac:dyDescent="0.25"/>
    <row r="2919" customFormat="1" ht="13.5" customHeight="1" x14ac:dyDescent="0.25"/>
    <row r="2920" customFormat="1" ht="13.5" customHeight="1" x14ac:dyDescent="0.25"/>
    <row r="2921" customFormat="1" ht="13.5" customHeight="1" x14ac:dyDescent="0.25"/>
    <row r="2922" customFormat="1" ht="13.5" customHeight="1" x14ac:dyDescent="0.25"/>
    <row r="2923" customFormat="1" ht="13.5" customHeight="1" x14ac:dyDescent="0.25"/>
    <row r="2924" customFormat="1" ht="13.5" customHeight="1" x14ac:dyDescent="0.25"/>
    <row r="2925" customFormat="1" ht="13.5" customHeight="1" x14ac:dyDescent="0.25"/>
    <row r="2926" customFormat="1" ht="13.5" customHeight="1" x14ac:dyDescent="0.25"/>
    <row r="2927" customFormat="1" ht="13.5" customHeight="1" x14ac:dyDescent="0.25"/>
    <row r="2928" customFormat="1" ht="13.5" customHeight="1" x14ac:dyDescent="0.25"/>
    <row r="2929" customFormat="1" ht="13.5" customHeight="1" x14ac:dyDescent="0.25"/>
    <row r="2930" customFormat="1" ht="13.5" customHeight="1" x14ac:dyDescent="0.25"/>
  </sheetData>
  <mergeCells count="68">
    <mergeCell ref="A809:B810"/>
    <mergeCell ref="A811:D824"/>
    <mergeCell ref="A899:E905"/>
    <mergeCell ref="A641:C642"/>
    <mergeCell ref="A643:E647"/>
    <mergeCell ref="A654:B655"/>
    <mergeCell ref="A656:D663"/>
    <mergeCell ref="A732:D739"/>
    <mergeCell ref="A730:B731"/>
    <mergeCell ref="A240:B240"/>
    <mergeCell ref="A230:E233"/>
    <mergeCell ref="A6:E10"/>
    <mergeCell ref="A4:C5"/>
    <mergeCell ref="A100:C101"/>
    <mergeCell ref="A102:E111"/>
    <mergeCell ref="A170:C171"/>
    <mergeCell ref="A172:E174"/>
    <mergeCell ref="A118:B118"/>
    <mergeCell ref="A413:B413"/>
    <mergeCell ref="A746:B746"/>
    <mergeCell ref="A161:B161"/>
    <mergeCell ref="A607:B607"/>
    <mergeCell ref="A148:B148"/>
    <mergeCell ref="A17:B17"/>
    <mergeCell ref="A40:B40"/>
    <mergeCell ref="A62:B62"/>
    <mergeCell ref="A82:B82"/>
    <mergeCell ref="A91:B91"/>
    <mergeCell ref="A935:B935"/>
    <mergeCell ref="A773:B773"/>
    <mergeCell ref="A831:B831"/>
    <mergeCell ref="A266:B266"/>
    <mergeCell ref="A797:B797"/>
    <mergeCell ref="A304:B304"/>
    <mergeCell ref="A719:B719"/>
    <mergeCell ref="A473:B473"/>
    <mergeCell ref="A670:B670"/>
    <mergeCell ref="A282:B282"/>
    <mergeCell ref="A631:B631"/>
    <mergeCell ref="A547:B547"/>
    <mergeCell ref="A535:B535"/>
    <mergeCell ref="A626:B626"/>
    <mergeCell ref="A580:B580"/>
    <mergeCell ref="A912:B912"/>
    <mergeCell ref="A886:B886"/>
    <mergeCell ref="A864:B864"/>
    <mergeCell ref="A699:B699"/>
    <mergeCell ref="A556:E573"/>
    <mergeCell ref="A960:B960"/>
    <mergeCell ref="A441:B441"/>
    <mergeCell ref="A955:B955"/>
    <mergeCell ref="A492:B492"/>
    <mergeCell ref="A181:B181"/>
    <mergeCell ref="A205:B205"/>
    <mergeCell ref="A219:B219"/>
    <mergeCell ref="A377:B377"/>
    <mergeCell ref="A400:B400"/>
    <mergeCell ref="A517:B517"/>
    <mergeCell ref="A504:C505"/>
    <mergeCell ref="A506:E510"/>
    <mergeCell ref="A292:C293"/>
    <mergeCell ref="A294:E297"/>
    <mergeCell ref="A365:B366"/>
    <mergeCell ref="A367:D370"/>
    <mergeCell ref="A423:C424"/>
    <mergeCell ref="A425:E434"/>
    <mergeCell ref="A352:B352"/>
    <mergeCell ref="A333:B333"/>
  </mergeCells>
  <pageMargins left="0.78740157480314965" right="0.19685039370078741" top="0.78740157480314965" bottom="0.78740157480314965" header="0.39370078740157483" footer="0.19685039370078741"/>
  <pageSetup paperSize="9" scale="90" orientation="portrait" r:id="rId1"/>
  <headerFooter scaleWithDoc="0">
    <oddHeader>&amp;L&amp;"Arial Narrow,Normal"&amp;8Presupuesto Municipal 2020
&amp;R&amp;"Arial Narrow,Normal"&amp;8MUNICIPALIDAD DE VILLA MARÍA
Secretaría de Economía y Finanzas</oddHeader>
  </headerFooter>
  <rowBreaks count="17" manualBreakCount="17">
    <brk id="61" max="4" man="1"/>
    <brk id="117" max="4" man="1"/>
    <brk id="169" max="4" man="1"/>
    <brk id="227" max="4" man="1"/>
    <brk id="285" max="4" man="1"/>
    <brk id="345" max="4" man="1"/>
    <brk id="399" max="4" man="1"/>
    <brk id="451" max="4" man="1"/>
    <brk id="503" max="4" man="1"/>
    <brk id="565" max="4" man="1"/>
    <brk id="618" max="4" man="1"/>
    <brk id="669" max="4" man="1"/>
    <brk id="729" max="4" man="1"/>
    <brk id="788" max="4" man="1"/>
    <brk id="845" max="4" man="1"/>
    <brk id="905" max="4" man="1"/>
    <brk id="959"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6"/>
  <sheetViews>
    <sheetView view="pageLayout" zoomScale="106" zoomScaleNormal="118" zoomScaleSheetLayoutView="50" zoomScalePageLayoutView="106" workbookViewId="0">
      <selection activeCell="B864" sqref="B864"/>
    </sheetView>
  </sheetViews>
  <sheetFormatPr baseColWidth="10" defaultColWidth="11.453125" defaultRowHeight="12.5" x14ac:dyDescent="0.25"/>
  <cols>
    <col min="1" max="1" width="10.1796875" style="327" customWidth="1"/>
    <col min="2" max="2" width="45.26953125" style="327" customWidth="1"/>
    <col min="3" max="3" width="16.54296875" style="340" customWidth="1"/>
    <col min="4" max="4" width="12.54296875" style="338" customWidth="1"/>
    <col min="5" max="5" width="13.7265625" style="340" customWidth="1"/>
    <col min="6" max="6" width="22.1796875" style="948" customWidth="1"/>
    <col min="7" max="7" width="16.54296875" style="133" customWidth="1"/>
    <col min="8" max="8" width="13.453125" style="133" customWidth="1"/>
    <col min="9" max="9" width="13" style="339" customWidth="1"/>
    <col min="10" max="16384" width="11.453125" style="133"/>
  </cols>
  <sheetData>
    <row r="1" spans="1:9" s="260" customFormat="1" ht="13.5" customHeight="1" x14ac:dyDescent="0.25">
      <c r="A1" s="589" t="s">
        <v>637</v>
      </c>
      <c r="B1" s="589"/>
      <c r="C1" s="257"/>
      <c r="D1" s="258"/>
      <c r="E1" s="259"/>
      <c r="F1" s="932"/>
      <c r="I1" s="261"/>
    </row>
    <row r="2" spans="1:9" s="260" customFormat="1" ht="13.5" customHeight="1" x14ac:dyDescent="0.25">
      <c r="A2" s="589"/>
      <c r="B2" s="589"/>
      <c r="C2" s="257"/>
      <c r="D2" s="258"/>
      <c r="E2" s="259"/>
      <c r="F2" s="932"/>
      <c r="I2" s="261"/>
    </row>
    <row r="3" spans="1:9" s="266" customFormat="1" ht="13.5" customHeight="1" thickBot="1" x14ac:dyDescent="0.3">
      <c r="A3" s="262"/>
      <c r="B3" s="262"/>
      <c r="C3" s="263"/>
      <c r="D3" s="264"/>
      <c r="E3" s="263"/>
      <c r="F3" s="689"/>
      <c r="I3" s="267"/>
    </row>
    <row r="4" spans="1:9" s="266" customFormat="1" ht="13.5" customHeight="1" x14ac:dyDescent="0.25">
      <c r="A4" s="1117" t="s">
        <v>961</v>
      </c>
      <c r="B4" s="1118"/>
      <c r="C4" s="1119"/>
      <c r="D4" s="651" t="s">
        <v>6</v>
      </c>
      <c r="E4" s="911">
        <v>1301</v>
      </c>
      <c r="F4" s="689"/>
      <c r="I4" s="267"/>
    </row>
    <row r="5" spans="1:9" s="266" customFormat="1" ht="13.5" customHeight="1" thickBot="1" x14ac:dyDescent="0.3">
      <c r="A5" s="1120"/>
      <c r="B5" s="1121"/>
      <c r="C5" s="1122"/>
      <c r="D5" s="655"/>
      <c r="E5" s="777"/>
      <c r="F5" s="689"/>
      <c r="I5" s="267"/>
    </row>
    <row r="6" spans="1:9" s="266" customFormat="1" ht="13.5" customHeight="1" x14ac:dyDescent="0.25">
      <c r="A6" s="1187" t="s">
        <v>798</v>
      </c>
      <c r="B6" s="1188"/>
      <c r="C6" s="1188"/>
      <c r="D6" s="1188"/>
      <c r="E6" s="1189"/>
      <c r="F6" s="933"/>
      <c r="G6" s="619"/>
      <c r="H6" s="619"/>
      <c r="I6" s="267"/>
    </row>
    <row r="7" spans="1:9" s="266" customFormat="1" ht="13.5" customHeight="1" x14ac:dyDescent="0.25">
      <c r="A7" s="1190"/>
      <c r="B7" s="1191"/>
      <c r="C7" s="1191"/>
      <c r="D7" s="1191"/>
      <c r="E7" s="1192"/>
      <c r="F7" s="933"/>
      <c r="G7" s="619"/>
      <c r="H7" s="619"/>
      <c r="I7" s="267"/>
    </row>
    <row r="8" spans="1:9" s="266" customFormat="1" ht="13.5" customHeight="1" x14ac:dyDescent="0.25">
      <c r="A8" s="1190"/>
      <c r="B8" s="1191"/>
      <c r="C8" s="1191"/>
      <c r="D8" s="1191"/>
      <c r="E8" s="1192"/>
      <c r="F8" s="933"/>
      <c r="G8" s="619"/>
      <c r="H8" s="619"/>
      <c r="I8" s="267"/>
    </row>
    <row r="9" spans="1:9" s="266" customFormat="1" ht="13.5" customHeight="1" x14ac:dyDescent="0.25">
      <c r="A9" s="1190"/>
      <c r="B9" s="1191"/>
      <c r="C9" s="1191"/>
      <c r="D9" s="1191"/>
      <c r="E9" s="1192"/>
      <c r="F9" s="933"/>
      <c r="G9" s="619"/>
      <c r="H9" s="619"/>
      <c r="I9" s="267"/>
    </row>
    <row r="10" spans="1:9" s="266" customFormat="1" ht="13.5" customHeight="1" x14ac:dyDescent="0.25">
      <c r="A10" s="1190"/>
      <c r="B10" s="1191"/>
      <c r="C10" s="1191"/>
      <c r="D10" s="1191"/>
      <c r="E10" s="1192"/>
      <c r="F10" s="933"/>
      <c r="G10" s="619"/>
      <c r="H10" s="619"/>
      <c r="I10" s="267"/>
    </row>
    <row r="11" spans="1:9" s="266" customFormat="1" ht="13.5" customHeight="1" x14ac:dyDescent="0.25">
      <c r="A11" s="1190"/>
      <c r="B11" s="1191"/>
      <c r="C11" s="1191"/>
      <c r="D11" s="1191"/>
      <c r="E11" s="1192"/>
      <c r="F11" s="933"/>
      <c r="G11" s="619"/>
      <c r="H11" s="619"/>
      <c r="I11" s="267"/>
    </row>
    <row r="12" spans="1:9" s="266" customFormat="1" ht="13.5" customHeight="1" thickBot="1" x14ac:dyDescent="0.3">
      <c r="A12" s="1193"/>
      <c r="B12" s="1194"/>
      <c r="C12" s="1194"/>
      <c r="D12" s="1194"/>
      <c r="E12" s="1195"/>
      <c r="F12" s="933"/>
      <c r="G12" s="619"/>
      <c r="H12" s="619"/>
      <c r="I12" s="267"/>
    </row>
    <row r="13" spans="1:9" s="266" customFormat="1" ht="13.5" customHeight="1" x14ac:dyDescent="0.25">
      <c r="A13" s="656" t="s">
        <v>1029</v>
      </c>
      <c r="B13" s="657"/>
      <c r="C13" s="658"/>
      <c r="D13" s="659"/>
      <c r="E13" s="660"/>
      <c r="F13" s="689"/>
      <c r="I13" s="267"/>
    </row>
    <row r="14" spans="1:9" s="266" customFormat="1" ht="13.5" customHeight="1" x14ac:dyDescent="0.25">
      <c r="A14" s="268" t="s">
        <v>635</v>
      </c>
      <c r="B14" s="53"/>
      <c r="C14" s="80"/>
      <c r="D14" s="81"/>
      <c r="E14" s="269"/>
      <c r="F14" s="689"/>
      <c r="I14" s="267"/>
    </row>
    <row r="15" spans="1:9" s="266" customFormat="1" ht="13.5" customHeight="1" x14ac:dyDescent="0.25">
      <c r="A15" s="268" t="s">
        <v>1040</v>
      </c>
      <c r="B15" s="53"/>
      <c r="C15" s="80"/>
      <c r="D15" s="81"/>
      <c r="E15" s="269"/>
      <c r="F15" s="689"/>
      <c r="I15" s="267"/>
    </row>
    <row r="16" spans="1:9" s="266" customFormat="1" ht="13.5" customHeight="1" thickBot="1" x14ac:dyDescent="0.3">
      <c r="A16" s="321" t="s">
        <v>11</v>
      </c>
      <c r="B16" s="620"/>
      <c r="C16" s="631"/>
      <c r="D16" s="632"/>
      <c r="E16" s="621"/>
      <c r="F16" s="689"/>
      <c r="I16" s="267"/>
    </row>
    <row r="17" spans="1:11" s="266" customFormat="1" ht="13.5" customHeight="1" thickBot="1" x14ac:dyDescent="0.3">
      <c r="A17" s="661" t="s">
        <v>0</v>
      </c>
      <c r="B17" s="662"/>
      <c r="C17" s="663"/>
      <c r="D17" s="664"/>
      <c r="E17" s="665">
        <f>(C19+C42+C60+C80+C86)</f>
        <v>160085693</v>
      </c>
      <c r="F17" s="689"/>
      <c r="I17" s="267"/>
    </row>
    <row r="18" spans="1:11" s="128" customFormat="1" ht="13.5" customHeight="1" thickBot="1" x14ac:dyDescent="0.3">
      <c r="A18" s="273"/>
      <c r="B18" s="273"/>
      <c r="C18" s="274"/>
      <c r="D18" s="275"/>
      <c r="E18" s="274"/>
      <c r="F18" s="689"/>
      <c r="I18" s="276"/>
    </row>
    <row r="19" spans="1:11" s="279" customFormat="1" ht="13.5" customHeight="1" thickBot="1" x14ac:dyDescent="0.3">
      <c r="A19" s="1132" t="s">
        <v>1</v>
      </c>
      <c r="B19" s="1133"/>
      <c r="C19" s="666">
        <f>C20+C27+C34</f>
        <v>145335586</v>
      </c>
      <c r="D19" s="277"/>
      <c r="E19" s="278"/>
      <c r="F19" s="689"/>
      <c r="I19" s="280"/>
    </row>
    <row r="20" spans="1:11" s="144" customFormat="1" x14ac:dyDescent="0.25">
      <c r="A20" s="11" t="s">
        <v>97</v>
      </c>
      <c r="B20" s="298" t="s">
        <v>98</v>
      </c>
      <c r="C20" s="31">
        <f>SUM(C21:C26)</f>
        <v>75167367</v>
      </c>
      <c r="D20" s="31"/>
      <c r="E20" s="201"/>
      <c r="F20" s="934"/>
      <c r="G20" s="145"/>
      <c r="H20" s="145"/>
      <c r="I20" s="281"/>
      <c r="J20" s="145"/>
      <c r="K20" s="145"/>
    </row>
    <row r="21" spans="1:11" s="72" customFormat="1" ht="12.75" customHeight="1" x14ac:dyDescent="0.25">
      <c r="A21" s="12" t="s">
        <v>23</v>
      </c>
      <c r="B21" s="24" t="s">
        <v>20</v>
      </c>
      <c r="C21" s="24">
        <f>10159568+3970890+58245672-10000000</f>
        <v>62376130</v>
      </c>
      <c r="D21" s="22"/>
      <c r="E21" s="25"/>
      <c r="F21" s="935"/>
      <c r="I21" s="282"/>
    </row>
    <row r="22" spans="1:11" s="130" customFormat="1" ht="12.75" customHeight="1" x14ac:dyDescent="0.25">
      <c r="A22" s="12" t="s">
        <v>24</v>
      </c>
      <c r="B22" s="24" t="s">
        <v>22</v>
      </c>
      <c r="C22" s="24">
        <f>1679+9030727+2539893-7000000</f>
        <v>4572299</v>
      </c>
      <c r="D22" s="22"/>
      <c r="E22" s="25"/>
      <c r="F22" s="935"/>
      <c r="I22" s="282"/>
    </row>
    <row r="23" spans="1:11" s="130" customFormat="1" ht="12.75" customHeight="1" x14ac:dyDescent="0.25">
      <c r="A23" s="12" t="s">
        <v>25</v>
      </c>
      <c r="B23" s="24" t="s">
        <v>76</v>
      </c>
      <c r="C23" s="24">
        <f>75000+2320436</f>
        <v>2395436</v>
      </c>
      <c r="D23" s="22"/>
      <c r="E23" s="25"/>
      <c r="F23" s="935"/>
      <c r="I23" s="282"/>
    </row>
    <row r="24" spans="1:11" s="130" customFormat="1" ht="12.75" customHeight="1" x14ac:dyDescent="0.25">
      <c r="A24" s="12" t="s">
        <v>26</v>
      </c>
      <c r="B24" s="24" t="s">
        <v>77</v>
      </c>
      <c r="C24" s="24">
        <v>1</v>
      </c>
      <c r="D24" s="22"/>
      <c r="E24" s="25"/>
      <c r="F24" s="935"/>
      <c r="I24" s="282"/>
    </row>
    <row r="25" spans="1:11" s="72" customFormat="1" ht="12.75" customHeight="1" x14ac:dyDescent="0.25">
      <c r="A25" s="12" t="s">
        <v>27</v>
      </c>
      <c r="B25" s="24" t="s">
        <v>21</v>
      </c>
      <c r="C25" s="24">
        <f>2270208+88452</f>
        <v>2358660</v>
      </c>
      <c r="D25" s="22"/>
      <c r="E25" s="25"/>
      <c r="F25" s="935"/>
      <c r="I25" s="282"/>
    </row>
    <row r="26" spans="1:11" s="130" customFormat="1" ht="12.75" customHeight="1" x14ac:dyDescent="0.25">
      <c r="A26" s="12" t="s">
        <v>28</v>
      </c>
      <c r="B26" s="24" t="s">
        <v>19</v>
      </c>
      <c r="C26" s="24">
        <f>572233+100359+174791+355284+540248+606388+117816+43941+124269+474300+274572+80640</f>
        <v>3464841</v>
      </c>
      <c r="D26" s="22"/>
      <c r="E26" s="25"/>
      <c r="F26" s="598"/>
      <c r="I26" s="282"/>
    </row>
    <row r="27" spans="1:11" s="130" customFormat="1" ht="12.75" customHeight="1" x14ac:dyDescent="0.25">
      <c r="A27" s="11" t="s">
        <v>99</v>
      </c>
      <c r="B27" s="31" t="s">
        <v>100</v>
      </c>
      <c r="C27" s="31">
        <f>SUM(C28:C33)</f>
        <v>39307702</v>
      </c>
      <c r="D27" s="22"/>
      <c r="E27" s="25"/>
      <c r="F27" s="598"/>
      <c r="I27" s="282"/>
    </row>
    <row r="28" spans="1:11" s="72" customFormat="1" ht="12.75" customHeight="1" x14ac:dyDescent="0.25">
      <c r="A28" s="12" t="s">
        <v>30</v>
      </c>
      <c r="B28" s="24" t="s">
        <v>78</v>
      </c>
      <c r="C28" s="24">
        <f>6011122+2015381+36032047+559731+157425-10000000</f>
        <v>34775706</v>
      </c>
      <c r="D28" s="22"/>
      <c r="E28" s="25"/>
      <c r="F28" s="936"/>
      <c r="G28" s="12"/>
      <c r="H28" s="12"/>
      <c r="I28" s="282"/>
    </row>
    <row r="29" spans="1:11" s="130" customFormat="1" ht="12.75" customHeight="1" x14ac:dyDescent="0.25">
      <c r="A29" s="12" t="s">
        <v>31</v>
      </c>
      <c r="B29" s="24" t="s">
        <v>79</v>
      </c>
      <c r="C29" s="24">
        <f>629698+159236+5343219+1502780-4000000</f>
        <v>3634933</v>
      </c>
      <c r="D29" s="22"/>
      <c r="E29" s="25"/>
      <c r="F29" s="935"/>
      <c r="I29" s="282"/>
    </row>
    <row r="30" spans="1:11" s="130" customFormat="1" ht="12.75" customHeight="1" x14ac:dyDescent="0.25">
      <c r="A30" s="12" t="s">
        <v>32</v>
      </c>
      <c r="B30" s="24" t="s">
        <v>80</v>
      </c>
      <c r="C30" s="24">
        <v>897060</v>
      </c>
      <c r="D30" s="22"/>
      <c r="E30" s="25"/>
      <c r="F30" s="935"/>
      <c r="I30" s="282"/>
    </row>
    <row r="31" spans="1:11" s="130" customFormat="1" ht="12.75" customHeight="1" x14ac:dyDescent="0.25">
      <c r="A31" s="12" t="s">
        <v>33</v>
      </c>
      <c r="B31" s="24" t="s">
        <v>81</v>
      </c>
      <c r="C31" s="24">
        <v>1</v>
      </c>
      <c r="D31" s="22"/>
      <c r="E31" s="25"/>
      <c r="F31" s="935"/>
      <c r="I31" s="282"/>
    </row>
    <row r="32" spans="1:11" s="72" customFormat="1" ht="12.75" customHeight="1" x14ac:dyDescent="0.25">
      <c r="A32" s="12" t="s">
        <v>34</v>
      </c>
      <c r="B32" s="24" t="s">
        <v>259</v>
      </c>
      <c r="C32" s="24">
        <v>1</v>
      </c>
      <c r="D32" s="22"/>
      <c r="E32" s="25"/>
      <c r="F32" s="935"/>
      <c r="I32" s="282"/>
    </row>
    <row r="33" spans="1:11" s="130" customFormat="1" ht="12.75" customHeight="1" x14ac:dyDescent="0.25">
      <c r="A33" s="12" t="s">
        <v>83</v>
      </c>
      <c r="B33" s="24" t="s">
        <v>82</v>
      </c>
      <c r="C33" s="24">
        <v>1</v>
      </c>
      <c r="D33" s="22"/>
      <c r="E33" s="25"/>
      <c r="F33" s="598"/>
      <c r="I33" s="282"/>
    </row>
    <row r="34" spans="1:11" s="130" customFormat="1" ht="12.75" customHeight="1" x14ac:dyDescent="0.25">
      <c r="A34" s="11" t="s">
        <v>101</v>
      </c>
      <c r="B34" s="31" t="s">
        <v>102</v>
      </c>
      <c r="C34" s="31">
        <f>SUM(C35:C40)</f>
        <v>30860517</v>
      </c>
      <c r="D34" s="22"/>
      <c r="E34" s="25"/>
      <c r="F34" s="598"/>
      <c r="I34" s="282"/>
    </row>
    <row r="35" spans="1:11" s="72" customFormat="1" ht="12.75" customHeight="1" x14ac:dyDescent="0.25">
      <c r="A35" s="12" t="s">
        <v>39</v>
      </c>
      <c r="B35" s="24" t="s">
        <v>35</v>
      </c>
      <c r="C35" s="24">
        <f>4092635+1399007+24784765+161265+45356-5000000</f>
        <v>25483028</v>
      </c>
      <c r="D35" s="22"/>
      <c r="E35" s="25"/>
      <c r="F35" s="935"/>
      <c r="I35" s="282"/>
    </row>
    <row r="36" spans="1:11" s="130" customFormat="1" ht="12.75" customHeight="1" x14ac:dyDescent="0.25">
      <c r="A36" s="12" t="s">
        <v>40</v>
      </c>
      <c r="B36" s="24" t="s">
        <v>37</v>
      </c>
      <c r="C36" s="24">
        <f>629697+46563+1023156+3637895-2500000</f>
        <v>2837311</v>
      </c>
      <c r="D36" s="22"/>
      <c r="E36" s="25"/>
      <c r="F36" s="935"/>
      <c r="I36" s="282"/>
    </row>
    <row r="37" spans="1:11" s="130" customFormat="1" ht="12.75" customHeight="1" x14ac:dyDescent="0.25">
      <c r="A37" s="12" t="s">
        <v>41</v>
      </c>
      <c r="B37" s="24" t="s">
        <v>84</v>
      </c>
      <c r="C37" s="24">
        <v>929263</v>
      </c>
      <c r="D37" s="22"/>
      <c r="E37" s="25"/>
      <c r="F37" s="935"/>
      <c r="I37" s="282"/>
    </row>
    <row r="38" spans="1:11" s="130" customFormat="1" ht="12.75" customHeight="1" x14ac:dyDescent="0.25">
      <c r="A38" s="12" t="s">
        <v>42</v>
      </c>
      <c r="B38" s="24" t="s">
        <v>85</v>
      </c>
      <c r="C38" s="24">
        <v>1</v>
      </c>
      <c r="D38" s="22"/>
      <c r="E38" s="25"/>
      <c r="F38" s="935"/>
      <c r="I38" s="282"/>
    </row>
    <row r="39" spans="1:11" s="72" customFormat="1" ht="12.75" customHeight="1" x14ac:dyDescent="0.25">
      <c r="A39" s="12" t="s">
        <v>43</v>
      </c>
      <c r="B39" s="24" t="s">
        <v>36</v>
      </c>
      <c r="C39" s="24">
        <f>1561584+49329</f>
        <v>1610913</v>
      </c>
      <c r="D39" s="22"/>
      <c r="E39" s="25"/>
      <c r="F39" s="935"/>
      <c r="I39" s="282"/>
    </row>
    <row r="40" spans="1:11" s="130" customFormat="1" ht="12.75" customHeight="1" x14ac:dyDescent="0.25">
      <c r="A40" s="12" t="s">
        <v>44</v>
      </c>
      <c r="B40" s="24" t="s">
        <v>38</v>
      </c>
      <c r="C40" s="24">
        <v>1</v>
      </c>
      <c r="D40" s="22"/>
      <c r="E40" s="25"/>
      <c r="F40" s="598"/>
      <c r="I40" s="282"/>
    </row>
    <row r="41" spans="1:11" s="287" customFormat="1" ht="13.5" customHeight="1" thickBot="1" x14ac:dyDescent="0.3">
      <c r="A41" s="71"/>
      <c r="B41" s="71"/>
      <c r="C41" s="24"/>
      <c r="D41" s="283"/>
      <c r="E41" s="24"/>
      <c r="F41" s="689"/>
      <c r="G41" s="285"/>
      <c r="H41" s="285"/>
      <c r="I41" s="286"/>
      <c r="J41" s="285"/>
      <c r="K41" s="285"/>
    </row>
    <row r="42" spans="1:11" s="291" customFormat="1" ht="13.5" customHeight="1" thickBot="1" x14ac:dyDescent="0.3">
      <c r="A42" s="1104" t="s">
        <v>2</v>
      </c>
      <c r="B42" s="1105"/>
      <c r="C42" s="667">
        <f>C43+C45+C47+C49+C51+C53+C55</f>
        <v>511060</v>
      </c>
      <c r="D42" s="289"/>
      <c r="F42" s="937"/>
      <c r="I42" s="292"/>
    </row>
    <row r="43" spans="1:11" s="294" customFormat="1" ht="13.5" customHeight="1" x14ac:dyDescent="0.25">
      <c r="A43" s="11" t="s">
        <v>103</v>
      </c>
      <c r="B43" s="564" t="s">
        <v>104</v>
      </c>
      <c r="C43" s="335">
        <f>SUM(C44)</f>
        <v>277130</v>
      </c>
      <c r="D43" s="293"/>
      <c r="E43" s="293"/>
      <c r="F43" s="593"/>
      <c r="I43" s="295"/>
    </row>
    <row r="44" spans="1:11" s="12" customFormat="1" ht="13.5" customHeight="1" x14ac:dyDescent="0.25">
      <c r="A44" s="12" t="s">
        <v>46</v>
      </c>
      <c r="B44" s="72" t="s">
        <v>45</v>
      </c>
      <c r="C44" s="24">
        <v>277130</v>
      </c>
      <c r="D44" s="96"/>
      <c r="E44" s="31"/>
      <c r="F44" s="936"/>
      <c r="G44" s="24"/>
      <c r="I44" s="296"/>
    </row>
    <row r="45" spans="1:11" s="12" customFormat="1" ht="13.5" customHeight="1" x14ac:dyDescent="0.25">
      <c r="A45" s="11" t="s">
        <v>105</v>
      </c>
      <c r="B45" s="265" t="s">
        <v>106</v>
      </c>
      <c r="C45" s="31">
        <f>SUM(C46:C46)</f>
        <v>15680</v>
      </c>
      <c r="D45" s="96"/>
      <c r="E45" s="31"/>
      <c r="F45" s="936"/>
      <c r="G45" s="24"/>
      <c r="I45" s="296"/>
    </row>
    <row r="46" spans="1:11" s="12" customFormat="1" ht="13.5" customHeight="1" x14ac:dyDescent="0.25">
      <c r="A46" s="12" t="s">
        <v>86</v>
      </c>
      <c r="B46" s="72" t="s">
        <v>66</v>
      </c>
      <c r="C46" s="24">
        <v>15680</v>
      </c>
      <c r="D46" s="22"/>
      <c r="E46" s="31"/>
      <c r="F46" s="936"/>
      <c r="G46" s="24"/>
      <c r="I46" s="296"/>
    </row>
    <row r="47" spans="1:11" s="12" customFormat="1" ht="13.5" customHeight="1" x14ac:dyDescent="0.25">
      <c r="A47" s="11" t="s">
        <v>107</v>
      </c>
      <c r="B47" s="265" t="s">
        <v>108</v>
      </c>
      <c r="C47" s="31">
        <f>SUM(C48)</f>
        <v>63440</v>
      </c>
      <c r="D47" s="22"/>
      <c r="E47" s="31"/>
      <c r="F47" s="936"/>
      <c r="G47" s="24"/>
      <c r="I47" s="296"/>
    </row>
    <row r="48" spans="1:11" s="72" customFormat="1" ht="13.5" customHeight="1" x14ac:dyDescent="0.25">
      <c r="A48" s="12" t="s">
        <v>47</v>
      </c>
      <c r="B48" s="23" t="s">
        <v>48</v>
      </c>
      <c r="C48" s="24">
        <v>63440</v>
      </c>
      <c r="D48" s="78"/>
      <c r="E48" s="25"/>
      <c r="F48" s="593"/>
      <c r="G48" s="24"/>
      <c r="H48" s="12"/>
      <c r="I48" s="282"/>
    </row>
    <row r="49" spans="1:9" s="72" customFormat="1" ht="13.5" customHeight="1" x14ac:dyDescent="0.25">
      <c r="A49" s="11" t="s">
        <v>195</v>
      </c>
      <c r="B49" s="25" t="s">
        <v>194</v>
      </c>
      <c r="C49" s="31">
        <f>SUM(C50)</f>
        <v>18220</v>
      </c>
      <c r="D49" s="78"/>
      <c r="E49" s="25"/>
      <c r="F49" s="593"/>
      <c r="G49" s="24"/>
      <c r="H49" s="12"/>
      <c r="I49" s="282"/>
    </row>
    <row r="50" spans="1:9" s="5" customFormat="1" ht="13" x14ac:dyDescent="0.25">
      <c r="A50" s="12" t="s">
        <v>193</v>
      </c>
      <c r="B50" s="72" t="s">
        <v>215</v>
      </c>
      <c r="C50" s="24">
        <v>18220</v>
      </c>
      <c r="D50" s="21"/>
      <c r="E50" s="21"/>
      <c r="F50" s="598"/>
      <c r="I50" s="297"/>
    </row>
    <row r="51" spans="1:9" s="5" customFormat="1" ht="13" x14ac:dyDescent="0.25">
      <c r="A51" s="265" t="s">
        <v>119</v>
      </c>
      <c r="B51" s="265" t="s">
        <v>109</v>
      </c>
      <c r="C51" s="31">
        <f>SUM(C52)</f>
        <v>6370</v>
      </c>
      <c r="D51" s="21"/>
      <c r="E51" s="21"/>
      <c r="F51" s="598"/>
      <c r="I51" s="297"/>
    </row>
    <row r="52" spans="1:9" s="72" customFormat="1" ht="13.5" customHeight="1" x14ac:dyDescent="0.25">
      <c r="A52" s="72" t="s">
        <v>150</v>
      </c>
      <c r="B52" s="23" t="s">
        <v>69</v>
      </c>
      <c r="C52" s="24">
        <v>6370</v>
      </c>
      <c r="D52" s="78"/>
      <c r="E52" s="25"/>
      <c r="F52" s="593"/>
      <c r="G52" s="24"/>
      <c r="H52" s="12"/>
      <c r="I52" s="282"/>
    </row>
    <row r="53" spans="1:9" s="72" customFormat="1" ht="13.5" customHeight="1" x14ac:dyDescent="0.25">
      <c r="A53" s="265" t="s">
        <v>124</v>
      </c>
      <c r="B53" s="25" t="s">
        <v>123</v>
      </c>
      <c r="C53" s="31">
        <f>SUM(C54)</f>
        <v>30720</v>
      </c>
      <c r="D53" s="78"/>
      <c r="E53" s="25"/>
      <c r="F53" s="593"/>
      <c r="G53" s="24"/>
      <c r="H53" s="12"/>
      <c r="I53" s="282"/>
    </row>
    <row r="54" spans="1:9" s="72" customFormat="1" ht="13.5" customHeight="1" x14ac:dyDescent="0.25">
      <c r="A54" s="72" t="s">
        <v>93</v>
      </c>
      <c r="B54" s="23" t="s">
        <v>72</v>
      </c>
      <c r="C54" s="24">
        <v>30720</v>
      </c>
      <c r="D54" s="78"/>
      <c r="E54" s="25"/>
      <c r="F54" s="593"/>
      <c r="G54" s="24"/>
      <c r="H54" s="12"/>
      <c r="I54" s="282"/>
    </row>
    <row r="55" spans="1:9" s="72" customFormat="1" ht="13.5" customHeight="1" x14ac:dyDescent="0.25">
      <c r="A55" s="265" t="s">
        <v>151</v>
      </c>
      <c r="B55" s="25" t="s">
        <v>133</v>
      </c>
      <c r="C55" s="31">
        <f>SUM(C56:C58)</f>
        <v>99500</v>
      </c>
      <c r="D55" s="78"/>
      <c r="E55" s="25"/>
      <c r="F55" s="593"/>
      <c r="G55" s="24"/>
      <c r="H55" s="12"/>
      <c r="I55" s="282"/>
    </row>
    <row r="56" spans="1:9" s="72" customFormat="1" ht="13.5" customHeight="1" x14ac:dyDescent="0.25">
      <c r="A56" s="72" t="s">
        <v>152</v>
      </c>
      <c r="B56" s="23" t="s">
        <v>65</v>
      </c>
      <c r="C56" s="24">
        <v>75790</v>
      </c>
      <c r="D56" s="78"/>
      <c r="E56" s="25"/>
      <c r="F56" s="593"/>
      <c r="G56" s="24"/>
      <c r="H56" s="12"/>
      <c r="I56" s="282"/>
    </row>
    <row r="57" spans="1:9" s="72" customFormat="1" ht="13.5" customHeight="1" x14ac:dyDescent="0.25">
      <c r="A57" s="72" t="s">
        <v>153</v>
      </c>
      <c r="B57" s="23" t="s">
        <v>70</v>
      </c>
      <c r="C57" s="24">
        <v>4810</v>
      </c>
      <c r="D57" s="78"/>
      <c r="E57" s="25"/>
      <c r="F57" s="938"/>
      <c r="G57" s="24"/>
      <c r="H57" s="122"/>
      <c r="I57" s="282"/>
    </row>
    <row r="58" spans="1:9" s="291" customFormat="1" ht="13.5" customHeight="1" x14ac:dyDescent="0.25">
      <c r="A58" s="72" t="s">
        <v>155</v>
      </c>
      <c r="B58" s="23" t="s">
        <v>133</v>
      </c>
      <c r="C58" s="24">
        <v>18900</v>
      </c>
      <c r="D58" s="302"/>
      <c r="E58" s="290"/>
      <c r="F58" s="689"/>
      <c r="I58" s="292"/>
    </row>
    <row r="59" spans="1:9" s="291" customFormat="1" ht="13.5" customHeight="1" thickBot="1" x14ac:dyDescent="0.3">
      <c r="A59" s="72"/>
      <c r="B59" s="23"/>
      <c r="C59" s="23"/>
      <c r="D59" s="289"/>
      <c r="E59" s="290"/>
      <c r="F59" s="689"/>
      <c r="I59" s="292"/>
    </row>
    <row r="60" spans="1:9" s="291" customFormat="1" ht="13.5" customHeight="1" thickBot="1" x14ac:dyDescent="0.3">
      <c r="A60" s="1096" t="s">
        <v>3</v>
      </c>
      <c r="B60" s="1097"/>
      <c r="C60" s="668">
        <f>C61+C63+C65+C68+C71+C73</f>
        <v>3100657</v>
      </c>
      <c r="D60" s="289"/>
      <c r="F60" s="937"/>
      <c r="I60" s="292"/>
    </row>
    <row r="61" spans="1:9" s="294" customFormat="1" ht="13.5" customHeight="1" x14ac:dyDescent="0.25">
      <c r="A61" s="11" t="s">
        <v>110</v>
      </c>
      <c r="B61" s="564" t="s">
        <v>111</v>
      </c>
      <c r="C61" s="335">
        <f>SUM(C62)</f>
        <v>1035625</v>
      </c>
      <c r="D61" s="293"/>
      <c r="E61" s="293"/>
      <c r="F61" s="593"/>
      <c r="I61" s="295"/>
    </row>
    <row r="62" spans="1:9" s="72" customFormat="1" ht="13.5" customHeight="1" x14ac:dyDescent="0.25">
      <c r="A62" s="12" t="s">
        <v>52</v>
      </c>
      <c r="B62" s="12" t="s">
        <v>15</v>
      </c>
      <c r="C62" s="24">
        <v>1035625</v>
      </c>
      <c r="D62" s="79"/>
      <c r="E62" s="25"/>
      <c r="F62" s="593"/>
      <c r="G62" s="24"/>
      <c r="H62" s="12"/>
      <c r="I62" s="282"/>
    </row>
    <row r="63" spans="1:9" s="72" customFormat="1" ht="13.5" customHeight="1" x14ac:dyDescent="0.25">
      <c r="A63" s="11" t="s">
        <v>120</v>
      </c>
      <c r="B63" s="11" t="s">
        <v>121</v>
      </c>
      <c r="C63" s="31">
        <f>SUM(C64)</f>
        <v>82622</v>
      </c>
      <c r="D63" s="79"/>
      <c r="E63" s="25"/>
      <c r="F63" s="593"/>
      <c r="G63" s="24"/>
      <c r="H63" s="12"/>
      <c r="I63" s="282"/>
    </row>
    <row r="64" spans="1:9" s="147" customFormat="1" ht="13" x14ac:dyDescent="0.25">
      <c r="A64" s="12" t="s">
        <v>136</v>
      </c>
      <c r="B64" s="12" t="s">
        <v>71</v>
      </c>
      <c r="C64" s="24">
        <f>72265+10357</f>
        <v>82622</v>
      </c>
      <c r="D64" s="31"/>
      <c r="E64" s="120"/>
      <c r="F64" s="936"/>
      <c r="I64" s="301"/>
    </row>
    <row r="65" spans="1:11" s="147" customFormat="1" ht="13" x14ac:dyDescent="0.25">
      <c r="A65" s="11" t="s">
        <v>112</v>
      </c>
      <c r="B65" s="11" t="s">
        <v>157</v>
      </c>
      <c r="C65" s="31">
        <f>SUM(C66:C67)</f>
        <v>187500</v>
      </c>
      <c r="D65" s="31"/>
      <c r="E65" s="120"/>
      <c r="F65" s="936"/>
      <c r="I65" s="301"/>
    </row>
    <row r="66" spans="1:11" s="147" customFormat="1" ht="13" x14ac:dyDescent="0.25">
      <c r="A66" s="12" t="s">
        <v>138</v>
      </c>
      <c r="B66" s="59" t="s">
        <v>878</v>
      </c>
      <c r="C66" s="24">
        <v>7500</v>
      </c>
      <c r="D66" s="24"/>
      <c r="E66" s="120"/>
      <c r="F66" s="936"/>
      <c r="I66" s="301"/>
    </row>
    <row r="67" spans="1:11" s="147" customFormat="1" ht="13" x14ac:dyDescent="0.25">
      <c r="A67" s="12" t="s">
        <v>49</v>
      </c>
      <c r="B67" s="24" t="s">
        <v>87</v>
      </c>
      <c r="C67" s="24">
        <v>180000</v>
      </c>
      <c r="D67" s="24"/>
      <c r="E67" s="120"/>
      <c r="F67" s="936"/>
      <c r="I67" s="301"/>
    </row>
    <row r="68" spans="1:11" s="147" customFormat="1" ht="13" x14ac:dyDescent="0.25">
      <c r="A68" s="11" t="s">
        <v>113</v>
      </c>
      <c r="B68" s="31" t="s">
        <v>114</v>
      </c>
      <c r="C68" s="31">
        <f>SUM(C69:C70)</f>
        <v>202160</v>
      </c>
      <c r="D68" s="24"/>
      <c r="E68" s="120"/>
      <c r="F68" s="936"/>
      <c r="I68" s="301"/>
    </row>
    <row r="69" spans="1:11" s="147" customFormat="1" ht="13" x14ac:dyDescent="0.25">
      <c r="A69" s="12" t="s">
        <v>164</v>
      </c>
      <c r="B69" s="12" t="s">
        <v>74</v>
      </c>
      <c r="C69" s="24">
        <v>189600</v>
      </c>
      <c r="D69" s="24"/>
      <c r="E69" s="120"/>
      <c r="F69" s="936"/>
      <c r="I69" s="301"/>
    </row>
    <row r="70" spans="1:11" s="147" customFormat="1" ht="13" x14ac:dyDescent="0.25">
      <c r="A70" s="12" t="s">
        <v>88</v>
      </c>
      <c r="B70" s="24" t="s">
        <v>64</v>
      </c>
      <c r="C70" s="24">
        <v>12560</v>
      </c>
      <c r="D70" s="25"/>
      <c r="E70" s="38"/>
      <c r="F70" s="936"/>
      <c r="I70" s="301"/>
    </row>
    <row r="71" spans="1:11" s="147" customFormat="1" ht="13" x14ac:dyDescent="0.25">
      <c r="A71" s="11" t="s">
        <v>132</v>
      </c>
      <c r="B71" s="11" t="s">
        <v>56</v>
      </c>
      <c r="C71" s="31">
        <f>SUM(C72)</f>
        <v>12300</v>
      </c>
      <c r="D71" s="25"/>
      <c r="E71" s="38"/>
      <c r="F71" s="936"/>
      <c r="I71" s="301"/>
    </row>
    <row r="72" spans="1:11" s="147" customFormat="1" ht="13" x14ac:dyDescent="0.25">
      <c r="A72" s="12" t="s">
        <v>55</v>
      </c>
      <c r="B72" s="12" t="s">
        <v>56</v>
      </c>
      <c r="C72" s="24">
        <v>12300</v>
      </c>
      <c r="D72" s="31"/>
      <c r="E72" s="120"/>
      <c r="F72" s="936"/>
      <c r="I72" s="301"/>
    </row>
    <row r="73" spans="1:11" s="147" customFormat="1" ht="13" x14ac:dyDescent="0.25">
      <c r="A73" s="11" t="s">
        <v>115</v>
      </c>
      <c r="B73" s="31" t="s">
        <v>8</v>
      </c>
      <c r="C73" s="31">
        <f>SUM(C74:C78)</f>
        <v>1580450</v>
      </c>
      <c r="D73" s="31"/>
      <c r="E73" s="120"/>
      <c r="F73" s="936"/>
      <c r="I73" s="301"/>
    </row>
    <row r="74" spans="1:11" s="5" customFormat="1" ht="13" x14ac:dyDescent="0.25">
      <c r="A74" s="12" t="s">
        <v>89</v>
      </c>
      <c r="B74" s="24" t="s">
        <v>8</v>
      </c>
      <c r="C74" s="24">
        <v>226550</v>
      </c>
      <c r="D74" s="78"/>
      <c r="E74" s="25"/>
      <c r="F74" s="935"/>
      <c r="G74" s="24"/>
      <c r="H74" s="24"/>
      <c r="I74" s="282"/>
      <c r="J74" s="72"/>
      <c r="K74" s="72"/>
    </row>
    <row r="75" spans="1:11" s="5" customFormat="1" ht="13" x14ac:dyDescent="0.25">
      <c r="A75" s="12" t="s">
        <v>181</v>
      </c>
      <c r="B75" s="24" t="s">
        <v>50</v>
      </c>
      <c r="C75" s="24">
        <v>45650</v>
      </c>
      <c r="D75" s="24"/>
      <c r="E75" s="120"/>
      <c r="F75" s="936"/>
      <c r="I75" s="297"/>
    </row>
    <row r="76" spans="1:11" s="72" customFormat="1" ht="13.5" customHeight="1" x14ac:dyDescent="0.25">
      <c r="A76" s="72" t="s">
        <v>224</v>
      </c>
      <c r="B76" s="24" t="s">
        <v>223</v>
      </c>
      <c r="C76" s="24">
        <v>17500</v>
      </c>
      <c r="D76" s="274"/>
      <c r="E76" s="274"/>
      <c r="F76" s="689"/>
      <c r="G76" s="279"/>
      <c r="H76" s="279"/>
      <c r="I76" s="280"/>
      <c r="J76" s="279"/>
      <c r="K76" s="279"/>
    </row>
    <row r="77" spans="1:11" s="72" customFormat="1" ht="13.5" customHeight="1" x14ac:dyDescent="0.25">
      <c r="A77" s="12" t="s">
        <v>222</v>
      </c>
      <c r="B77" s="43" t="s">
        <v>221</v>
      </c>
      <c r="C77" s="60">
        <v>19800</v>
      </c>
      <c r="D77" s="274"/>
      <c r="E77" s="274"/>
      <c r="F77" s="689"/>
      <c r="G77" s="279"/>
      <c r="H77" s="279"/>
      <c r="I77" s="280"/>
      <c r="J77" s="279"/>
      <c r="K77" s="279"/>
    </row>
    <row r="78" spans="1:11" s="279" customFormat="1" ht="13.5" customHeight="1" x14ac:dyDescent="0.25">
      <c r="A78" s="12" t="s">
        <v>90</v>
      </c>
      <c r="B78" s="24" t="s">
        <v>7</v>
      </c>
      <c r="C78" s="24">
        <v>1270950</v>
      </c>
      <c r="D78" s="24"/>
      <c r="E78" s="120"/>
      <c r="F78" s="936"/>
      <c r="G78" s="5"/>
      <c r="H78" s="5"/>
      <c r="I78" s="297"/>
      <c r="J78" s="5"/>
      <c r="K78" s="5"/>
    </row>
    <row r="79" spans="1:11" s="279" customFormat="1" ht="13.5" customHeight="1" thickBot="1" x14ac:dyDescent="0.3">
      <c r="A79" s="12"/>
      <c r="B79" s="12"/>
      <c r="C79" s="24"/>
      <c r="D79" s="274"/>
      <c r="E79" s="274"/>
      <c r="F79" s="689"/>
      <c r="I79" s="280"/>
    </row>
    <row r="80" spans="1:11" s="128" customFormat="1" ht="13.5" customHeight="1" thickBot="1" x14ac:dyDescent="0.3">
      <c r="A80" s="1115" t="s">
        <v>5</v>
      </c>
      <c r="B80" s="1116"/>
      <c r="C80" s="669">
        <f>C81+C83</f>
        <v>10865800</v>
      </c>
      <c r="D80" s="609"/>
      <c r="E80" s="610"/>
      <c r="F80" s="933"/>
      <c r="I80" s="276"/>
    </row>
    <row r="81" spans="1:11" s="124" customFormat="1" ht="13.5" customHeight="1" x14ac:dyDescent="0.25">
      <c r="A81" s="11" t="s">
        <v>126</v>
      </c>
      <c r="B81" s="11" t="s">
        <v>127</v>
      </c>
      <c r="C81" s="32">
        <f>SUM(C82)</f>
        <v>10700000</v>
      </c>
      <c r="D81" s="606"/>
      <c r="E81" s="607"/>
      <c r="F81" s="939"/>
      <c r="I81" s="308"/>
    </row>
    <row r="82" spans="1:11" s="315" customFormat="1" ht="13.5" customHeight="1" x14ac:dyDescent="0.25">
      <c r="A82" s="12" t="s">
        <v>286</v>
      </c>
      <c r="B82" s="12" t="s">
        <v>287</v>
      </c>
      <c r="C82" s="24">
        <v>10700000</v>
      </c>
      <c r="D82" s="605"/>
      <c r="E82" s="608"/>
      <c r="F82" s="933"/>
      <c r="G82" s="12"/>
      <c r="H82" s="12"/>
      <c r="I82" s="296"/>
      <c r="J82" s="12"/>
      <c r="K82" s="12"/>
    </row>
    <row r="83" spans="1:11" s="315" customFormat="1" ht="13.5" customHeight="1" x14ac:dyDescent="0.25">
      <c r="A83" s="11" t="s">
        <v>128</v>
      </c>
      <c r="B83" s="11" t="s">
        <v>129</v>
      </c>
      <c r="C83" s="31">
        <f>SUM(C84)</f>
        <v>165800</v>
      </c>
      <c r="D83" s="605"/>
      <c r="E83" s="608"/>
      <c r="F83" s="933"/>
      <c r="G83" s="12"/>
      <c r="H83" s="12"/>
      <c r="I83" s="296"/>
      <c r="J83" s="12"/>
      <c r="K83" s="12"/>
    </row>
    <row r="84" spans="1:11" s="315" customFormat="1" ht="13.5" customHeight="1" x14ac:dyDescent="0.25">
      <c r="A84" s="12" t="s">
        <v>288</v>
      </c>
      <c r="B84" s="12" t="s">
        <v>289</v>
      </c>
      <c r="C84" s="24">
        <v>165800</v>
      </c>
      <c r="D84" s="605"/>
      <c r="E84" s="608"/>
      <c r="F84" s="933"/>
      <c r="G84" s="12"/>
      <c r="H84" s="12"/>
      <c r="I84" s="296"/>
      <c r="J84" s="12"/>
      <c r="K84" s="12"/>
    </row>
    <row r="85" spans="1:11" s="128" customFormat="1" ht="13.5" customHeight="1" thickBot="1" x14ac:dyDescent="0.3">
      <c r="A85" s="72"/>
      <c r="B85" s="72"/>
      <c r="C85" s="28"/>
      <c r="D85" s="275"/>
      <c r="E85" s="274"/>
      <c r="F85" s="689"/>
      <c r="I85" s="276"/>
    </row>
    <row r="86" spans="1:11" s="291" customFormat="1" ht="13.5" customHeight="1" thickBot="1" x14ac:dyDescent="0.3">
      <c r="A86" s="1100" t="s">
        <v>4</v>
      </c>
      <c r="B86" s="1101"/>
      <c r="C86" s="670">
        <f>C87+C90</f>
        <v>272590</v>
      </c>
      <c r="D86" s="289"/>
      <c r="F86" s="937"/>
      <c r="I86" s="292"/>
    </row>
    <row r="87" spans="1:11" s="294" customFormat="1" ht="13.5" customHeight="1" x14ac:dyDescent="0.25">
      <c r="A87" s="265" t="s">
        <v>116</v>
      </c>
      <c r="B87" s="564" t="s">
        <v>117</v>
      </c>
      <c r="C87" s="335">
        <f>SUM(C88:C89)</f>
        <v>117590</v>
      </c>
      <c r="D87" s="293"/>
      <c r="E87" s="293"/>
      <c r="F87" s="593"/>
      <c r="I87" s="295"/>
    </row>
    <row r="88" spans="1:11" s="5" customFormat="1" ht="13" x14ac:dyDescent="0.25">
      <c r="A88" s="72" t="s">
        <v>91</v>
      </c>
      <c r="B88" s="72" t="s">
        <v>139</v>
      </c>
      <c r="C88" s="24">
        <v>85190</v>
      </c>
      <c r="D88" s="21"/>
      <c r="E88" s="21"/>
      <c r="F88" s="598"/>
      <c r="I88" s="297"/>
    </row>
    <row r="89" spans="1:11" s="5" customFormat="1" ht="14.25" customHeight="1" x14ac:dyDescent="0.25">
      <c r="A89" s="72" t="s">
        <v>57</v>
      </c>
      <c r="B89" s="72" t="s">
        <v>58</v>
      </c>
      <c r="C89" s="24">
        <v>32400</v>
      </c>
      <c r="D89" s="21"/>
      <c r="E89" s="21"/>
      <c r="G89" s="350"/>
    </row>
    <row r="90" spans="1:11" s="5" customFormat="1" ht="13" x14ac:dyDescent="0.25">
      <c r="A90" s="265" t="s">
        <v>166</v>
      </c>
      <c r="B90" s="25" t="s">
        <v>134</v>
      </c>
      <c r="C90" s="31">
        <f>SUM(C91)</f>
        <v>155000</v>
      </c>
      <c r="D90" s="21"/>
      <c r="E90" s="21"/>
      <c r="F90" s="598"/>
      <c r="I90" s="297"/>
    </row>
    <row r="91" spans="1:11" s="5" customFormat="1" ht="13" x14ac:dyDescent="0.25">
      <c r="A91" s="72" t="s">
        <v>167</v>
      </c>
      <c r="B91" s="23" t="s">
        <v>51</v>
      </c>
      <c r="C91" s="24">
        <v>155000</v>
      </c>
      <c r="D91" s="21"/>
      <c r="E91" s="21"/>
      <c r="F91" s="598"/>
      <c r="I91" s="297"/>
    </row>
    <row r="92" spans="1:11" s="5" customFormat="1" ht="13" x14ac:dyDescent="0.25">
      <c r="A92" s="72"/>
      <c r="B92" s="23"/>
      <c r="C92" s="24"/>
      <c r="D92" s="21"/>
      <c r="E92" s="21"/>
      <c r="F92" s="598"/>
      <c r="I92" s="297"/>
    </row>
    <row r="93" spans="1:11" s="266" customFormat="1" ht="13.5" customHeight="1" thickBot="1" x14ac:dyDescent="0.3">
      <c r="A93" s="273"/>
      <c r="B93" s="273"/>
      <c r="C93" s="274"/>
      <c r="D93" s="302"/>
      <c r="E93" s="300"/>
      <c r="F93" s="689"/>
      <c r="I93" s="267"/>
    </row>
    <row r="94" spans="1:11" s="128" customFormat="1" ht="13.5" customHeight="1" x14ac:dyDescent="0.25">
      <c r="A94" s="1117" t="s">
        <v>962</v>
      </c>
      <c r="B94" s="1118"/>
      <c r="C94" s="1119"/>
      <c r="D94" s="691" t="s">
        <v>6</v>
      </c>
      <c r="E94" s="911">
        <v>1302</v>
      </c>
      <c r="F94" s="689"/>
      <c r="I94" s="276"/>
    </row>
    <row r="95" spans="1:11" s="128" customFormat="1" ht="13.5" customHeight="1" thickBot="1" x14ac:dyDescent="0.3">
      <c r="A95" s="1120"/>
      <c r="B95" s="1121"/>
      <c r="C95" s="1122"/>
      <c r="D95" s="694"/>
      <c r="E95" s="761"/>
      <c r="F95" s="689"/>
      <c r="I95" s="276"/>
    </row>
    <row r="96" spans="1:11" s="128" customFormat="1" ht="13.5" customHeight="1" x14ac:dyDescent="0.25">
      <c r="A96" s="1202" t="s">
        <v>963</v>
      </c>
      <c r="B96" s="1203"/>
      <c r="C96" s="1203"/>
      <c r="D96" s="1203"/>
      <c r="E96" s="1204"/>
      <c r="F96" s="689"/>
      <c r="I96" s="276"/>
    </row>
    <row r="97" spans="1:9" s="128" customFormat="1" ht="13.5" customHeight="1" x14ac:dyDescent="0.25">
      <c r="A97" s="1205"/>
      <c r="B97" s="1206"/>
      <c r="C97" s="1206"/>
      <c r="D97" s="1206"/>
      <c r="E97" s="1207"/>
      <c r="F97" s="689"/>
      <c r="I97" s="276"/>
    </row>
    <row r="98" spans="1:9" s="128" customFormat="1" ht="13.5" customHeight="1" x14ac:dyDescent="0.25">
      <c r="A98" s="1205"/>
      <c r="B98" s="1206"/>
      <c r="C98" s="1206"/>
      <c r="D98" s="1206"/>
      <c r="E98" s="1207"/>
      <c r="F98" s="689"/>
      <c r="I98" s="276"/>
    </row>
    <row r="99" spans="1:9" s="128" customFormat="1" ht="13.5" customHeight="1" thickBot="1" x14ac:dyDescent="0.3">
      <c r="A99" s="1208"/>
      <c r="B99" s="1209"/>
      <c r="C99" s="1209"/>
      <c r="D99" s="1209"/>
      <c r="E99" s="1210"/>
      <c r="F99" s="689"/>
      <c r="I99" s="276"/>
    </row>
    <row r="100" spans="1:9" s="128" customFormat="1" ht="13.5" customHeight="1" x14ac:dyDescent="0.25">
      <c r="A100" s="268" t="s">
        <v>1029</v>
      </c>
      <c r="B100" s="53"/>
      <c r="C100" s="303"/>
      <c r="D100" s="277"/>
      <c r="E100" s="305"/>
      <c r="F100" s="689"/>
      <c r="I100" s="276"/>
    </row>
    <row r="101" spans="1:9" s="128" customFormat="1" ht="13.5" customHeight="1" x14ac:dyDescent="0.25">
      <c r="A101" s="268" t="s">
        <v>964</v>
      </c>
      <c r="B101" s="53"/>
      <c r="C101" s="303"/>
      <c r="D101" s="277"/>
      <c r="E101" s="305"/>
      <c r="F101" s="689"/>
      <c r="I101" s="276"/>
    </row>
    <row r="102" spans="1:9" s="128" customFormat="1" ht="13.5" customHeight="1" x14ac:dyDescent="0.25">
      <c r="A102" s="268" t="s">
        <v>1040</v>
      </c>
      <c r="B102" s="53"/>
      <c r="C102" s="303"/>
      <c r="D102" s="277"/>
      <c r="E102" s="305"/>
      <c r="F102" s="689"/>
      <c r="I102" s="276"/>
    </row>
    <row r="103" spans="1:9" s="128" customFormat="1" ht="13.5" customHeight="1" thickBot="1" x14ac:dyDescent="0.3">
      <c r="A103" s="268" t="s">
        <v>11</v>
      </c>
      <c r="B103" s="53"/>
      <c r="C103" s="303"/>
      <c r="D103" s="277"/>
      <c r="E103" s="305"/>
      <c r="F103" s="689"/>
      <c r="I103" s="276"/>
    </row>
    <row r="104" spans="1:9" s="128" customFormat="1" ht="13.5" customHeight="1" thickBot="1" x14ac:dyDescent="0.3">
      <c r="A104" s="762" t="s">
        <v>0</v>
      </c>
      <c r="B104" s="763"/>
      <c r="C104" s="764"/>
      <c r="D104" s="765"/>
      <c r="E104" s="766">
        <f>(C106+C119+C133)</f>
        <v>2662790</v>
      </c>
      <c r="F104" s="689"/>
      <c r="I104" s="276"/>
    </row>
    <row r="105" spans="1:9" s="128" customFormat="1" ht="13.5" customHeight="1" thickBot="1" x14ac:dyDescent="0.3">
      <c r="A105" s="273"/>
      <c r="B105" s="273"/>
      <c r="C105" s="314"/>
      <c r="D105" s="314"/>
      <c r="E105" s="314"/>
      <c r="F105" s="689"/>
      <c r="I105" s="276"/>
    </row>
    <row r="106" spans="1:9" s="128" customFormat="1" ht="13.5" customHeight="1" thickBot="1" x14ac:dyDescent="0.3">
      <c r="A106" s="1104" t="s">
        <v>2</v>
      </c>
      <c r="B106" s="1105"/>
      <c r="C106" s="667">
        <f>C107+C109+C111+C113+C115</f>
        <v>167300</v>
      </c>
      <c r="D106" s="314"/>
      <c r="E106" s="314"/>
      <c r="F106" s="689"/>
      <c r="I106" s="276"/>
    </row>
    <row r="107" spans="1:9" s="128" customFormat="1" ht="13.5" customHeight="1" x14ac:dyDescent="0.25">
      <c r="A107" s="11" t="s">
        <v>103</v>
      </c>
      <c r="B107" s="564" t="s">
        <v>104</v>
      </c>
      <c r="C107" s="335">
        <f>SUM(C108)</f>
        <v>18760</v>
      </c>
      <c r="D107" s="314"/>
      <c r="E107" s="314"/>
      <c r="F107" s="689"/>
      <c r="I107" s="276"/>
    </row>
    <row r="108" spans="1:9" s="128" customFormat="1" ht="13.5" customHeight="1" x14ac:dyDescent="0.25">
      <c r="A108" s="12" t="s">
        <v>46</v>
      </c>
      <c r="B108" s="72" t="s">
        <v>45</v>
      </c>
      <c r="C108" s="24">
        <v>18760</v>
      </c>
      <c r="D108" s="314"/>
      <c r="E108" s="314"/>
      <c r="F108" s="689"/>
      <c r="I108" s="276"/>
    </row>
    <row r="109" spans="1:9" s="128" customFormat="1" ht="13.5" customHeight="1" x14ac:dyDescent="0.25">
      <c r="A109" s="11" t="s">
        <v>107</v>
      </c>
      <c r="B109" s="265" t="s">
        <v>108</v>
      </c>
      <c r="C109" s="31">
        <f>SUM(C110)</f>
        <v>71250</v>
      </c>
      <c r="D109" s="314"/>
      <c r="E109" s="314"/>
      <c r="F109" s="689"/>
      <c r="I109" s="276"/>
    </row>
    <row r="110" spans="1:9" s="128" customFormat="1" ht="13.5" customHeight="1" x14ac:dyDescent="0.25">
      <c r="A110" s="12" t="s">
        <v>47</v>
      </c>
      <c r="B110" s="23" t="s">
        <v>48</v>
      </c>
      <c r="C110" s="24">
        <v>71250</v>
      </c>
      <c r="D110" s="314"/>
      <c r="E110" s="314"/>
      <c r="F110" s="689"/>
      <c r="I110" s="276"/>
    </row>
    <row r="111" spans="1:9" s="128" customFormat="1" ht="13.5" customHeight="1" x14ac:dyDescent="0.25">
      <c r="A111" s="265" t="s">
        <v>119</v>
      </c>
      <c r="B111" s="559" t="s">
        <v>191</v>
      </c>
      <c r="C111" s="31">
        <f>SUM(C112:C112)</f>
        <v>28500</v>
      </c>
      <c r="D111" s="314"/>
      <c r="E111" s="314"/>
      <c r="F111" s="689"/>
      <c r="I111" s="276"/>
    </row>
    <row r="112" spans="1:9" s="128" customFormat="1" ht="13.5" customHeight="1" x14ac:dyDescent="0.25">
      <c r="A112" s="12" t="s">
        <v>600</v>
      </c>
      <c r="B112" s="43" t="s">
        <v>613</v>
      </c>
      <c r="C112" s="24">
        <v>28500</v>
      </c>
      <c r="D112" s="314"/>
      <c r="E112" s="314"/>
      <c r="F112" s="689"/>
      <c r="I112" s="276"/>
    </row>
    <row r="113" spans="1:9" s="128" customFormat="1" ht="13.5" customHeight="1" x14ac:dyDescent="0.25">
      <c r="A113" s="265" t="s">
        <v>124</v>
      </c>
      <c r="B113" s="25" t="s">
        <v>123</v>
      </c>
      <c r="C113" s="31">
        <f>SUM(C114)</f>
        <v>10200</v>
      </c>
      <c r="D113" s="314"/>
      <c r="E113" s="314"/>
      <c r="F113" s="689"/>
      <c r="I113" s="276"/>
    </row>
    <row r="114" spans="1:9" s="128" customFormat="1" ht="13.5" customHeight="1" x14ac:dyDescent="0.25">
      <c r="A114" s="72" t="s">
        <v>93</v>
      </c>
      <c r="B114" s="23" t="s">
        <v>72</v>
      </c>
      <c r="C114" s="24">
        <v>10200</v>
      </c>
      <c r="D114" s="314"/>
      <c r="E114" s="314"/>
      <c r="F114" s="689"/>
      <c r="I114" s="276"/>
    </row>
    <row r="115" spans="1:9" s="128" customFormat="1" ht="13.5" customHeight="1" x14ac:dyDescent="0.25">
      <c r="A115" s="265" t="s">
        <v>151</v>
      </c>
      <c r="B115" s="25" t="s">
        <v>133</v>
      </c>
      <c r="C115" s="31">
        <f>SUM(C116:C117)</f>
        <v>38590</v>
      </c>
      <c r="D115" s="314"/>
      <c r="E115" s="314"/>
      <c r="F115" s="689"/>
      <c r="I115" s="276"/>
    </row>
    <row r="116" spans="1:9" s="128" customFormat="1" ht="13.5" customHeight="1" x14ac:dyDescent="0.25">
      <c r="A116" s="72" t="s">
        <v>152</v>
      </c>
      <c r="B116" s="23" t="s">
        <v>65</v>
      </c>
      <c r="C116" s="24">
        <v>8070</v>
      </c>
      <c r="D116" s="314"/>
      <c r="E116" s="314"/>
      <c r="F116" s="689"/>
      <c r="I116" s="276"/>
    </row>
    <row r="117" spans="1:9" s="128" customFormat="1" ht="13.5" customHeight="1" x14ac:dyDescent="0.25">
      <c r="A117" s="72" t="s">
        <v>155</v>
      </c>
      <c r="B117" s="23" t="s">
        <v>133</v>
      </c>
      <c r="C117" s="24">
        <v>30520</v>
      </c>
      <c r="D117" s="314"/>
      <c r="E117" s="314"/>
      <c r="F117" s="689"/>
      <c r="I117" s="276"/>
    </row>
    <row r="118" spans="1:9" s="128" customFormat="1" ht="13.5" customHeight="1" thickBot="1" x14ac:dyDescent="0.3">
      <c r="A118" s="273"/>
      <c r="B118" s="273"/>
      <c r="C118" s="274"/>
      <c r="D118" s="314"/>
      <c r="E118" s="314"/>
      <c r="F118" s="689"/>
      <c r="I118" s="276"/>
    </row>
    <row r="119" spans="1:9" s="128" customFormat="1" ht="13.5" customHeight="1" thickBot="1" x14ac:dyDescent="0.3">
      <c r="A119" s="1096" t="s">
        <v>3</v>
      </c>
      <c r="B119" s="1097"/>
      <c r="C119" s="668">
        <f>+C120+C122+C125+C128</f>
        <v>2417830</v>
      </c>
      <c r="D119" s="314"/>
      <c r="E119" s="314"/>
      <c r="F119" s="689"/>
      <c r="I119" s="276"/>
    </row>
    <row r="120" spans="1:9" s="128" customFormat="1" ht="13.5" customHeight="1" x14ac:dyDescent="0.25">
      <c r="A120" s="11" t="s">
        <v>120</v>
      </c>
      <c r="B120" s="11" t="s">
        <v>121</v>
      </c>
      <c r="C120" s="31">
        <f>SUM(C121)</f>
        <v>170300</v>
      </c>
      <c r="D120" s="314"/>
      <c r="E120" s="314"/>
      <c r="F120" s="689"/>
      <c r="I120" s="276"/>
    </row>
    <row r="121" spans="1:9" s="128" customFormat="1" ht="13.5" customHeight="1" x14ac:dyDescent="0.25">
      <c r="A121" s="12" t="s">
        <v>136</v>
      </c>
      <c r="B121" s="12" t="s">
        <v>71</v>
      </c>
      <c r="C121" s="24">
        <v>170300</v>
      </c>
      <c r="D121" s="940"/>
      <c r="E121" s="314"/>
      <c r="F121" s="689"/>
      <c r="I121" s="276"/>
    </row>
    <row r="122" spans="1:9" s="128" customFormat="1" ht="13.5" customHeight="1" x14ac:dyDescent="0.25">
      <c r="A122" s="11" t="s">
        <v>112</v>
      </c>
      <c r="B122" s="11" t="s">
        <v>157</v>
      </c>
      <c r="C122" s="31">
        <f>SUM(C123:C124)</f>
        <v>2101220</v>
      </c>
      <c r="D122" s="314"/>
      <c r="E122" s="314"/>
      <c r="F122" s="689"/>
      <c r="I122" s="276"/>
    </row>
    <row r="123" spans="1:9" s="128" customFormat="1" ht="13.5" customHeight="1" x14ac:dyDescent="0.25">
      <c r="A123" s="12" t="s">
        <v>138</v>
      </c>
      <c r="B123" s="59" t="s">
        <v>878</v>
      </c>
      <c r="C123" s="24">
        <v>14660</v>
      </c>
      <c r="D123" s="314"/>
      <c r="E123" s="314"/>
      <c r="F123" s="689"/>
      <c r="I123" s="276"/>
    </row>
    <row r="124" spans="1:9" s="128" customFormat="1" ht="13.5" customHeight="1" x14ac:dyDescent="0.25">
      <c r="A124" s="12" t="s">
        <v>49</v>
      </c>
      <c r="B124" s="24" t="s">
        <v>87</v>
      </c>
      <c r="C124" s="24">
        <v>2086560</v>
      </c>
      <c r="D124" s="940"/>
      <c r="E124" s="314"/>
      <c r="F124" s="689"/>
      <c r="I124" s="276"/>
    </row>
    <row r="125" spans="1:9" s="128" customFormat="1" ht="13.5" customHeight="1" x14ac:dyDescent="0.25">
      <c r="A125" s="11" t="s">
        <v>113</v>
      </c>
      <c r="B125" s="31" t="s">
        <v>114</v>
      </c>
      <c r="C125" s="31">
        <f>SUM(C126:C127)</f>
        <v>12310</v>
      </c>
      <c r="D125" s="314"/>
      <c r="E125" s="314"/>
      <c r="F125" s="689"/>
      <c r="I125" s="276"/>
    </row>
    <row r="126" spans="1:9" s="128" customFormat="1" ht="13.5" customHeight="1" x14ac:dyDescent="0.25">
      <c r="A126" s="12" t="s">
        <v>164</v>
      </c>
      <c r="B126" s="12" t="s">
        <v>74</v>
      </c>
      <c r="C126" s="24">
        <v>6000</v>
      </c>
      <c r="D126" s="314"/>
      <c r="E126" s="314"/>
      <c r="F126" s="689"/>
      <c r="I126" s="276"/>
    </row>
    <row r="127" spans="1:9" s="128" customFormat="1" ht="13.5" customHeight="1" x14ac:dyDescent="0.25">
      <c r="A127" s="12" t="s">
        <v>88</v>
      </c>
      <c r="B127" s="24" t="s">
        <v>64</v>
      </c>
      <c r="C127" s="24">
        <v>6310</v>
      </c>
      <c r="D127" s="314"/>
      <c r="E127" s="314"/>
      <c r="F127" s="689"/>
      <c r="I127" s="276"/>
    </row>
    <row r="128" spans="1:9" s="128" customFormat="1" ht="13.5" customHeight="1" x14ac:dyDescent="0.25">
      <c r="A128" s="11" t="s">
        <v>115</v>
      </c>
      <c r="B128" s="31" t="s">
        <v>8</v>
      </c>
      <c r="C128" s="31">
        <f>SUM(C129:C131)</f>
        <v>134000</v>
      </c>
      <c r="D128" s="314"/>
      <c r="E128" s="314"/>
      <c r="F128" s="689"/>
      <c r="I128" s="276"/>
    </row>
    <row r="129" spans="1:9" s="128" customFormat="1" ht="13.5" customHeight="1" x14ac:dyDescent="0.25">
      <c r="A129" s="12" t="s">
        <v>92</v>
      </c>
      <c r="B129" s="24" t="s">
        <v>8</v>
      </c>
      <c r="C129" s="24">
        <v>60000</v>
      </c>
      <c r="D129" s="314"/>
      <c r="E129" s="314"/>
      <c r="F129" s="689"/>
      <c r="I129" s="276"/>
    </row>
    <row r="130" spans="1:9" s="128" customFormat="1" ht="13.5" customHeight="1" x14ac:dyDescent="0.25">
      <c r="A130" s="12" t="s">
        <v>94</v>
      </c>
      <c r="B130" s="24" t="s">
        <v>50</v>
      </c>
      <c r="C130" s="24">
        <v>6500</v>
      </c>
      <c r="D130" s="314"/>
      <c r="E130" s="314"/>
      <c r="F130" s="689"/>
      <c r="I130" s="276"/>
    </row>
    <row r="131" spans="1:9" s="128" customFormat="1" ht="13.5" customHeight="1" x14ac:dyDescent="0.25">
      <c r="A131" s="12" t="s">
        <v>90</v>
      </c>
      <c r="B131" s="24" t="s">
        <v>7</v>
      </c>
      <c r="C131" s="24">
        <v>67500</v>
      </c>
      <c r="D131" s="314"/>
      <c r="E131" s="314"/>
      <c r="F131" s="689"/>
      <c r="I131" s="276"/>
    </row>
    <row r="132" spans="1:9" s="128" customFormat="1" ht="13.5" customHeight="1" thickBot="1" x14ac:dyDescent="0.3">
      <c r="A132" s="12"/>
      <c r="B132" s="24"/>
      <c r="C132" s="24"/>
      <c r="D132" s="314"/>
      <c r="E132" s="314"/>
      <c r="F132" s="689"/>
      <c r="I132" s="276"/>
    </row>
    <row r="133" spans="1:9" s="128" customFormat="1" ht="13.5" customHeight="1" thickBot="1" x14ac:dyDescent="0.3">
      <c r="A133" s="1100" t="s">
        <v>4</v>
      </c>
      <c r="B133" s="1101"/>
      <c r="C133" s="670">
        <f>C134+C137</f>
        <v>77660</v>
      </c>
      <c r="D133" s="314"/>
      <c r="E133" s="314"/>
      <c r="F133" s="689"/>
      <c r="I133" s="276"/>
    </row>
    <row r="134" spans="1:9" s="128" customFormat="1" ht="13.5" customHeight="1" x14ac:dyDescent="0.25">
      <c r="A134" s="265" t="s">
        <v>116</v>
      </c>
      <c r="B134" s="564" t="s">
        <v>117</v>
      </c>
      <c r="C134" s="335">
        <f>SUM(C135:C136)</f>
        <v>62900</v>
      </c>
      <c r="D134" s="314"/>
      <c r="E134" s="314"/>
      <c r="F134" s="689"/>
      <c r="I134" s="276"/>
    </row>
    <row r="135" spans="1:9" s="128" customFormat="1" ht="13.5" customHeight="1" x14ac:dyDescent="0.25">
      <c r="A135" s="72" t="s">
        <v>91</v>
      </c>
      <c r="B135" s="72" t="s">
        <v>139</v>
      </c>
      <c r="C135" s="24">
        <v>42400</v>
      </c>
      <c r="D135" s="314"/>
      <c r="E135" s="314"/>
      <c r="F135" s="689"/>
      <c r="I135" s="276"/>
    </row>
    <row r="136" spans="1:9" s="128" customFormat="1" ht="13.5" customHeight="1" x14ac:dyDescent="0.25">
      <c r="A136" s="72" t="s">
        <v>162</v>
      </c>
      <c r="B136" s="43" t="s">
        <v>163</v>
      </c>
      <c r="C136" s="24">
        <v>20500</v>
      </c>
      <c r="D136" s="314"/>
      <c r="E136" s="314"/>
      <c r="F136" s="689"/>
      <c r="I136" s="276"/>
    </row>
    <row r="137" spans="1:9" s="128" customFormat="1" ht="13.5" customHeight="1" x14ac:dyDescent="0.25">
      <c r="A137" s="265" t="s">
        <v>166</v>
      </c>
      <c r="B137" s="25" t="s">
        <v>134</v>
      </c>
      <c r="C137" s="31">
        <f>SUM(C138)</f>
        <v>14760</v>
      </c>
      <c r="D137" s="314"/>
      <c r="E137" s="314"/>
      <c r="F137" s="689"/>
      <c r="I137" s="276"/>
    </row>
    <row r="138" spans="1:9" s="128" customFormat="1" ht="13.5" customHeight="1" x14ac:dyDescent="0.25">
      <c r="A138" s="72" t="s">
        <v>167</v>
      </c>
      <c r="B138" s="23" t="s">
        <v>51</v>
      </c>
      <c r="C138" s="24">
        <v>14760</v>
      </c>
      <c r="D138" s="314"/>
      <c r="E138" s="314"/>
      <c r="F138" s="689"/>
      <c r="I138" s="276"/>
    </row>
    <row r="139" spans="1:9" s="128" customFormat="1" ht="13.5" customHeight="1" x14ac:dyDescent="0.25">
      <c r="A139" s="273"/>
      <c r="B139" s="273"/>
      <c r="C139" s="314"/>
      <c r="D139" s="314"/>
      <c r="E139" s="314"/>
      <c r="F139" s="689"/>
      <c r="I139" s="276"/>
    </row>
    <row r="140" spans="1:9" s="128" customFormat="1" ht="13.5" customHeight="1" thickBot="1" x14ac:dyDescent="0.3">
      <c r="A140" s="273"/>
      <c r="B140" s="273"/>
      <c r="C140" s="314"/>
      <c r="D140" s="314"/>
      <c r="E140" s="314"/>
      <c r="F140" s="689"/>
      <c r="I140" s="276"/>
    </row>
    <row r="141" spans="1:9" s="128" customFormat="1" ht="13.5" customHeight="1" x14ac:dyDescent="0.3">
      <c r="A141" s="1117" t="s">
        <v>965</v>
      </c>
      <c r="B141" s="1118"/>
      <c r="C141" s="1119"/>
      <c r="D141" s="691" t="s">
        <v>6</v>
      </c>
      <c r="E141" s="954">
        <v>1303</v>
      </c>
      <c r="F141" s="689"/>
      <c r="I141" s="276"/>
    </row>
    <row r="142" spans="1:9" s="128" customFormat="1" ht="13.5" customHeight="1" thickBot="1" x14ac:dyDescent="0.3">
      <c r="A142" s="1120"/>
      <c r="B142" s="1121"/>
      <c r="C142" s="1122"/>
      <c r="D142" s="694"/>
      <c r="E142" s="761"/>
      <c r="F142" s="689"/>
      <c r="I142" s="276"/>
    </row>
    <row r="143" spans="1:9" s="128" customFormat="1" ht="13.5" customHeight="1" x14ac:dyDescent="0.25">
      <c r="A143" s="1196" t="s">
        <v>966</v>
      </c>
      <c r="B143" s="1197"/>
      <c r="C143" s="1197"/>
      <c r="D143" s="1197"/>
      <c r="E143" s="1198"/>
      <c r="F143" s="689"/>
      <c r="I143" s="276"/>
    </row>
    <row r="144" spans="1:9" s="128" customFormat="1" ht="13.5" customHeight="1" thickBot="1" x14ac:dyDescent="0.3">
      <c r="A144" s="1199"/>
      <c r="B144" s="1200"/>
      <c r="C144" s="1200"/>
      <c r="D144" s="1200"/>
      <c r="E144" s="1201"/>
      <c r="F144" s="689"/>
      <c r="I144" s="276"/>
    </row>
    <row r="145" spans="1:9" s="128" customFormat="1" ht="13.5" customHeight="1" x14ac:dyDescent="0.25">
      <c r="A145" s="268" t="s">
        <v>1029</v>
      </c>
      <c r="B145" s="53"/>
      <c r="C145" s="303"/>
      <c r="D145" s="277"/>
      <c r="E145" s="305"/>
      <c r="F145" s="689"/>
      <c r="I145" s="276"/>
    </row>
    <row r="146" spans="1:9" s="128" customFormat="1" ht="13.5" customHeight="1" x14ac:dyDescent="0.25">
      <c r="A146" s="268" t="s">
        <v>967</v>
      </c>
      <c r="B146" s="53"/>
      <c r="C146" s="303"/>
      <c r="D146" s="277"/>
      <c r="E146" s="305"/>
      <c r="F146" s="689"/>
      <c r="I146" s="276"/>
    </row>
    <row r="147" spans="1:9" s="128" customFormat="1" ht="13.5" customHeight="1" x14ac:dyDescent="0.25">
      <c r="A147" s="268" t="s">
        <v>1040</v>
      </c>
      <c r="B147" s="53"/>
      <c r="C147" s="303"/>
      <c r="D147" s="277"/>
      <c r="E147" s="305"/>
      <c r="F147" s="689"/>
      <c r="I147" s="276"/>
    </row>
    <row r="148" spans="1:9" s="128" customFormat="1" ht="13.5" customHeight="1" thickBot="1" x14ac:dyDescent="0.3">
      <c r="A148" s="268" t="s">
        <v>11</v>
      </c>
      <c r="B148" s="53"/>
      <c r="C148" s="303"/>
      <c r="D148" s="277"/>
      <c r="E148" s="305"/>
      <c r="F148" s="689"/>
      <c r="I148" s="276"/>
    </row>
    <row r="149" spans="1:9" s="128" customFormat="1" ht="13.5" customHeight="1" thickBot="1" x14ac:dyDescent="0.3">
      <c r="A149" s="762" t="s">
        <v>0</v>
      </c>
      <c r="B149" s="763"/>
      <c r="C149" s="764"/>
      <c r="D149" s="765"/>
      <c r="E149" s="766">
        <f>(C151+C164+C178)</f>
        <v>1452430</v>
      </c>
      <c r="F149" s="689"/>
      <c r="I149" s="276"/>
    </row>
    <row r="150" spans="1:9" s="128" customFormat="1" ht="13.5" customHeight="1" thickBot="1" x14ac:dyDescent="0.3">
      <c r="A150" s="273"/>
      <c r="B150" s="273"/>
      <c r="C150" s="314"/>
      <c r="D150" s="314"/>
      <c r="E150" s="314"/>
      <c r="F150" s="689"/>
      <c r="I150" s="276"/>
    </row>
    <row r="151" spans="1:9" s="128" customFormat="1" ht="13.5" customHeight="1" thickBot="1" x14ac:dyDescent="0.3">
      <c r="A151" s="1104" t="s">
        <v>2</v>
      </c>
      <c r="B151" s="1105"/>
      <c r="C151" s="667">
        <f>C152+C154+C156+C158+C160</f>
        <v>82750</v>
      </c>
      <c r="D151" s="314"/>
      <c r="E151" s="314"/>
      <c r="F151" s="689"/>
      <c r="I151" s="276"/>
    </row>
    <row r="152" spans="1:9" s="128" customFormat="1" ht="13.5" customHeight="1" x14ac:dyDescent="0.25">
      <c r="A152" s="11" t="s">
        <v>103</v>
      </c>
      <c r="B152" s="564" t="s">
        <v>104</v>
      </c>
      <c r="C152" s="335">
        <f>SUM(C153)</f>
        <v>8900</v>
      </c>
      <c r="D152" s="314"/>
      <c r="E152" s="314"/>
      <c r="F152" s="689"/>
      <c r="I152" s="276"/>
    </row>
    <row r="153" spans="1:9" s="128" customFormat="1" ht="13.5" customHeight="1" x14ac:dyDescent="0.25">
      <c r="A153" s="12" t="s">
        <v>46</v>
      </c>
      <c r="B153" s="72" t="s">
        <v>45</v>
      </c>
      <c r="C153" s="24">
        <v>8900</v>
      </c>
      <c r="D153" s="314"/>
      <c r="E153" s="314"/>
      <c r="F153" s="689"/>
      <c r="I153" s="276"/>
    </row>
    <row r="154" spans="1:9" s="128" customFormat="1" ht="13.5" customHeight="1" x14ac:dyDescent="0.25">
      <c r="A154" s="11" t="s">
        <v>107</v>
      </c>
      <c r="B154" s="265" t="s">
        <v>108</v>
      </c>
      <c r="C154" s="31">
        <f>SUM(C155)</f>
        <v>32550</v>
      </c>
      <c r="D154" s="314"/>
      <c r="E154" s="314"/>
      <c r="F154" s="689"/>
      <c r="I154" s="276"/>
    </row>
    <row r="155" spans="1:9" s="128" customFormat="1" ht="13.5" customHeight="1" x14ac:dyDescent="0.25">
      <c r="A155" s="12" t="s">
        <v>47</v>
      </c>
      <c r="B155" s="23" t="s">
        <v>48</v>
      </c>
      <c r="C155" s="24">
        <v>32550</v>
      </c>
      <c r="D155" s="314"/>
      <c r="E155" s="314"/>
      <c r="F155" s="689"/>
      <c r="I155" s="276"/>
    </row>
    <row r="156" spans="1:9" s="128" customFormat="1" ht="13.5" customHeight="1" x14ac:dyDescent="0.25">
      <c r="A156" s="265" t="s">
        <v>119</v>
      </c>
      <c r="B156" s="559" t="s">
        <v>191</v>
      </c>
      <c r="C156" s="31">
        <f>SUM(C157:C157)</f>
        <v>13580</v>
      </c>
      <c r="D156" s="314"/>
      <c r="E156" s="314"/>
      <c r="F156" s="689"/>
      <c r="I156" s="276"/>
    </row>
    <row r="157" spans="1:9" s="128" customFormat="1" ht="13.5" customHeight="1" x14ac:dyDescent="0.25">
      <c r="A157" s="12" t="s">
        <v>600</v>
      </c>
      <c r="B157" s="43" t="s">
        <v>613</v>
      </c>
      <c r="C157" s="24">
        <v>13580</v>
      </c>
      <c r="D157" s="314"/>
      <c r="E157" s="314"/>
      <c r="F157" s="689"/>
      <c r="I157" s="276"/>
    </row>
    <row r="158" spans="1:9" s="128" customFormat="1" ht="13.5" customHeight="1" x14ac:dyDescent="0.25">
      <c r="A158" s="265" t="s">
        <v>124</v>
      </c>
      <c r="B158" s="25" t="s">
        <v>123</v>
      </c>
      <c r="C158" s="31">
        <f>SUM(C159)</f>
        <v>8950</v>
      </c>
      <c r="D158" s="314"/>
      <c r="E158" s="314"/>
      <c r="F158" s="689"/>
      <c r="I158" s="276"/>
    </row>
    <row r="159" spans="1:9" s="128" customFormat="1" ht="13.5" customHeight="1" x14ac:dyDescent="0.25">
      <c r="A159" s="72" t="s">
        <v>93</v>
      </c>
      <c r="B159" s="23" t="s">
        <v>72</v>
      </c>
      <c r="C159" s="24">
        <v>8950</v>
      </c>
      <c r="D159" s="314"/>
      <c r="E159" s="314"/>
      <c r="F159" s="689"/>
      <c r="I159" s="276"/>
    </row>
    <row r="160" spans="1:9" s="128" customFormat="1" ht="13.5" customHeight="1" x14ac:dyDescent="0.25">
      <c r="A160" s="265" t="s">
        <v>151</v>
      </c>
      <c r="B160" s="25" t="s">
        <v>133</v>
      </c>
      <c r="C160" s="31">
        <f>SUM(C161:C162)</f>
        <v>18770</v>
      </c>
      <c r="D160" s="314"/>
      <c r="E160" s="314"/>
      <c r="F160" s="689"/>
      <c r="I160" s="276"/>
    </row>
    <row r="161" spans="1:9" s="128" customFormat="1" ht="13.5" customHeight="1" x14ac:dyDescent="0.25">
      <c r="A161" s="72" t="s">
        <v>152</v>
      </c>
      <c r="B161" s="23" t="s">
        <v>65</v>
      </c>
      <c r="C161" s="24">
        <v>4120</v>
      </c>
      <c r="D161" s="314"/>
      <c r="E161" s="314"/>
      <c r="F161" s="689"/>
      <c r="I161" s="276"/>
    </row>
    <row r="162" spans="1:9" s="128" customFormat="1" ht="13.5" customHeight="1" x14ac:dyDescent="0.25">
      <c r="A162" s="72" t="s">
        <v>155</v>
      </c>
      <c r="B162" s="23" t="s">
        <v>133</v>
      </c>
      <c r="C162" s="24">
        <v>14650</v>
      </c>
      <c r="D162" s="314"/>
      <c r="E162" s="314"/>
      <c r="F162" s="689"/>
      <c r="I162" s="276"/>
    </row>
    <row r="163" spans="1:9" s="128" customFormat="1" ht="13.5" customHeight="1" thickBot="1" x14ac:dyDescent="0.3">
      <c r="A163" s="273"/>
      <c r="B163" s="273"/>
      <c r="C163" s="274"/>
      <c r="D163" s="314"/>
      <c r="E163" s="314"/>
      <c r="F163" s="689"/>
      <c r="I163" s="276"/>
    </row>
    <row r="164" spans="1:9" s="128" customFormat="1" ht="13.5" customHeight="1" thickBot="1" x14ac:dyDescent="0.3">
      <c r="A164" s="1096" t="s">
        <v>3</v>
      </c>
      <c r="B164" s="1097"/>
      <c r="C164" s="668">
        <f>+C165+C167+C170+C173</f>
        <v>1316630</v>
      </c>
      <c r="D164" s="314"/>
      <c r="E164" s="314"/>
      <c r="F164" s="689"/>
      <c r="I164" s="276"/>
    </row>
    <row r="165" spans="1:9" s="128" customFormat="1" ht="13.5" customHeight="1" x14ac:dyDescent="0.25">
      <c r="A165" s="11" t="s">
        <v>120</v>
      </c>
      <c r="B165" s="11" t="s">
        <v>121</v>
      </c>
      <c r="C165" s="31">
        <f>SUM(C166)</f>
        <v>12500</v>
      </c>
      <c r="D165" s="314"/>
      <c r="E165" s="314"/>
      <c r="F165" s="689"/>
      <c r="I165" s="276"/>
    </row>
    <row r="166" spans="1:9" s="128" customFormat="1" ht="13.5" customHeight="1" x14ac:dyDescent="0.25">
      <c r="A166" s="12" t="s">
        <v>136</v>
      </c>
      <c r="B166" s="12" t="s">
        <v>71</v>
      </c>
      <c r="C166" s="24">
        <v>12500</v>
      </c>
      <c r="D166" s="314"/>
      <c r="E166" s="314"/>
      <c r="F166" s="689"/>
      <c r="I166" s="276"/>
    </row>
    <row r="167" spans="1:9" s="128" customFormat="1" ht="13.5" customHeight="1" x14ac:dyDescent="0.25">
      <c r="A167" s="11" t="s">
        <v>112</v>
      </c>
      <c r="B167" s="11" t="s">
        <v>157</v>
      </c>
      <c r="C167" s="31">
        <f>SUM(C168:C169)</f>
        <v>784430</v>
      </c>
      <c r="D167" s="314"/>
      <c r="E167" s="314"/>
      <c r="F167" s="689"/>
      <c r="I167" s="276"/>
    </row>
    <row r="168" spans="1:9" s="128" customFormat="1" ht="13.5" customHeight="1" x14ac:dyDescent="0.25">
      <c r="A168" s="12" t="s">
        <v>138</v>
      </c>
      <c r="B168" s="59" t="s">
        <v>878</v>
      </c>
      <c r="C168" s="24">
        <v>8780</v>
      </c>
      <c r="D168" s="314"/>
      <c r="E168" s="314"/>
      <c r="F168" s="689"/>
      <c r="I168" s="276"/>
    </row>
    <row r="169" spans="1:9" s="128" customFormat="1" ht="13.5" customHeight="1" x14ac:dyDescent="0.25">
      <c r="A169" s="12" t="s">
        <v>49</v>
      </c>
      <c r="B169" s="24" t="s">
        <v>87</v>
      </c>
      <c r="C169" s="24">
        <v>775650</v>
      </c>
      <c r="D169" s="314"/>
      <c r="E169" s="314"/>
      <c r="F169" s="689"/>
      <c r="I169" s="276"/>
    </row>
    <row r="170" spans="1:9" s="128" customFormat="1" ht="13.5" customHeight="1" x14ac:dyDescent="0.25">
      <c r="A170" s="11" t="s">
        <v>113</v>
      </c>
      <c r="B170" s="31" t="s">
        <v>114</v>
      </c>
      <c r="C170" s="31">
        <f>SUM(C171:C172)</f>
        <v>31700</v>
      </c>
      <c r="D170" s="314"/>
      <c r="E170" s="314"/>
      <c r="F170" s="689"/>
      <c r="I170" s="276"/>
    </row>
    <row r="171" spans="1:9" s="128" customFormat="1" ht="13.5" customHeight="1" x14ac:dyDescent="0.25">
      <c r="A171" s="12" t="s">
        <v>164</v>
      </c>
      <c r="B171" s="12" t="s">
        <v>74</v>
      </c>
      <c r="C171" s="24">
        <v>7500</v>
      </c>
      <c r="D171" s="314"/>
      <c r="E171" s="314"/>
      <c r="F171" s="689"/>
      <c r="I171" s="276"/>
    </row>
    <row r="172" spans="1:9" s="128" customFormat="1" ht="13.5" customHeight="1" x14ac:dyDescent="0.25">
      <c r="A172" s="12" t="s">
        <v>88</v>
      </c>
      <c r="B172" s="24" t="s">
        <v>64</v>
      </c>
      <c r="C172" s="24">
        <v>24200</v>
      </c>
      <c r="D172" s="314"/>
      <c r="E172" s="314"/>
      <c r="F172" s="689"/>
      <c r="I172" s="276"/>
    </row>
    <row r="173" spans="1:9" s="128" customFormat="1" ht="13.5" customHeight="1" x14ac:dyDescent="0.25">
      <c r="A173" s="11" t="s">
        <v>115</v>
      </c>
      <c r="B173" s="31" t="s">
        <v>8</v>
      </c>
      <c r="C173" s="31">
        <f>SUM(C174:C176)</f>
        <v>488000</v>
      </c>
      <c r="D173" s="314"/>
      <c r="E173" s="314"/>
      <c r="F173" s="689"/>
      <c r="I173" s="276"/>
    </row>
    <row r="174" spans="1:9" s="128" customFormat="1" ht="13.5" customHeight="1" x14ac:dyDescent="0.25">
      <c r="A174" s="12" t="s">
        <v>92</v>
      </c>
      <c r="B174" s="24" t="s">
        <v>8</v>
      </c>
      <c r="C174" s="24">
        <v>465000</v>
      </c>
      <c r="D174" s="314"/>
      <c r="E174" s="314"/>
      <c r="F174" s="689"/>
      <c r="I174" s="276"/>
    </row>
    <row r="175" spans="1:9" s="128" customFormat="1" ht="13.5" customHeight="1" x14ac:dyDescent="0.25">
      <c r="A175" s="12" t="s">
        <v>94</v>
      </c>
      <c r="B175" s="24" t="s">
        <v>50</v>
      </c>
      <c r="C175" s="24">
        <v>4650</v>
      </c>
      <c r="D175" s="314"/>
      <c r="E175" s="314"/>
      <c r="F175" s="689"/>
      <c r="I175" s="276"/>
    </row>
    <row r="176" spans="1:9" s="128" customFormat="1" ht="13.5" customHeight="1" x14ac:dyDescent="0.25">
      <c r="A176" s="12" t="s">
        <v>90</v>
      </c>
      <c r="B176" s="24" t="s">
        <v>7</v>
      </c>
      <c r="C176" s="24">
        <v>18350</v>
      </c>
      <c r="D176" s="314"/>
      <c r="E176" s="314"/>
      <c r="F176" s="689"/>
      <c r="I176" s="276"/>
    </row>
    <row r="177" spans="1:9" s="128" customFormat="1" ht="13.5" customHeight="1" thickBot="1" x14ac:dyDescent="0.3">
      <c r="A177" s="12"/>
      <c r="B177" s="24"/>
      <c r="C177" s="24"/>
      <c r="D177" s="314"/>
      <c r="E177" s="314"/>
      <c r="F177" s="689"/>
      <c r="I177" s="276"/>
    </row>
    <row r="178" spans="1:9" s="128" customFormat="1" ht="13.5" customHeight="1" thickBot="1" x14ac:dyDescent="0.3">
      <c r="A178" s="1100" t="s">
        <v>4</v>
      </c>
      <c r="B178" s="1101"/>
      <c r="C178" s="670">
        <f>C179+C182</f>
        <v>53050</v>
      </c>
      <c r="D178" s="314"/>
      <c r="E178" s="314"/>
      <c r="F178" s="689"/>
      <c r="I178" s="276"/>
    </row>
    <row r="179" spans="1:9" s="128" customFormat="1" ht="13.5" customHeight="1" x14ac:dyDescent="0.25">
      <c r="A179" s="265" t="s">
        <v>116</v>
      </c>
      <c r="B179" s="564" t="s">
        <v>117</v>
      </c>
      <c r="C179" s="335">
        <f>SUM(C180:C181)</f>
        <v>46250</v>
      </c>
      <c r="D179" s="314"/>
      <c r="E179" s="314"/>
      <c r="F179" s="689"/>
      <c r="I179" s="276"/>
    </row>
    <row r="180" spans="1:9" s="128" customFormat="1" ht="13.5" customHeight="1" x14ac:dyDescent="0.25">
      <c r="A180" s="72" t="s">
        <v>91</v>
      </c>
      <c r="B180" s="72" t="s">
        <v>139</v>
      </c>
      <c r="C180" s="24">
        <v>29500</v>
      </c>
      <c r="D180" s="314"/>
      <c r="E180" s="314"/>
      <c r="F180" s="689"/>
      <c r="I180" s="276"/>
    </row>
    <row r="181" spans="1:9" s="128" customFormat="1" ht="13.5" customHeight="1" x14ac:dyDescent="0.25">
      <c r="A181" s="72" t="s">
        <v>162</v>
      </c>
      <c r="B181" s="43" t="s">
        <v>163</v>
      </c>
      <c r="C181" s="24">
        <v>16750</v>
      </c>
      <c r="D181" s="314"/>
      <c r="E181" s="314"/>
      <c r="F181" s="689"/>
      <c r="I181" s="276"/>
    </row>
    <row r="182" spans="1:9" s="128" customFormat="1" ht="13.5" customHeight="1" x14ac:dyDescent="0.25">
      <c r="A182" s="265" t="s">
        <v>166</v>
      </c>
      <c r="B182" s="25" t="s">
        <v>134</v>
      </c>
      <c r="C182" s="31">
        <f>SUM(C183)</f>
        <v>6800</v>
      </c>
      <c r="D182" s="314"/>
      <c r="E182" s="314"/>
      <c r="F182" s="689"/>
      <c r="I182" s="276"/>
    </row>
    <row r="183" spans="1:9" s="128" customFormat="1" ht="13.5" customHeight="1" x14ac:dyDescent="0.25">
      <c r="A183" s="72" t="s">
        <v>167</v>
      </c>
      <c r="B183" s="23" t="s">
        <v>51</v>
      </c>
      <c r="C183" s="24">
        <v>6800</v>
      </c>
      <c r="D183" s="314"/>
      <c r="E183" s="314"/>
      <c r="F183" s="689"/>
      <c r="I183" s="276"/>
    </row>
    <row r="184" spans="1:9" s="128" customFormat="1" ht="13.5" customHeight="1" x14ac:dyDescent="0.25">
      <c r="A184" s="273"/>
      <c r="B184" s="273"/>
      <c r="C184" s="314"/>
      <c r="D184" s="314"/>
      <c r="E184" s="314"/>
      <c r="F184" s="689"/>
      <c r="I184" s="276"/>
    </row>
    <row r="185" spans="1:9" s="128" customFormat="1" ht="13.5" customHeight="1" thickBot="1" x14ac:dyDescent="0.3">
      <c r="A185" s="72"/>
      <c r="B185" s="72"/>
      <c r="C185" s="23"/>
      <c r="D185" s="23"/>
      <c r="E185" s="23"/>
      <c r="F185" s="689"/>
      <c r="I185" s="276"/>
    </row>
    <row r="186" spans="1:9" s="128" customFormat="1" ht="13.5" customHeight="1" x14ac:dyDescent="0.25">
      <c r="A186" s="1117" t="s">
        <v>968</v>
      </c>
      <c r="B186" s="1118"/>
      <c r="C186" s="1119"/>
      <c r="D186" s="691" t="s">
        <v>6</v>
      </c>
      <c r="E186" s="911">
        <v>1304</v>
      </c>
      <c r="F186" s="689"/>
      <c r="I186" s="276"/>
    </row>
    <row r="187" spans="1:9" s="128" customFormat="1" ht="13.5" customHeight="1" thickBot="1" x14ac:dyDescent="0.3">
      <c r="A187" s="1120"/>
      <c r="B187" s="1121"/>
      <c r="C187" s="1122"/>
      <c r="D187" s="694"/>
      <c r="E187" s="956"/>
      <c r="F187" s="689"/>
      <c r="I187" s="276"/>
    </row>
    <row r="188" spans="1:9" s="128" customFormat="1" ht="13.5" customHeight="1" x14ac:dyDescent="0.25">
      <c r="A188" s="1165" t="s">
        <v>969</v>
      </c>
      <c r="B188" s="1166"/>
      <c r="C188" s="1166"/>
      <c r="D188" s="1166"/>
      <c r="E188" s="1167"/>
      <c r="F188" s="941"/>
      <c r="I188" s="276"/>
    </row>
    <row r="189" spans="1:9" s="128" customFormat="1" ht="13.5" customHeight="1" x14ac:dyDescent="0.25">
      <c r="A189" s="1168"/>
      <c r="B189" s="1169"/>
      <c r="C189" s="1169"/>
      <c r="D189" s="1169"/>
      <c r="E189" s="1170"/>
      <c r="F189" s="689"/>
      <c r="I189" s="276"/>
    </row>
    <row r="190" spans="1:9" s="128" customFormat="1" ht="13.5" customHeight="1" thickBot="1" x14ac:dyDescent="0.3">
      <c r="A190" s="1171"/>
      <c r="B190" s="1172"/>
      <c r="C190" s="1172"/>
      <c r="D190" s="1172"/>
      <c r="E190" s="1173"/>
      <c r="F190" s="689"/>
      <c r="I190" s="276"/>
    </row>
    <row r="191" spans="1:9" s="128" customFormat="1" ht="13.5" customHeight="1" x14ac:dyDescent="0.25">
      <c r="A191" s="268" t="s">
        <v>1029</v>
      </c>
      <c r="B191" s="53"/>
      <c r="C191" s="303"/>
      <c r="D191" s="277"/>
      <c r="E191" s="305"/>
      <c r="F191" s="689"/>
      <c r="I191" s="276"/>
    </row>
    <row r="192" spans="1:9" s="128" customFormat="1" ht="13.5" customHeight="1" x14ac:dyDescent="0.25">
      <c r="A192" s="268" t="s">
        <v>970</v>
      </c>
      <c r="B192" s="53"/>
      <c r="C192" s="303"/>
      <c r="D192" s="277"/>
      <c r="E192" s="305"/>
      <c r="F192" s="689"/>
      <c r="I192" s="276"/>
    </row>
    <row r="193" spans="1:9" s="128" customFormat="1" ht="13.5" customHeight="1" x14ac:dyDescent="0.25">
      <c r="A193" s="268" t="s">
        <v>1040</v>
      </c>
      <c r="B193" s="53"/>
      <c r="C193" s="303"/>
      <c r="D193" s="277"/>
      <c r="E193" s="305"/>
      <c r="F193" s="689"/>
      <c r="I193" s="276"/>
    </row>
    <row r="194" spans="1:9" s="128" customFormat="1" ht="13.5" customHeight="1" thickBot="1" x14ac:dyDescent="0.3">
      <c r="A194" s="268" t="s">
        <v>11</v>
      </c>
      <c r="B194" s="53"/>
      <c r="C194" s="303"/>
      <c r="D194" s="277"/>
      <c r="E194" s="305"/>
      <c r="F194" s="689"/>
      <c r="I194" s="276"/>
    </row>
    <row r="195" spans="1:9" s="128" customFormat="1" ht="13.5" customHeight="1" thickBot="1" x14ac:dyDescent="0.3">
      <c r="A195" s="762" t="s">
        <v>0</v>
      </c>
      <c r="B195" s="763"/>
      <c r="C195" s="764"/>
      <c r="D195" s="765"/>
      <c r="E195" s="766">
        <f>(C197+C210+C223)</f>
        <v>4279770</v>
      </c>
      <c r="F195" s="689"/>
      <c r="I195" s="276"/>
    </row>
    <row r="196" spans="1:9" s="128" customFormat="1" ht="13.5" customHeight="1" thickBot="1" x14ac:dyDescent="0.3">
      <c r="A196" s="336"/>
      <c r="B196" s="336"/>
      <c r="C196" s="300"/>
      <c r="D196" s="302"/>
      <c r="E196" s="300"/>
      <c r="F196" s="689"/>
      <c r="I196" s="276"/>
    </row>
    <row r="197" spans="1:9" s="128" customFormat="1" ht="13.5" customHeight="1" thickBot="1" x14ac:dyDescent="0.3">
      <c r="A197" s="1104" t="s">
        <v>2</v>
      </c>
      <c r="B197" s="1105"/>
      <c r="C197" s="667">
        <f>(C198+C200+C204+C206+C202)</f>
        <v>200290</v>
      </c>
      <c r="D197" s="302"/>
      <c r="E197" s="300"/>
      <c r="F197" s="689"/>
      <c r="I197" s="276"/>
    </row>
    <row r="198" spans="1:9" s="128" customFormat="1" ht="13.5" customHeight="1" x14ac:dyDescent="0.25">
      <c r="A198" s="11" t="s">
        <v>103</v>
      </c>
      <c r="B198" s="564" t="s">
        <v>104</v>
      </c>
      <c r="C198" s="32">
        <f>SUM(C199:C199)</f>
        <v>28150</v>
      </c>
      <c r="D198" s="302"/>
      <c r="E198" s="300"/>
      <c r="F198" s="689"/>
      <c r="I198" s="276"/>
    </row>
    <row r="199" spans="1:9" s="128" customFormat="1" ht="13.5" customHeight="1" x14ac:dyDescent="0.25">
      <c r="A199" s="12" t="s">
        <v>46</v>
      </c>
      <c r="B199" s="72" t="s">
        <v>45</v>
      </c>
      <c r="C199" s="22">
        <v>28150</v>
      </c>
      <c r="D199" s="302"/>
      <c r="E199" s="300"/>
      <c r="F199" s="689"/>
      <c r="I199" s="276"/>
    </row>
    <row r="200" spans="1:9" s="128" customFormat="1" ht="13.5" customHeight="1" x14ac:dyDescent="0.25">
      <c r="A200" s="11" t="s">
        <v>107</v>
      </c>
      <c r="B200" s="265" t="s">
        <v>108</v>
      </c>
      <c r="C200" s="31">
        <f>SUM(C201)</f>
        <v>71250</v>
      </c>
      <c r="D200" s="302"/>
      <c r="E200" s="300"/>
      <c r="F200" s="689"/>
      <c r="I200" s="276"/>
    </row>
    <row r="201" spans="1:9" s="128" customFormat="1" ht="13.5" customHeight="1" x14ac:dyDescent="0.25">
      <c r="A201" s="12" t="s">
        <v>47</v>
      </c>
      <c r="B201" s="24" t="s">
        <v>48</v>
      </c>
      <c r="C201" s="24">
        <v>71250</v>
      </c>
      <c r="D201" s="302"/>
      <c r="E201" s="300"/>
      <c r="F201" s="689"/>
      <c r="I201" s="276"/>
    </row>
    <row r="202" spans="1:9" s="128" customFormat="1" ht="13.5" customHeight="1" x14ac:dyDescent="0.25">
      <c r="A202" s="265" t="s">
        <v>119</v>
      </c>
      <c r="B202" s="559" t="s">
        <v>191</v>
      </c>
      <c r="C202" s="31">
        <f>SUM(C203:C203)</f>
        <v>20280</v>
      </c>
      <c r="D202" s="314"/>
      <c r="E202" s="314"/>
      <c r="F202" s="689"/>
      <c r="I202" s="276"/>
    </row>
    <row r="203" spans="1:9" s="128" customFormat="1" ht="13.5" customHeight="1" x14ac:dyDescent="0.25">
      <c r="A203" s="12" t="s">
        <v>732</v>
      </c>
      <c r="B203" s="24" t="s">
        <v>971</v>
      </c>
      <c r="C203" s="24">
        <v>20280</v>
      </c>
      <c r="D203" s="302"/>
      <c r="E203" s="300"/>
      <c r="F203" s="689"/>
      <c r="I203" s="276"/>
    </row>
    <row r="204" spans="1:9" s="128" customFormat="1" ht="13.5" customHeight="1" x14ac:dyDescent="0.25">
      <c r="A204" s="265" t="s">
        <v>124</v>
      </c>
      <c r="B204" s="25" t="s">
        <v>123</v>
      </c>
      <c r="C204" s="31">
        <f>SUM(C205:C205)</f>
        <v>20880</v>
      </c>
      <c r="D204" s="302"/>
      <c r="E204" s="300"/>
      <c r="F204" s="689"/>
      <c r="I204" s="276"/>
    </row>
    <row r="205" spans="1:9" s="128" customFormat="1" ht="13.5" customHeight="1" x14ac:dyDescent="0.25">
      <c r="A205" s="72" t="s">
        <v>93</v>
      </c>
      <c r="B205" s="23" t="s">
        <v>72</v>
      </c>
      <c r="C205" s="24">
        <v>20880</v>
      </c>
      <c r="D205" s="302"/>
      <c r="E205" s="300"/>
      <c r="F205" s="689"/>
      <c r="I205" s="276"/>
    </row>
    <row r="206" spans="1:9" s="128" customFormat="1" ht="13.5" customHeight="1" x14ac:dyDescent="0.25">
      <c r="A206" s="265" t="s">
        <v>297</v>
      </c>
      <c r="B206" s="25" t="s">
        <v>133</v>
      </c>
      <c r="C206" s="31">
        <f>SUM(C207:C208)</f>
        <v>59730</v>
      </c>
      <c r="D206" s="302"/>
      <c r="E206" s="300"/>
      <c r="F206" s="689"/>
      <c r="I206" s="276"/>
    </row>
    <row r="207" spans="1:9" s="128" customFormat="1" ht="13.5" customHeight="1" x14ac:dyDescent="0.25">
      <c r="A207" s="12" t="s">
        <v>152</v>
      </c>
      <c r="B207" s="24" t="s">
        <v>65</v>
      </c>
      <c r="C207" s="24">
        <v>6580</v>
      </c>
      <c r="D207" s="302"/>
      <c r="E207" s="300"/>
      <c r="F207" s="689"/>
      <c r="I207" s="276"/>
    </row>
    <row r="208" spans="1:9" s="128" customFormat="1" ht="13.5" customHeight="1" x14ac:dyDescent="0.25">
      <c r="A208" s="72" t="s">
        <v>155</v>
      </c>
      <c r="B208" s="23" t="s">
        <v>133</v>
      </c>
      <c r="C208" s="24">
        <v>53150</v>
      </c>
      <c r="D208" s="302"/>
      <c r="E208" s="300"/>
      <c r="F208" s="689"/>
      <c r="I208" s="276"/>
    </row>
    <row r="209" spans="1:9" s="128" customFormat="1" ht="13.5" customHeight="1" thickBot="1" x14ac:dyDescent="0.3">
      <c r="A209" s="72"/>
      <c r="B209" s="23"/>
      <c r="C209" s="24"/>
      <c r="D209" s="302"/>
      <c r="E209" s="300"/>
      <c r="F209" s="689"/>
      <c r="I209" s="276"/>
    </row>
    <row r="210" spans="1:9" s="128" customFormat="1" ht="13.5" customHeight="1" thickBot="1" x14ac:dyDescent="0.3">
      <c r="A210" s="1096" t="s">
        <v>3</v>
      </c>
      <c r="B210" s="1097"/>
      <c r="C210" s="668">
        <f>(C211+C213+C216+C218)</f>
        <v>4043120</v>
      </c>
      <c r="D210" s="302"/>
      <c r="E210" s="300"/>
      <c r="F210" s="689"/>
      <c r="I210" s="276"/>
    </row>
    <row r="211" spans="1:9" s="128" customFormat="1" ht="13.5" customHeight="1" x14ac:dyDescent="0.25">
      <c r="A211" s="11" t="s">
        <v>120</v>
      </c>
      <c r="B211" s="11" t="s">
        <v>121</v>
      </c>
      <c r="C211" s="31">
        <f>SUM(C212:C212)</f>
        <v>32240</v>
      </c>
      <c r="D211" s="302"/>
      <c r="E211" s="300"/>
      <c r="F211" s="689"/>
      <c r="I211" s="276"/>
    </row>
    <row r="212" spans="1:9" s="128" customFormat="1" ht="13.5" customHeight="1" x14ac:dyDescent="0.25">
      <c r="A212" s="12" t="s">
        <v>136</v>
      </c>
      <c r="B212" s="12" t="s">
        <v>71</v>
      </c>
      <c r="C212" s="24">
        <v>32240</v>
      </c>
      <c r="D212" s="302"/>
      <c r="E212" s="300"/>
      <c r="F212" s="689"/>
      <c r="I212" s="276"/>
    </row>
    <row r="213" spans="1:9" s="128" customFormat="1" ht="13.5" customHeight="1" x14ac:dyDescent="0.25">
      <c r="A213" s="11" t="s">
        <v>112</v>
      </c>
      <c r="B213" s="11" t="s">
        <v>157</v>
      </c>
      <c r="C213" s="31">
        <f>SUM(C214:C215)</f>
        <v>1502500</v>
      </c>
      <c r="D213" s="302"/>
      <c r="E213" s="300"/>
      <c r="F213" s="689"/>
      <c r="I213" s="276"/>
    </row>
    <row r="214" spans="1:9" s="128" customFormat="1" ht="13.5" customHeight="1" x14ac:dyDescent="0.25">
      <c r="A214" s="12" t="s">
        <v>138</v>
      </c>
      <c r="B214" s="59" t="s">
        <v>878</v>
      </c>
      <c r="C214" s="24">
        <v>8500</v>
      </c>
      <c r="D214" s="302"/>
      <c r="E214" s="300"/>
      <c r="F214" s="689"/>
      <c r="I214" s="276"/>
    </row>
    <row r="215" spans="1:9" s="128" customFormat="1" ht="13.5" customHeight="1" x14ac:dyDescent="0.25">
      <c r="A215" s="12" t="s">
        <v>49</v>
      </c>
      <c r="B215" s="24" t="s">
        <v>87</v>
      </c>
      <c r="C215" s="24">
        <v>1494000</v>
      </c>
      <c r="D215" s="302"/>
      <c r="E215" s="300"/>
      <c r="F215" s="689"/>
      <c r="I215" s="276"/>
    </row>
    <row r="216" spans="1:9" s="128" customFormat="1" ht="13.5" customHeight="1" x14ac:dyDescent="0.25">
      <c r="A216" s="11" t="s">
        <v>113</v>
      </c>
      <c r="B216" s="31" t="s">
        <v>114</v>
      </c>
      <c r="C216" s="31">
        <f>SUM(C217:C217)</f>
        <v>12500</v>
      </c>
      <c r="D216" s="302"/>
      <c r="E216" s="300"/>
      <c r="F216" s="689"/>
      <c r="I216" s="276"/>
    </row>
    <row r="217" spans="1:9" s="128" customFormat="1" ht="13.5" customHeight="1" x14ac:dyDescent="0.25">
      <c r="A217" s="12" t="s">
        <v>88</v>
      </c>
      <c r="B217" s="24" t="s">
        <v>64</v>
      </c>
      <c r="C217" s="24">
        <v>12500</v>
      </c>
      <c r="D217" s="302"/>
      <c r="E217" s="300"/>
      <c r="F217" s="689"/>
      <c r="I217" s="276"/>
    </row>
    <row r="218" spans="1:9" s="128" customFormat="1" ht="13.5" customHeight="1" x14ac:dyDescent="0.25">
      <c r="A218" s="11" t="s">
        <v>115</v>
      </c>
      <c r="B218" s="31" t="s">
        <v>8</v>
      </c>
      <c r="C218" s="31">
        <f>SUM(C219:C221)</f>
        <v>2495880</v>
      </c>
      <c r="D218" s="302"/>
      <c r="E218" s="300"/>
      <c r="F218" s="689"/>
      <c r="I218" s="276"/>
    </row>
    <row r="219" spans="1:9" s="128" customFormat="1" ht="13.5" customHeight="1" x14ac:dyDescent="0.25">
      <c r="A219" s="12" t="s">
        <v>92</v>
      </c>
      <c r="B219" s="24" t="s">
        <v>8</v>
      </c>
      <c r="C219" s="24">
        <v>2475900</v>
      </c>
      <c r="D219" s="302"/>
      <c r="E219" s="300"/>
      <c r="F219" s="689"/>
      <c r="I219" s="276"/>
    </row>
    <row r="220" spans="1:9" s="128" customFormat="1" ht="13.5" customHeight="1" x14ac:dyDescent="0.25">
      <c r="A220" s="12" t="s">
        <v>181</v>
      </c>
      <c r="B220" s="24" t="s">
        <v>50</v>
      </c>
      <c r="C220" s="24">
        <v>5400</v>
      </c>
      <c r="D220" s="302"/>
      <c r="E220" s="300"/>
      <c r="F220" s="689"/>
      <c r="I220" s="276"/>
    </row>
    <row r="221" spans="1:9" s="128" customFormat="1" ht="13.5" customHeight="1" x14ac:dyDescent="0.25">
      <c r="A221" s="12" t="s">
        <v>90</v>
      </c>
      <c r="B221" s="24" t="s">
        <v>7</v>
      </c>
      <c r="C221" s="24">
        <v>14580</v>
      </c>
      <c r="D221" s="302"/>
      <c r="E221" s="300"/>
      <c r="F221" s="689"/>
      <c r="I221" s="276"/>
    </row>
    <row r="222" spans="1:9" s="128" customFormat="1" ht="13.5" customHeight="1" thickBot="1" x14ac:dyDescent="0.3">
      <c r="A222" s="12"/>
      <c r="B222" s="24"/>
      <c r="C222" s="24"/>
      <c r="D222" s="302"/>
      <c r="E222" s="300"/>
      <c r="F222" s="689"/>
      <c r="I222" s="276"/>
    </row>
    <row r="223" spans="1:9" s="128" customFormat="1" ht="13.5" customHeight="1" thickBot="1" x14ac:dyDescent="0.3">
      <c r="A223" s="1100" t="s">
        <v>4</v>
      </c>
      <c r="B223" s="1101"/>
      <c r="C223" s="670">
        <f>+C224+C226</f>
        <v>36360</v>
      </c>
      <c r="D223" s="302"/>
      <c r="E223" s="300"/>
      <c r="F223" s="689"/>
      <c r="I223" s="276"/>
    </row>
    <row r="224" spans="1:9" s="128" customFormat="1" ht="13.5" customHeight="1" x14ac:dyDescent="0.25">
      <c r="A224" s="265" t="s">
        <v>116</v>
      </c>
      <c r="B224" s="564" t="s">
        <v>117</v>
      </c>
      <c r="C224" s="290">
        <f>SUM(C225)</f>
        <v>25860</v>
      </c>
      <c r="D224" s="302"/>
      <c r="E224" s="300"/>
      <c r="F224" s="689"/>
      <c r="I224" s="276"/>
    </row>
    <row r="225" spans="1:9" s="128" customFormat="1" ht="13.5" customHeight="1" x14ac:dyDescent="0.25">
      <c r="A225" s="72" t="s">
        <v>91</v>
      </c>
      <c r="B225" s="72" t="s">
        <v>139</v>
      </c>
      <c r="C225" s="24">
        <v>25860</v>
      </c>
      <c r="D225" s="302"/>
      <c r="E225" s="300"/>
      <c r="F225" s="689"/>
      <c r="I225" s="276"/>
    </row>
    <row r="226" spans="1:9" s="128" customFormat="1" ht="13.5" customHeight="1" x14ac:dyDescent="0.25">
      <c r="A226" s="262" t="s">
        <v>166</v>
      </c>
      <c r="B226" s="11" t="s">
        <v>134</v>
      </c>
      <c r="C226" s="31">
        <f>SUM(C227)</f>
        <v>10500</v>
      </c>
      <c r="D226" s="302"/>
      <c r="E226" s="300"/>
      <c r="F226" s="689"/>
      <c r="I226" s="276"/>
    </row>
    <row r="227" spans="1:9" s="128" customFormat="1" ht="13.5" customHeight="1" x14ac:dyDescent="0.25">
      <c r="A227" s="273" t="s">
        <v>167</v>
      </c>
      <c r="B227" s="12" t="s">
        <v>51</v>
      </c>
      <c r="C227" s="303">
        <v>10500</v>
      </c>
      <c r="D227" s="302"/>
      <c r="E227" s="300"/>
      <c r="F227" s="689"/>
      <c r="I227" s="276"/>
    </row>
    <row r="228" spans="1:9" s="128" customFormat="1" ht="13.5" customHeight="1" x14ac:dyDescent="0.25">
      <c r="A228" s="72"/>
      <c r="B228" s="72"/>
      <c r="C228" s="23"/>
      <c r="D228" s="23"/>
      <c r="E228" s="23"/>
      <c r="F228" s="689"/>
      <c r="I228" s="276"/>
    </row>
    <row r="229" spans="1:9" s="128" customFormat="1" ht="13.5" customHeight="1" thickBot="1" x14ac:dyDescent="0.3">
      <c r="A229" s="72"/>
      <c r="B229" s="72"/>
      <c r="C229" s="23"/>
      <c r="D229" s="23"/>
      <c r="E229" s="23"/>
      <c r="F229" s="689"/>
      <c r="I229" s="276"/>
    </row>
    <row r="230" spans="1:9" s="128" customFormat="1" ht="13.5" customHeight="1" x14ac:dyDescent="0.25">
      <c r="A230" s="1117" t="s">
        <v>972</v>
      </c>
      <c r="B230" s="1118"/>
      <c r="C230" s="1119"/>
      <c r="D230" s="691" t="s">
        <v>6</v>
      </c>
      <c r="E230" s="911">
        <v>1305</v>
      </c>
      <c r="F230" s="689"/>
      <c r="I230" s="276"/>
    </row>
    <row r="231" spans="1:9" s="128" customFormat="1" ht="13.5" customHeight="1" thickBot="1" x14ac:dyDescent="0.3">
      <c r="A231" s="1120"/>
      <c r="B231" s="1121"/>
      <c r="C231" s="1122"/>
      <c r="D231" s="694"/>
      <c r="E231" s="761"/>
      <c r="F231" s="689"/>
      <c r="I231" s="276"/>
    </row>
    <row r="232" spans="1:9" s="128" customFormat="1" ht="13.5" customHeight="1" x14ac:dyDescent="0.25">
      <c r="A232" s="1178" t="s">
        <v>973</v>
      </c>
      <c r="B232" s="1179"/>
      <c r="C232" s="1179"/>
      <c r="D232" s="1179"/>
      <c r="E232" s="1180"/>
      <c r="F232" s="689"/>
      <c r="I232" s="276"/>
    </row>
    <row r="233" spans="1:9" s="128" customFormat="1" ht="13.5" customHeight="1" x14ac:dyDescent="0.25">
      <c r="A233" s="1181"/>
      <c r="B233" s="1182"/>
      <c r="C233" s="1182"/>
      <c r="D233" s="1182"/>
      <c r="E233" s="1183"/>
      <c r="F233" s="689"/>
      <c r="I233" s="276"/>
    </row>
    <row r="234" spans="1:9" s="128" customFormat="1" ht="13.5" customHeight="1" x14ac:dyDescent="0.25">
      <c r="A234" s="1181"/>
      <c r="B234" s="1182"/>
      <c r="C234" s="1182"/>
      <c r="D234" s="1182"/>
      <c r="E234" s="1183"/>
      <c r="F234" s="689"/>
      <c r="I234" s="276"/>
    </row>
    <row r="235" spans="1:9" s="128" customFormat="1" ht="13.5" customHeight="1" thickBot="1" x14ac:dyDescent="0.3">
      <c r="A235" s="1184"/>
      <c r="B235" s="1185"/>
      <c r="C235" s="1185"/>
      <c r="D235" s="1185"/>
      <c r="E235" s="1186"/>
      <c r="F235" s="689"/>
      <c r="I235" s="276"/>
    </row>
    <row r="236" spans="1:9" s="128" customFormat="1" ht="13.5" customHeight="1" x14ac:dyDescent="0.25">
      <c r="A236" s="268" t="s">
        <v>1029</v>
      </c>
      <c r="B236" s="53"/>
      <c r="C236" s="303"/>
      <c r="D236" s="277"/>
      <c r="E236" s="305"/>
      <c r="F236" s="689"/>
      <c r="I236" s="276"/>
    </row>
    <row r="237" spans="1:9" s="128" customFormat="1" ht="13.5" customHeight="1" x14ac:dyDescent="0.25">
      <c r="A237" s="268" t="s">
        <v>974</v>
      </c>
      <c r="B237" s="53"/>
      <c r="C237" s="303"/>
      <c r="D237" s="277"/>
      <c r="E237" s="305"/>
      <c r="F237" s="689"/>
      <c r="I237" s="276"/>
    </row>
    <row r="238" spans="1:9" s="128" customFormat="1" ht="13.5" customHeight="1" x14ac:dyDescent="0.25">
      <c r="A238" s="268" t="s">
        <v>1040</v>
      </c>
      <c r="B238" s="53"/>
      <c r="C238" s="303"/>
      <c r="D238" s="277"/>
      <c r="E238" s="305"/>
      <c r="F238" s="689"/>
      <c r="I238" s="276"/>
    </row>
    <row r="239" spans="1:9" s="128" customFormat="1" ht="13.5" customHeight="1" thickBot="1" x14ac:dyDescent="0.3">
      <c r="A239" s="268" t="s">
        <v>11</v>
      </c>
      <c r="B239" s="53"/>
      <c r="C239" s="303"/>
      <c r="D239" s="277"/>
      <c r="E239" s="305"/>
      <c r="F239" s="689"/>
      <c r="I239" s="276"/>
    </row>
    <row r="240" spans="1:9" s="128" customFormat="1" ht="13.5" customHeight="1" thickBot="1" x14ac:dyDescent="0.3">
      <c r="A240" s="762" t="s">
        <v>0</v>
      </c>
      <c r="B240" s="763"/>
      <c r="C240" s="764"/>
      <c r="D240" s="765"/>
      <c r="E240" s="766">
        <f>(C242+C253+C269)</f>
        <v>3077550</v>
      </c>
      <c r="F240" s="689"/>
      <c r="I240" s="276"/>
    </row>
    <row r="241" spans="1:9" s="128" customFormat="1" ht="13.5" customHeight="1" thickBot="1" x14ac:dyDescent="0.3">
      <c r="A241" s="336"/>
      <c r="B241" s="336"/>
      <c r="C241" s="300"/>
      <c r="D241" s="302"/>
      <c r="E241" s="300"/>
      <c r="F241" s="689"/>
      <c r="I241" s="276"/>
    </row>
    <row r="242" spans="1:9" s="128" customFormat="1" ht="13.5" customHeight="1" thickBot="1" x14ac:dyDescent="0.3">
      <c r="A242" s="1104" t="s">
        <v>2</v>
      </c>
      <c r="B242" s="1105"/>
      <c r="C242" s="667">
        <f>(C243+C245+C247+C249)</f>
        <v>174720</v>
      </c>
      <c r="D242" s="302"/>
      <c r="E242" s="300"/>
      <c r="F242" s="689"/>
      <c r="I242" s="276"/>
    </row>
    <row r="243" spans="1:9" s="128" customFormat="1" ht="13.5" customHeight="1" x14ac:dyDescent="0.25">
      <c r="A243" s="11" t="s">
        <v>103</v>
      </c>
      <c r="B243" s="564" t="s">
        <v>104</v>
      </c>
      <c r="C243" s="32">
        <f>SUM(C244:C244)</f>
        <v>35000</v>
      </c>
      <c r="D243" s="302"/>
      <c r="E243" s="300"/>
      <c r="F243" s="689"/>
      <c r="I243" s="276"/>
    </row>
    <row r="244" spans="1:9" s="128" customFormat="1" ht="13.5" customHeight="1" x14ac:dyDescent="0.25">
      <c r="A244" s="12" t="s">
        <v>46</v>
      </c>
      <c r="B244" s="72" t="s">
        <v>45</v>
      </c>
      <c r="C244" s="22">
        <v>35000</v>
      </c>
      <c r="D244" s="302"/>
      <c r="E244" s="300"/>
      <c r="F244" s="689"/>
      <c r="I244" s="276"/>
    </row>
    <row r="245" spans="1:9" s="128" customFormat="1" ht="13.5" customHeight="1" x14ac:dyDescent="0.25">
      <c r="A245" s="11" t="s">
        <v>107</v>
      </c>
      <c r="B245" s="265" t="s">
        <v>108</v>
      </c>
      <c r="C245" s="31">
        <f>SUM(C246)</f>
        <v>86370</v>
      </c>
      <c r="D245" s="302"/>
      <c r="E245" s="300"/>
      <c r="F245" s="689"/>
      <c r="I245" s="276"/>
    </row>
    <row r="246" spans="1:9" s="128" customFormat="1" ht="13.5" customHeight="1" x14ac:dyDescent="0.25">
      <c r="A246" s="12" t="s">
        <v>47</v>
      </c>
      <c r="B246" s="24" t="s">
        <v>48</v>
      </c>
      <c r="C246" s="24">
        <v>86370</v>
      </c>
      <c r="D246" s="302"/>
      <c r="E246" s="300"/>
      <c r="F246" s="689"/>
      <c r="I246" s="276"/>
    </row>
    <row r="247" spans="1:9" s="128" customFormat="1" ht="13.5" customHeight="1" x14ac:dyDescent="0.25">
      <c r="A247" s="265" t="s">
        <v>124</v>
      </c>
      <c r="B247" s="25" t="s">
        <v>123</v>
      </c>
      <c r="C247" s="31">
        <f>SUM(C248:C248)</f>
        <v>18850</v>
      </c>
      <c r="D247" s="302"/>
      <c r="E247" s="300"/>
      <c r="F247" s="689"/>
      <c r="I247" s="276"/>
    </row>
    <row r="248" spans="1:9" s="128" customFormat="1" ht="13.5" customHeight="1" x14ac:dyDescent="0.25">
      <c r="A248" s="72" t="s">
        <v>93</v>
      </c>
      <c r="B248" s="23" t="s">
        <v>72</v>
      </c>
      <c r="C248" s="24">
        <v>18850</v>
      </c>
      <c r="D248" s="302"/>
      <c r="E248" s="300"/>
      <c r="F248" s="689"/>
      <c r="I248" s="276"/>
    </row>
    <row r="249" spans="1:9" s="128" customFormat="1" ht="13.5" customHeight="1" x14ac:dyDescent="0.25">
      <c r="A249" s="265" t="s">
        <v>297</v>
      </c>
      <c r="B249" s="25" t="s">
        <v>133</v>
      </c>
      <c r="C249" s="31">
        <f>SUM(C250:C251)</f>
        <v>34500</v>
      </c>
      <c r="D249" s="302"/>
      <c r="E249" s="300"/>
      <c r="F249" s="689"/>
      <c r="I249" s="276"/>
    </row>
    <row r="250" spans="1:9" s="128" customFormat="1" ht="13.5" customHeight="1" x14ac:dyDescent="0.25">
      <c r="A250" s="12" t="s">
        <v>152</v>
      </c>
      <c r="B250" s="24" t="s">
        <v>65</v>
      </c>
      <c r="C250" s="24">
        <v>15750</v>
      </c>
      <c r="D250" s="302"/>
      <c r="E250" s="300"/>
      <c r="F250" s="689"/>
      <c r="I250" s="276"/>
    </row>
    <row r="251" spans="1:9" s="128" customFormat="1" ht="13.5" customHeight="1" x14ac:dyDescent="0.25">
      <c r="A251" s="72" t="s">
        <v>155</v>
      </c>
      <c r="B251" s="23" t="s">
        <v>133</v>
      </c>
      <c r="C251" s="24">
        <v>18750</v>
      </c>
      <c r="D251" s="302"/>
      <c r="E251" s="300"/>
      <c r="F251" s="689"/>
      <c r="I251" s="276"/>
    </row>
    <row r="252" spans="1:9" s="128" customFormat="1" ht="13.5" customHeight="1" thickBot="1" x14ac:dyDescent="0.3">
      <c r="A252" s="72"/>
      <c r="B252" s="23"/>
      <c r="C252" s="24"/>
      <c r="D252" s="302"/>
      <c r="E252" s="300"/>
      <c r="F252" s="689"/>
      <c r="I252" s="276"/>
    </row>
    <row r="253" spans="1:9" s="128" customFormat="1" ht="13.5" customHeight="1" thickBot="1" x14ac:dyDescent="0.3">
      <c r="A253" s="1096" t="s">
        <v>3</v>
      </c>
      <c r="B253" s="1097"/>
      <c r="C253" s="668">
        <f>(C256+C259+C262+C264+C254)</f>
        <v>2803730</v>
      </c>
      <c r="D253" s="302"/>
      <c r="E253" s="300"/>
      <c r="F253" s="689"/>
      <c r="I253" s="276"/>
    </row>
    <row r="254" spans="1:9" s="294" customFormat="1" ht="13.5" customHeight="1" x14ac:dyDescent="0.25">
      <c r="A254" s="11" t="s">
        <v>110</v>
      </c>
      <c r="B254" s="564" t="s">
        <v>111</v>
      </c>
      <c r="C254" s="335">
        <f>SUM(C255)</f>
        <v>63100</v>
      </c>
      <c r="D254" s="293"/>
      <c r="E254" s="293"/>
      <c r="F254" s="593"/>
      <c r="I254" s="295"/>
    </row>
    <row r="255" spans="1:9" s="72" customFormat="1" ht="13.5" customHeight="1" x14ac:dyDescent="0.25">
      <c r="A255" s="12" t="s">
        <v>52</v>
      </c>
      <c r="B255" s="12" t="s">
        <v>15</v>
      </c>
      <c r="C255" s="24">
        <v>63100</v>
      </c>
      <c r="D255" s="79"/>
      <c r="E255" s="25"/>
      <c r="F255" s="593"/>
      <c r="G255" s="24"/>
      <c r="H255" s="12"/>
      <c r="I255" s="282"/>
    </row>
    <row r="256" spans="1:9" s="128" customFormat="1" ht="13.5" customHeight="1" x14ac:dyDescent="0.25">
      <c r="A256" s="11" t="s">
        <v>120</v>
      </c>
      <c r="B256" s="11" t="s">
        <v>121</v>
      </c>
      <c r="C256" s="31">
        <f>SUM(C257:C258)</f>
        <v>32450</v>
      </c>
      <c r="D256" s="302"/>
      <c r="E256" s="300"/>
      <c r="F256" s="689"/>
      <c r="I256" s="276"/>
    </row>
    <row r="257" spans="1:9" s="128" customFormat="1" ht="13.5" customHeight="1" x14ac:dyDescent="0.25">
      <c r="A257" s="12" t="s">
        <v>183</v>
      </c>
      <c r="B257" s="12" t="s">
        <v>248</v>
      </c>
      <c r="C257" s="24">
        <v>15500</v>
      </c>
      <c r="D257" s="302"/>
      <c r="E257" s="300"/>
      <c r="F257" s="689"/>
      <c r="I257" s="276"/>
    </row>
    <row r="258" spans="1:9" s="128" customFormat="1" ht="13.5" customHeight="1" x14ac:dyDescent="0.25">
      <c r="A258" s="12" t="s">
        <v>136</v>
      </c>
      <c r="B258" s="12" t="s">
        <v>71</v>
      </c>
      <c r="C258" s="24">
        <v>16950</v>
      </c>
      <c r="D258" s="302"/>
      <c r="E258" s="300"/>
      <c r="F258" s="689"/>
      <c r="I258" s="276"/>
    </row>
    <row r="259" spans="1:9" s="128" customFormat="1" ht="13.5" customHeight="1" x14ac:dyDescent="0.25">
      <c r="A259" s="11" t="s">
        <v>112</v>
      </c>
      <c r="B259" s="11" t="s">
        <v>157</v>
      </c>
      <c r="C259" s="25">
        <f>SUM(C260:C261)</f>
        <v>2368650</v>
      </c>
      <c r="D259" s="302"/>
      <c r="E259" s="300"/>
      <c r="F259" s="689"/>
      <c r="I259" s="276"/>
    </row>
    <row r="260" spans="1:9" s="128" customFormat="1" ht="13.5" customHeight="1" x14ac:dyDescent="0.25">
      <c r="A260" s="12" t="s">
        <v>138</v>
      </c>
      <c r="B260" s="59" t="s">
        <v>878</v>
      </c>
      <c r="C260" s="24">
        <v>12500</v>
      </c>
      <c r="D260" s="302"/>
      <c r="E260" s="300"/>
      <c r="F260" s="689"/>
      <c r="I260" s="276"/>
    </row>
    <row r="261" spans="1:9" s="128" customFormat="1" ht="13.5" customHeight="1" x14ac:dyDescent="0.25">
      <c r="A261" s="12" t="s">
        <v>49</v>
      </c>
      <c r="B261" s="24" t="s">
        <v>87</v>
      </c>
      <c r="C261" s="24">
        <v>2356150</v>
      </c>
      <c r="D261" s="302"/>
      <c r="E261" s="300"/>
      <c r="F261" s="931"/>
      <c r="I261" s="276"/>
    </row>
    <row r="262" spans="1:9" s="128" customFormat="1" ht="13.5" customHeight="1" x14ac:dyDescent="0.25">
      <c r="A262" s="11" t="s">
        <v>113</v>
      </c>
      <c r="B262" s="31" t="s">
        <v>114</v>
      </c>
      <c r="C262" s="31">
        <f>SUM(C263:C263)</f>
        <v>12350</v>
      </c>
      <c r="D262" s="302"/>
      <c r="E262" s="300"/>
      <c r="F262" s="689"/>
      <c r="I262" s="276"/>
    </row>
    <row r="263" spans="1:9" s="128" customFormat="1" ht="13.5" customHeight="1" x14ac:dyDescent="0.25">
      <c r="A263" s="12" t="s">
        <v>88</v>
      </c>
      <c r="B263" s="24" t="s">
        <v>64</v>
      </c>
      <c r="C263" s="24">
        <v>12350</v>
      </c>
      <c r="D263" s="302"/>
      <c r="E263" s="300"/>
      <c r="F263" s="689"/>
      <c r="I263" s="276"/>
    </row>
    <row r="264" spans="1:9" s="128" customFormat="1" ht="13.5" customHeight="1" x14ac:dyDescent="0.25">
      <c r="A264" s="11" t="s">
        <v>115</v>
      </c>
      <c r="B264" s="31" t="s">
        <v>8</v>
      </c>
      <c r="C264" s="31">
        <f>SUM(C265:C267)</f>
        <v>327180</v>
      </c>
      <c r="D264" s="302"/>
      <c r="E264" s="300"/>
      <c r="F264" s="689"/>
      <c r="I264" s="276"/>
    </row>
    <row r="265" spans="1:9" s="128" customFormat="1" ht="13.5" customHeight="1" x14ac:dyDescent="0.25">
      <c r="A265" s="12" t="s">
        <v>92</v>
      </c>
      <c r="B265" s="24" t="s">
        <v>8</v>
      </c>
      <c r="C265" s="24">
        <v>280800</v>
      </c>
      <c r="D265" s="302"/>
      <c r="E265" s="300"/>
      <c r="F265" s="689"/>
      <c r="I265" s="276"/>
    </row>
    <row r="266" spans="1:9" s="128" customFormat="1" ht="13.5" customHeight="1" x14ac:dyDescent="0.25">
      <c r="A266" s="12" t="s">
        <v>181</v>
      </c>
      <c r="B266" s="24" t="s">
        <v>50</v>
      </c>
      <c r="C266" s="24">
        <v>5500</v>
      </c>
      <c r="D266" s="302"/>
      <c r="E266" s="300"/>
      <c r="F266" s="689"/>
      <c r="I266" s="276"/>
    </row>
    <row r="267" spans="1:9" s="128" customFormat="1" ht="13.5" customHeight="1" x14ac:dyDescent="0.25">
      <c r="A267" s="12" t="s">
        <v>90</v>
      </c>
      <c r="B267" s="24" t="s">
        <v>7</v>
      </c>
      <c r="C267" s="24">
        <v>40880</v>
      </c>
      <c r="D267" s="302"/>
      <c r="E267" s="300"/>
      <c r="F267" s="689"/>
      <c r="I267" s="276"/>
    </row>
    <row r="268" spans="1:9" s="128" customFormat="1" ht="13.5" customHeight="1" thickBot="1" x14ac:dyDescent="0.3">
      <c r="A268" s="12"/>
      <c r="B268" s="24"/>
      <c r="C268" s="24"/>
      <c r="D268" s="302"/>
      <c r="E268" s="300"/>
      <c r="F268" s="689"/>
      <c r="I268" s="276"/>
    </row>
    <row r="269" spans="1:9" s="128" customFormat="1" ht="13.5" customHeight="1" thickBot="1" x14ac:dyDescent="0.3">
      <c r="A269" s="1100" t="s">
        <v>4</v>
      </c>
      <c r="B269" s="1101"/>
      <c r="C269" s="670">
        <f>+C270+C272</f>
        <v>99100</v>
      </c>
      <c r="D269" s="302"/>
      <c r="E269" s="300"/>
      <c r="F269" s="689"/>
      <c r="I269" s="276"/>
    </row>
    <row r="270" spans="1:9" s="128" customFormat="1" ht="13.5" customHeight="1" x14ac:dyDescent="0.25">
      <c r="A270" s="265" t="s">
        <v>116</v>
      </c>
      <c r="B270" s="564" t="s">
        <v>117</v>
      </c>
      <c r="C270" s="290">
        <f>SUM(C271)</f>
        <v>90600</v>
      </c>
      <c r="D270" s="302"/>
      <c r="E270" s="300"/>
      <c r="F270" s="689"/>
      <c r="I270" s="276"/>
    </row>
    <row r="271" spans="1:9" s="128" customFormat="1" ht="13.5" customHeight="1" x14ac:dyDescent="0.25">
      <c r="A271" s="72" t="s">
        <v>91</v>
      </c>
      <c r="B271" s="72" t="s">
        <v>139</v>
      </c>
      <c r="C271" s="24">
        <v>90600</v>
      </c>
      <c r="D271" s="302"/>
      <c r="E271" s="300"/>
      <c r="F271" s="689"/>
      <c r="I271" s="276"/>
    </row>
    <row r="272" spans="1:9" s="128" customFormat="1" ht="13.5" customHeight="1" x14ac:dyDescent="0.25">
      <c r="A272" s="262" t="s">
        <v>166</v>
      </c>
      <c r="B272" s="11" t="s">
        <v>134</v>
      </c>
      <c r="C272" s="31">
        <f>SUM(C273)</f>
        <v>8500</v>
      </c>
      <c r="D272" s="302"/>
      <c r="E272" s="300"/>
      <c r="F272" s="689"/>
      <c r="I272" s="276"/>
    </row>
    <row r="273" spans="1:9" s="128" customFormat="1" ht="13.5" customHeight="1" x14ac:dyDescent="0.25">
      <c r="A273" s="273" t="s">
        <v>167</v>
      </c>
      <c r="B273" s="12" t="s">
        <v>51</v>
      </c>
      <c r="C273" s="303">
        <v>8500</v>
      </c>
      <c r="D273" s="302"/>
      <c r="E273" s="300"/>
      <c r="F273" s="689"/>
      <c r="I273" s="276"/>
    </row>
    <row r="274" spans="1:9" s="128" customFormat="1" ht="13.5" customHeight="1" x14ac:dyDescent="0.25">
      <c r="A274" s="72"/>
      <c r="B274" s="72"/>
      <c r="C274" s="23"/>
      <c r="D274" s="23"/>
      <c r="E274" s="23"/>
      <c r="F274" s="689"/>
      <c r="I274" s="276"/>
    </row>
    <row r="275" spans="1:9" s="128" customFormat="1" ht="13.5" customHeight="1" thickBot="1" x14ac:dyDescent="0.3">
      <c r="A275" s="72"/>
      <c r="B275" s="72"/>
      <c r="C275" s="23"/>
      <c r="D275" s="23"/>
      <c r="E275" s="23"/>
      <c r="F275" s="689"/>
      <c r="I275" s="276"/>
    </row>
    <row r="276" spans="1:9" s="128" customFormat="1" ht="13.5" customHeight="1" x14ac:dyDescent="0.25">
      <c r="A276" s="1117" t="s">
        <v>975</v>
      </c>
      <c r="B276" s="1118"/>
      <c r="C276" s="1119"/>
      <c r="D276" s="691" t="s">
        <v>6</v>
      </c>
      <c r="E276" s="911">
        <v>1306</v>
      </c>
      <c r="F276" s="689"/>
      <c r="I276" s="276"/>
    </row>
    <row r="277" spans="1:9" s="128" customFormat="1" ht="13.5" customHeight="1" thickBot="1" x14ac:dyDescent="0.3">
      <c r="A277" s="1120"/>
      <c r="B277" s="1121"/>
      <c r="C277" s="1122"/>
      <c r="D277" s="767"/>
      <c r="E277" s="768"/>
      <c r="F277" s="689"/>
      <c r="I277" s="276"/>
    </row>
    <row r="278" spans="1:9" s="128" customFormat="1" ht="13.5" customHeight="1" x14ac:dyDescent="0.25">
      <c r="A278" s="1165" t="s">
        <v>976</v>
      </c>
      <c r="B278" s="1166"/>
      <c r="C278" s="1166"/>
      <c r="D278" s="1166"/>
      <c r="E278" s="1167"/>
      <c r="F278" s="689"/>
      <c r="I278" s="276"/>
    </row>
    <row r="279" spans="1:9" s="128" customFormat="1" ht="13.5" customHeight="1" x14ac:dyDescent="0.25">
      <c r="A279" s="1168"/>
      <c r="B279" s="1169"/>
      <c r="C279" s="1169"/>
      <c r="D279" s="1169"/>
      <c r="E279" s="1170"/>
      <c r="F279" s="689"/>
      <c r="I279" s="276"/>
    </row>
    <row r="280" spans="1:9" s="128" customFormat="1" ht="13.5" customHeight="1" x14ac:dyDescent="0.25">
      <c r="A280" s="1168"/>
      <c r="B280" s="1169"/>
      <c r="C280" s="1169"/>
      <c r="D280" s="1169"/>
      <c r="E280" s="1170"/>
      <c r="F280" s="689"/>
      <c r="I280" s="276"/>
    </row>
    <row r="281" spans="1:9" s="128" customFormat="1" ht="13.5" customHeight="1" thickBot="1" x14ac:dyDescent="0.3">
      <c r="A281" s="1171"/>
      <c r="B281" s="1172"/>
      <c r="C281" s="1172"/>
      <c r="D281" s="1172"/>
      <c r="E281" s="1173"/>
      <c r="F281" s="689"/>
      <c r="I281" s="276"/>
    </row>
    <row r="282" spans="1:9" s="128" customFormat="1" ht="13.5" customHeight="1" x14ac:dyDescent="0.25">
      <c r="A282" s="268" t="s">
        <v>1029</v>
      </c>
      <c r="B282" s="53"/>
      <c r="C282" s="303"/>
      <c r="D282" s="277"/>
      <c r="E282" s="305"/>
      <c r="F282" s="689"/>
      <c r="I282" s="276"/>
    </row>
    <row r="283" spans="1:9" s="128" customFormat="1" ht="13.5" customHeight="1" x14ac:dyDescent="0.25">
      <c r="A283" s="268" t="s">
        <v>733</v>
      </c>
      <c r="B283" s="53"/>
      <c r="C283" s="303"/>
      <c r="D283" s="277"/>
      <c r="E283" s="305"/>
      <c r="F283" s="689"/>
      <c r="I283" s="276"/>
    </row>
    <row r="284" spans="1:9" s="128" customFormat="1" ht="13.5" customHeight="1" x14ac:dyDescent="0.25">
      <c r="A284" s="268" t="s">
        <v>1040</v>
      </c>
      <c r="B284" s="53"/>
      <c r="C284" s="303"/>
      <c r="D284" s="277"/>
      <c r="E284" s="305"/>
      <c r="F284" s="689"/>
      <c r="I284" s="276"/>
    </row>
    <row r="285" spans="1:9" s="128" customFormat="1" ht="13.5" customHeight="1" thickBot="1" x14ac:dyDescent="0.3">
      <c r="A285" s="268" t="s">
        <v>11</v>
      </c>
      <c r="B285" s="53"/>
      <c r="C285" s="303"/>
      <c r="D285" s="277"/>
      <c r="E285" s="305"/>
      <c r="F285" s="689"/>
      <c r="I285" s="276"/>
    </row>
    <row r="286" spans="1:9" s="128" customFormat="1" ht="13.5" customHeight="1" thickBot="1" x14ac:dyDescent="0.3">
      <c r="A286" s="762" t="s">
        <v>0</v>
      </c>
      <c r="B286" s="763"/>
      <c r="C286" s="764"/>
      <c r="D286" s="765"/>
      <c r="E286" s="766">
        <f>(C288+C299+C310)</f>
        <v>971710</v>
      </c>
      <c r="F286" s="689"/>
      <c r="I286" s="276"/>
    </row>
    <row r="287" spans="1:9" s="128" customFormat="1" ht="13.5" customHeight="1" thickBot="1" x14ac:dyDescent="0.3">
      <c r="A287" s="336"/>
      <c r="B287" s="336"/>
      <c r="C287" s="300"/>
      <c r="D287" s="302"/>
      <c r="E287" s="300"/>
      <c r="F287" s="689"/>
      <c r="I287" s="276"/>
    </row>
    <row r="288" spans="1:9" s="128" customFormat="1" ht="13.5" customHeight="1" thickBot="1" x14ac:dyDescent="0.3">
      <c r="A288" s="1104" t="s">
        <v>2</v>
      </c>
      <c r="B288" s="1105"/>
      <c r="C288" s="667">
        <f>(C289+C291+C293+C295)</f>
        <v>92180</v>
      </c>
      <c r="D288" s="302"/>
      <c r="E288" s="300"/>
      <c r="F288" s="689"/>
      <c r="I288" s="276"/>
    </row>
    <row r="289" spans="1:9" s="128" customFormat="1" ht="13.5" customHeight="1" x14ac:dyDescent="0.25">
      <c r="A289" s="11" t="s">
        <v>103</v>
      </c>
      <c r="B289" s="564" t="s">
        <v>104</v>
      </c>
      <c r="C289" s="32">
        <f>SUM(C290:C290)</f>
        <v>16150</v>
      </c>
      <c r="D289" s="302"/>
      <c r="E289" s="300"/>
      <c r="F289" s="689"/>
      <c r="I289" s="276"/>
    </row>
    <row r="290" spans="1:9" s="128" customFormat="1" ht="13.5" customHeight="1" x14ac:dyDescent="0.25">
      <c r="A290" s="12" t="s">
        <v>46</v>
      </c>
      <c r="B290" s="72" t="s">
        <v>45</v>
      </c>
      <c r="C290" s="22">
        <v>16150</v>
      </c>
      <c r="D290" s="302"/>
      <c r="E290" s="300"/>
      <c r="F290" s="689"/>
      <c r="I290" s="276"/>
    </row>
    <row r="291" spans="1:9" s="128" customFormat="1" ht="13.5" customHeight="1" x14ac:dyDescent="0.25">
      <c r="A291" s="11" t="s">
        <v>107</v>
      </c>
      <c r="B291" s="265" t="s">
        <v>108</v>
      </c>
      <c r="C291" s="31">
        <f>SUM(C292)</f>
        <v>39580</v>
      </c>
      <c r="D291" s="302"/>
      <c r="E291" s="300"/>
      <c r="F291" s="689"/>
      <c r="I291" s="276"/>
    </row>
    <row r="292" spans="1:9" s="128" customFormat="1" ht="13.5" customHeight="1" x14ac:dyDescent="0.25">
      <c r="A292" s="12" t="s">
        <v>47</v>
      </c>
      <c r="B292" s="24" t="s">
        <v>48</v>
      </c>
      <c r="C292" s="24">
        <v>39580</v>
      </c>
      <c r="D292" s="302"/>
      <c r="E292" s="300"/>
      <c r="F292" s="689"/>
      <c r="I292" s="276"/>
    </row>
    <row r="293" spans="1:9" s="128" customFormat="1" ht="13.5" customHeight="1" x14ac:dyDescent="0.25">
      <c r="A293" s="265" t="s">
        <v>124</v>
      </c>
      <c r="B293" s="25" t="s">
        <v>123</v>
      </c>
      <c r="C293" s="31">
        <f>SUM(C294:C294)</f>
        <v>15500</v>
      </c>
      <c r="D293" s="302"/>
      <c r="E293" s="300"/>
      <c r="F293" s="689"/>
      <c r="I293" s="276"/>
    </row>
    <row r="294" spans="1:9" s="128" customFormat="1" ht="13.5" customHeight="1" x14ac:dyDescent="0.25">
      <c r="A294" s="72" t="s">
        <v>93</v>
      </c>
      <c r="B294" s="23" t="s">
        <v>72</v>
      </c>
      <c r="C294" s="24">
        <v>15500</v>
      </c>
      <c r="D294" s="302"/>
      <c r="E294" s="300"/>
      <c r="F294" s="689"/>
      <c r="I294" s="276"/>
    </row>
    <row r="295" spans="1:9" s="128" customFormat="1" ht="13.5" customHeight="1" x14ac:dyDescent="0.25">
      <c r="A295" s="265" t="s">
        <v>297</v>
      </c>
      <c r="B295" s="25" t="s">
        <v>133</v>
      </c>
      <c r="C295" s="31">
        <f>SUM(C296:C297)</f>
        <v>20950</v>
      </c>
      <c r="D295" s="302"/>
      <c r="E295" s="300"/>
      <c r="F295" s="689"/>
      <c r="I295" s="276"/>
    </row>
    <row r="296" spans="1:9" s="128" customFormat="1" ht="13.5" customHeight="1" x14ac:dyDescent="0.25">
      <c r="A296" s="12" t="s">
        <v>152</v>
      </c>
      <c r="B296" s="24" t="s">
        <v>65</v>
      </c>
      <c r="C296" s="24">
        <v>8450</v>
      </c>
      <c r="D296" s="302"/>
      <c r="E296" s="300"/>
      <c r="F296" s="689"/>
      <c r="I296" s="276"/>
    </row>
    <row r="297" spans="1:9" s="128" customFormat="1" ht="13.5" customHeight="1" x14ac:dyDescent="0.25">
      <c r="A297" s="72" t="s">
        <v>155</v>
      </c>
      <c r="B297" s="23" t="s">
        <v>133</v>
      </c>
      <c r="C297" s="24">
        <v>12500</v>
      </c>
      <c r="D297" s="302"/>
      <c r="E297" s="300"/>
      <c r="F297" s="689"/>
      <c r="I297" s="276"/>
    </row>
    <row r="298" spans="1:9" s="128" customFormat="1" ht="13.5" customHeight="1" thickBot="1" x14ac:dyDescent="0.3">
      <c r="A298" s="72"/>
      <c r="B298" s="23"/>
      <c r="C298" s="24"/>
      <c r="D298" s="302"/>
      <c r="E298" s="300"/>
      <c r="F298" s="689"/>
      <c r="I298" s="276"/>
    </row>
    <row r="299" spans="1:9" s="128" customFormat="1" ht="13.5" customHeight="1" thickBot="1" x14ac:dyDescent="0.3">
      <c r="A299" s="1096" t="s">
        <v>3</v>
      </c>
      <c r="B299" s="1097"/>
      <c r="C299" s="668">
        <f>(C300+C303+C305)</f>
        <v>847530</v>
      </c>
      <c r="D299" s="302"/>
      <c r="E299" s="300"/>
      <c r="F299" s="689"/>
      <c r="I299" s="276"/>
    </row>
    <row r="300" spans="1:9" s="128" customFormat="1" ht="13.5" customHeight="1" x14ac:dyDescent="0.25">
      <c r="A300" s="11" t="s">
        <v>112</v>
      </c>
      <c r="B300" s="11" t="s">
        <v>157</v>
      </c>
      <c r="C300" s="25">
        <f>SUM(C301:C302)</f>
        <v>484840</v>
      </c>
      <c r="D300" s="302"/>
      <c r="E300" s="300"/>
      <c r="F300" s="689"/>
      <c r="I300" s="276"/>
    </row>
    <row r="301" spans="1:9" s="128" customFormat="1" ht="13.5" customHeight="1" x14ac:dyDescent="0.25">
      <c r="A301" s="12" t="s">
        <v>138</v>
      </c>
      <c r="B301" s="59" t="s">
        <v>878</v>
      </c>
      <c r="C301" s="24">
        <v>15400</v>
      </c>
      <c r="D301" s="302"/>
      <c r="E301" s="300"/>
      <c r="F301" s="689"/>
      <c r="I301" s="276"/>
    </row>
    <row r="302" spans="1:9" s="128" customFormat="1" ht="13.5" customHeight="1" x14ac:dyDescent="0.25">
      <c r="A302" s="12" t="s">
        <v>49</v>
      </c>
      <c r="B302" s="24" t="s">
        <v>87</v>
      </c>
      <c r="C302" s="24">
        <v>469440</v>
      </c>
      <c r="D302" s="302"/>
      <c r="E302" s="300"/>
      <c r="F302" s="689"/>
      <c r="I302" s="276"/>
    </row>
    <row r="303" spans="1:9" s="128" customFormat="1" ht="13.5" customHeight="1" x14ac:dyDescent="0.25">
      <c r="A303" s="11" t="s">
        <v>113</v>
      </c>
      <c r="B303" s="31" t="s">
        <v>114</v>
      </c>
      <c r="C303" s="31">
        <f>SUM(C304:C304)</f>
        <v>93450</v>
      </c>
      <c r="D303" s="302"/>
      <c r="E303" s="300"/>
      <c r="F303" s="689"/>
      <c r="I303" s="276"/>
    </row>
    <row r="304" spans="1:9" s="128" customFormat="1" ht="13.5" customHeight="1" x14ac:dyDescent="0.25">
      <c r="A304" s="12" t="s">
        <v>88</v>
      </c>
      <c r="B304" s="24" t="s">
        <v>64</v>
      </c>
      <c r="C304" s="24">
        <v>93450</v>
      </c>
      <c r="D304" s="302"/>
      <c r="E304" s="300"/>
      <c r="F304" s="689"/>
      <c r="I304" s="276"/>
    </row>
    <row r="305" spans="1:9" s="128" customFormat="1" ht="13.5" customHeight="1" x14ac:dyDescent="0.25">
      <c r="A305" s="11" t="s">
        <v>115</v>
      </c>
      <c r="B305" s="31" t="s">
        <v>8</v>
      </c>
      <c r="C305" s="31">
        <f>SUM(C306:C308)</f>
        <v>269240</v>
      </c>
      <c r="D305" s="302"/>
      <c r="E305" s="300"/>
      <c r="F305" s="689"/>
      <c r="I305" s="276"/>
    </row>
    <row r="306" spans="1:9" s="128" customFormat="1" ht="13.5" customHeight="1" x14ac:dyDescent="0.25">
      <c r="A306" s="12" t="s">
        <v>92</v>
      </c>
      <c r="B306" s="24" t="s">
        <v>8</v>
      </c>
      <c r="C306" s="24">
        <v>246190</v>
      </c>
      <c r="D306" s="302"/>
      <c r="E306" s="300"/>
      <c r="F306" s="689"/>
      <c r="I306" s="276"/>
    </row>
    <row r="307" spans="1:9" s="128" customFormat="1" ht="13.5" customHeight="1" x14ac:dyDescent="0.25">
      <c r="A307" s="12" t="s">
        <v>181</v>
      </c>
      <c r="B307" s="24" t="s">
        <v>50</v>
      </c>
      <c r="C307" s="24">
        <v>4450</v>
      </c>
      <c r="D307" s="302"/>
      <c r="E307" s="300"/>
      <c r="F307" s="689"/>
      <c r="I307" s="276"/>
    </row>
    <row r="308" spans="1:9" s="128" customFormat="1" ht="13.5" customHeight="1" x14ac:dyDescent="0.25">
      <c r="A308" s="12" t="s">
        <v>90</v>
      </c>
      <c r="B308" s="24" t="s">
        <v>7</v>
      </c>
      <c r="C308" s="24">
        <v>18600</v>
      </c>
      <c r="D308" s="302"/>
      <c r="E308" s="300"/>
      <c r="F308" s="689"/>
      <c r="I308" s="276"/>
    </row>
    <row r="309" spans="1:9" s="128" customFormat="1" ht="13.5" customHeight="1" thickBot="1" x14ac:dyDescent="0.3">
      <c r="A309" s="12"/>
      <c r="B309" s="24"/>
      <c r="C309" s="24"/>
      <c r="D309" s="302"/>
      <c r="E309" s="300"/>
      <c r="F309" s="689"/>
      <c r="I309" s="276"/>
    </row>
    <row r="310" spans="1:9" s="128" customFormat="1" ht="13.5" customHeight="1" thickBot="1" x14ac:dyDescent="0.3">
      <c r="A310" s="1100" t="s">
        <v>4</v>
      </c>
      <c r="B310" s="1101"/>
      <c r="C310" s="670">
        <f>+C311+C313</f>
        <v>32000</v>
      </c>
      <c r="D310" s="302"/>
      <c r="E310" s="300"/>
      <c r="F310" s="689"/>
      <c r="I310" s="276"/>
    </row>
    <row r="311" spans="1:9" s="128" customFormat="1" ht="13.5" customHeight="1" x14ac:dyDescent="0.25">
      <c r="A311" s="265" t="s">
        <v>116</v>
      </c>
      <c r="B311" s="564" t="s">
        <v>117</v>
      </c>
      <c r="C311" s="290">
        <f>SUM(C312)</f>
        <v>18500</v>
      </c>
      <c r="D311" s="302"/>
      <c r="E311" s="300"/>
      <c r="F311" s="689"/>
      <c r="I311" s="276"/>
    </row>
    <row r="312" spans="1:9" s="128" customFormat="1" ht="13.5" customHeight="1" x14ac:dyDescent="0.25">
      <c r="A312" s="72" t="s">
        <v>91</v>
      </c>
      <c r="B312" s="72" t="s">
        <v>139</v>
      </c>
      <c r="C312" s="24">
        <v>18500</v>
      </c>
      <c r="D312" s="302"/>
      <c r="E312" s="300"/>
      <c r="F312" s="689"/>
      <c r="I312" s="276"/>
    </row>
    <row r="313" spans="1:9" s="128" customFormat="1" ht="13.5" customHeight="1" x14ac:dyDescent="0.25">
      <c r="A313" s="262" t="s">
        <v>166</v>
      </c>
      <c r="B313" s="11" t="s">
        <v>134</v>
      </c>
      <c r="C313" s="31">
        <f>SUM(C314)</f>
        <v>13500</v>
      </c>
      <c r="D313" s="302"/>
      <c r="E313" s="300"/>
      <c r="F313" s="689"/>
      <c r="I313" s="276"/>
    </row>
    <row r="314" spans="1:9" s="128" customFormat="1" ht="13.5" customHeight="1" x14ac:dyDescent="0.25">
      <c r="A314" s="273" t="s">
        <v>167</v>
      </c>
      <c r="B314" s="12" t="s">
        <v>51</v>
      </c>
      <c r="C314" s="303">
        <v>13500</v>
      </c>
      <c r="D314" s="302"/>
      <c r="E314" s="300"/>
      <c r="F314" s="689"/>
      <c r="I314" s="276"/>
    </row>
    <row r="315" spans="1:9" s="128" customFormat="1" ht="13.5" customHeight="1" x14ac:dyDescent="0.25">
      <c r="A315" s="72"/>
      <c r="B315" s="72"/>
      <c r="C315" s="23"/>
      <c r="D315" s="23"/>
      <c r="E315" s="23"/>
      <c r="F315" s="689"/>
      <c r="I315" s="276"/>
    </row>
    <row r="316" spans="1:9" s="128" customFormat="1" ht="13.5" customHeight="1" thickBot="1" x14ac:dyDescent="0.3">
      <c r="A316" s="72"/>
      <c r="B316" s="72"/>
      <c r="C316" s="23"/>
      <c r="D316" s="23"/>
      <c r="E316" s="23"/>
      <c r="F316" s="689"/>
      <c r="I316" s="276"/>
    </row>
    <row r="317" spans="1:9" s="128" customFormat="1" ht="13.5" customHeight="1" x14ac:dyDescent="0.25">
      <c r="A317" s="1117" t="s">
        <v>977</v>
      </c>
      <c r="B317" s="1118"/>
      <c r="C317" s="1119"/>
      <c r="D317" s="691" t="s">
        <v>6</v>
      </c>
      <c r="E317" s="911">
        <v>1307</v>
      </c>
      <c r="F317" s="689"/>
      <c r="I317" s="276"/>
    </row>
    <row r="318" spans="1:9" s="128" customFormat="1" ht="13.5" customHeight="1" thickBot="1" x14ac:dyDescent="0.3">
      <c r="A318" s="1120"/>
      <c r="B318" s="1121"/>
      <c r="C318" s="1122"/>
      <c r="D318" s="767"/>
      <c r="E318" s="768"/>
      <c r="F318" s="689"/>
      <c r="I318" s="276"/>
    </row>
    <row r="319" spans="1:9" s="128" customFormat="1" ht="13.5" customHeight="1" x14ac:dyDescent="0.25">
      <c r="A319" s="1165" t="s">
        <v>979</v>
      </c>
      <c r="B319" s="1166"/>
      <c r="C319" s="1166"/>
      <c r="D319" s="1166"/>
      <c r="E319" s="1167"/>
      <c r="F319" s="689"/>
      <c r="I319" s="276"/>
    </row>
    <row r="320" spans="1:9" s="128" customFormat="1" ht="13.5" customHeight="1" x14ac:dyDescent="0.25">
      <c r="A320" s="1168"/>
      <c r="B320" s="1169"/>
      <c r="C320" s="1169"/>
      <c r="D320" s="1169"/>
      <c r="E320" s="1170"/>
      <c r="F320" s="689"/>
      <c r="I320" s="276"/>
    </row>
    <row r="321" spans="1:9" s="128" customFormat="1" ht="13.5" customHeight="1" thickBot="1" x14ac:dyDescent="0.3">
      <c r="A321" s="1171"/>
      <c r="B321" s="1172"/>
      <c r="C321" s="1172"/>
      <c r="D321" s="1172"/>
      <c r="E321" s="1173"/>
      <c r="F321" s="689"/>
      <c r="I321" s="276"/>
    </row>
    <row r="322" spans="1:9" s="128" customFormat="1" ht="13.5" customHeight="1" x14ac:dyDescent="0.25">
      <c r="A322" s="268" t="s">
        <v>1029</v>
      </c>
      <c r="B322" s="53"/>
      <c r="C322" s="303"/>
      <c r="D322" s="277"/>
      <c r="E322" s="305"/>
      <c r="F322" s="689"/>
      <c r="I322" s="276"/>
    </row>
    <row r="323" spans="1:9" s="128" customFormat="1" ht="13.5" customHeight="1" x14ac:dyDescent="0.25">
      <c r="A323" s="268" t="s">
        <v>978</v>
      </c>
      <c r="B323" s="53"/>
      <c r="C323" s="303"/>
      <c r="D323" s="277"/>
      <c r="E323" s="305"/>
      <c r="F323" s="689"/>
      <c r="I323" s="276"/>
    </row>
    <row r="324" spans="1:9" s="128" customFormat="1" ht="13.5" customHeight="1" x14ac:dyDescent="0.25">
      <c r="A324" s="268" t="s">
        <v>1040</v>
      </c>
      <c r="B324" s="53"/>
      <c r="C324" s="303"/>
      <c r="D324" s="277"/>
      <c r="E324" s="305"/>
      <c r="F324" s="689"/>
      <c r="I324" s="276"/>
    </row>
    <row r="325" spans="1:9" s="128" customFormat="1" ht="13.5" customHeight="1" thickBot="1" x14ac:dyDescent="0.3">
      <c r="A325" s="268" t="s">
        <v>11</v>
      </c>
      <c r="B325" s="53"/>
      <c r="C325" s="303"/>
      <c r="D325" s="277"/>
      <c r="E325" s="305"/>
      <c r="F325" s="689"/>
      <c r="I325" s="276"/>
    </row>
    <row r="326" spans="1:9" s="128" customFormat="1" ht="13.5" customHeight="1" thickBot="1" x14ac:dyDescent="0.3">
      <c r="A326" s="762" t="s">
        <v>0</v>
      </c>
      <c r="B326" s="763"/>
      <c r="C326" s="764"/>
      <c r="D326" s="765"/>
      <c r="E326" s="766">
        <f>(C328+C339+C350)</f>
        <v>2074680</v>
      </c>
      <c r="F326" s="689"/>
      <c r="I326" s="276"/>
    </row>
    <row r="327" spans="1:9" s="128" customFormat="1" ht="13.5" customHeight="1" thickBot="1" x14ac:dyDescent="0.3">
      <c r="A327" s="336"/>
      <c r="B327" s="336"/>
      <c r="C327" s="300"/>
      <c r="D327" s="302"/>
      <c r="E327" s="300"/>
      <c r="F327" s="689"/>
      <c r="I327" s="276"/>
    </row>
    <row r="328" spans="1:9" s="128" customFormat="1" ht="13.5" customHeight="1" thickBot="1" x14ac:dyDescent="0.3">
      <c r="A328" s="1104" t="s">
        <v>2</v>
      </c>
      <c r="B328" s="1105"/>
      <c r="C328" s="667">
        <f>(C329+C331+C333+C335)</f>
        <v>236570</v>
      </c>
      <c r="D328" s="302"/>
      <c r="E328" s="300"/>
      <c r="F328" s="689"/>
      <c r="I328" s="276"/>
    </row>
    <row r="329" spans="1:9" s="128" customFormat="1" ht="13.5" customHeight="1" x14ac:dyDescent="0.25">
      <c r="A329" s="11" t="s">
        <v>103</v>
      </c>
      <c r="B329" s="564" t="s">
        <v>104</v>
      </c>
      <c r="C329" s="32">
        <f>SUM(C330:C330)</f>
        <v>24380</v>
      </c>
      <c r="D329" s="302"/>
      <c r="E329" s="300"/>
      <c r="F329" s="689"/>
      <c r="I329" s="276"/>
    </row>
    <row r="330" spans="1:9" s="128" customFormat="1" ht="13.5" customHeight="1" x14ac:dyDescent="0.25">
      <c r="A330" s="12" t="s">
        <v>46</v>
      </c>
      <c r="B330" s="72" t="s">
        <v>45</v>
      </c>
      <c r="C330" s="22">
        <v>24380</v>
      </c>
      <c r="D330" s="302"/>
      <c r="E330" s="300"/>
      <c r="F330" s="689"/>
      <c r="I330" s="276"/>
    </row>
    <row r="331" spans="1:9" s="128" customFormat="1" ht="13.5" customHeight="1" x14ac:dyDescent="0.25">
      <c r="A331" s="11" t="s">
        <v>107</v>
      </c>
      <c r="B331" s="265" t="s">
        <v>108</v>
      </c>
      <c r="C331" s="31">
        <f>SUM(C332)</f>
        <v>11270</v>
      </c>
      <c r="D331" s="302"/>
      <c r="E331" s="300"/>
      <c r="F331" s="689"/>
      <c r="I331" s="276"/>
    </row>
    <row r="332" spans="1:9" s="128" customFormat="1" ht="13.5" customHeight="1" x14ac:dyDescent="0.25">
      <c r="A332" s="12" t="s">
        <v>47</v>
      </c>
      <c r="B332" s="24" t="s">
        <v>48</v>
      </c>
      <c r="C332" s="24">
        <v>11270</v>
      </c>
      <c r="D332" s="302"/>
      <c r="E332" s="300"/>
      <c r="F332" s="689"/>
      <c r="I332" s="276"/>
    </row>
    <row r="333" spans="1:9" s="128" customFormat="1" ht="13.5" customHeight="1" x14ac:dyDescent="0.25">
      <c r="A333" s="265" t="s">
        <v>124</v>
      </c>
      <c r="B333" s="25" t="s">
        <v>123</v>
      </c>
      <c r="C333" s="31">
        <f>SUM(C334:C334)</f>
        <v>45850</v>
      </c>
      <c r="D333" s="302"/>
      <c r="E333" s="300"/>
      <c r="F333" s="689"/>
      <c r="I333" s="276"/>
    </row>
    <row r="334" spans="1:9" s="128" customFormat="1" ht="13.5" customHeight="1" x14ac:dyDescent="0.25">
      <c r="A334" s="72" t="s">
        <v>93</v>
      </c>
      <c r="B334" s="23" t="s">
        <v>72</v>
      </c>
      <c r="C334" s="24">
        <v>45850</v>
      </c>
      <c r="D334" s="302"/>
      <c r="E334" s="300"/>
      <c r="F334" s="689"/>
      <c r="I334" s="276"/>
    </row>
    <row r="335" spans="1:9" s="128" customFormat="1" ht="13.5" customHeight="1" x14ac:dyDescent="0.25">
      <c r="A335" s="265" t="s">
        <v>297</v>
      </c>
      <c r="B335" s="25" t="s">
        <v>133</v>
      </c>
      <c r="C335" s="31">
        <f>SUM(C336:C337)</f>
        <v>155070</v>
      </c>
      <c r="D335" s="302"/>
      <c r="E335" s="300"/>
      <c r="F335" s="689"/>
      <c r="I335" s="276"/>
    </row>
    <row r="336" spans="1:9" s="128" customFormat="1" ht="13.5" customHeight="1" x14ac:dyDescent="0.25">
      <c r="A336" s="12" t="s">
        <v>152</v>
      </c>
      <c r="B336" s="24" t="s">
        <v>65</v>
      </c>
      <c r="C336" s="24">
        <v>79380</v>
      </c>
      <c r="D336" s="302"/>
      <c r="E336" s="300"/>
      <c r="F336" s="689"/>
      <c r="I336" s="276"/>
    </row>
    <row r="337" spans="1:9" s="128" customFormat="1" ht="13.5" customHeight="1" x14ac:dyDescent="0.25">
      <c r="A337" s="72" t="s">
        <v>155</v>
      </c>
      <c r="B337" s="23" t="s">
        <v>133</v>
      </c>
      <c r="C337" s="24">
        <v>75690</v>
      </c>
      <c r="D337" s="302"/>
      <c r="E337" s="300"/>
      <c r="F337" s="689"/>
      <c r="I337" s="276"/>
    </row>
    <row r="338" spans="1:9" s="128" customFormat="1" ht="13.5" customHeight="1" thickBot="1" x14ac:dyDescent="0.3">
      <c r="A338" s="72"/>
      <c r="B338" s="23"/>
      <c r="C338" s="24"/>
      <c r="D338" s="302"/>
      <c r="E338" s="300"/>
      <c r="F338" s="689"/>
      <c r="I338" s="276"/>
    </row>
    <row r="339" spans="1:9" s="128" customFormat="1" ht="13.5" customHeight="1" thickBot="1" x14ac:dyDescent="0.3">
      <c r="A339" s="1096" t="s">
        <v>3</v>
      </c>
      <c r="B339" s="1097"/>
      <c r="C339" s="668">
        <f>(C343+C340+C345)</f>
        <v>1756110</v>
      </c>
      <c r="D339" s="302"/>
      <c r="E339" s="300"/>
      <c r="F339" s="689"/>
      <c r="I339" s="276"/>
    </row>
    <row r="340" spans="1:9" s="128" customFormat="1" ht="13.5" customHeight="1" x14ac:dyDescent="0.25">
      <c r="A340" s="11" t="s">
        <v>514</v>
      </c>
      <c r="B340" s="31" t="s">
        <v>121</v>
      </c>
      <c r="C340" s="31">
        <f>SUM(C341:C342)</f>
        <v>694460</v>
      </c>
      <c r="D340" s="302"/>
      <c r="E340" s="300"/>
      <c r="F340" s="689"/>
      <c r="I340" s="276"/>
    </row>
    <row r="341" spans="1:9" s="128" customFormat="1" ht="13.5" customHeight="1" x14ac:dyDescent="0.25">
      <c r="A341" s="12" t="s">
        <v>246</v>
      </c>
      <c r="B341" s="24" t="s">
        <v>247</v>
      </c>
      <c r="C341" s="24">
        <v>531180</v>
      </c>
      <c r="D341" s="302"/>
      <c r="E341" s="300"/>
      <c r="F341" s="689"/>
      <c r="I341" s="276"/>
    </row>
    <row r="342" spans="1:9" s="128" customFormat="1" ht="13.5" customHeight="1" x14ac:dyDescent="0.25">
      <c r="A342" s="12" t="s">
        <v>136</v>
      </c>
      <c r="B342" s="24" t="s">
        <v>71</v>
      </c>
      <c r="C342" s="24">
        <v>163280</v>
      </c>
      <c r="D342" s="302"/>
      <c r="E342" s="300"/>
      <c r="F342" s="689"/>
      <c r="I342" s="276"/>
    </row>
    <row r="343" spans="1:9" s="128" customFormat="1" x14ac:dyDescent="0.25">
      <c r="A343" s="11" t="s">
        <v>112</v>
      </c>
      <c r="B343" s="11" t="s">
        <v>157</v>
      </c>
      <c r="C343" s="25">
        <f>SUM(C344:C344)</f>
        <v>235850</v>
      </c>
      <c r="D343" s="302"/>
      <c r="E343" s="300"/>
      <c r="F343" s="689"/>
      <c r="I343" s="276"/>
    </row>
    <row r="344" spans="1:9" s="128" customFormat="1" x14ac:dyDescent="0.25">
      <c r="A344" s="12" t="s">
        <v>49</v>
      </c>
      <c r="B344" s="24" t="s">
        <v>87</v>
      </c>
      <c r="C344" s="24">
        <v>235850</v>
      </c>
      <c r="D344" s="302"/>
      <c r="E344" s="300"/>
      <c r="F344" s="689"/>
      <c r="I344" s="276"/>
    </row>
    <row r="345" spans="1:9" s="128" customFormat="1" ht="13.5" customHeight="1" x14ac:dyDescent="0.25">
      <c r="A345" s="11" t="s">
        <v>115</v>
      </c>
      <c r="B345" s="31" t="s">
        <v>8</v>
      </c>
      <c r="C345" s="31">
        <f>SUM(C346:C348)</f>
        <v>825800</v>
      </c>
      <c r="D345" s="302"/>
      <c r="E345" s="300"/>
      <c r="F345" s="689"/>
      <c r="I345" s="276"/>
    </row>
    <row r="346" spans="1:9" s="128" customFormat="1" ht="13.5" customHeight="1" x14ac:dyDescent="0.25">
      <c r="A346" s="12" t="s">
        <v>92</v>
      </c>
      <c r="B346" s="24" t="s">
        <v>8</v>
      </c>
      <c r="C346" s="24">
        <v>488600</v>
      </c>
      <c r="D346" s="302"/>
      <c r="E346" s="300"/>
      <c r="F346" s="689"/>
      <c r="I346" s="276"/>
    </row>
    <row r="347" spans="1:9" s="128" customFormat="1" ht="13.5" customHeight="1" x14ac:dyDescent="0.25">
      <c r="A347" s="12" t="s">
        <v>181</v>
      </c>
      <c r="B347" s="24" t="s">
        <v>50</v>
      </c>
      <c r="C347" s="24">
        <v>6700</v>
      </c>
      <c r="D347" s="302"/>
      <c r="E347" s="300"/>
      <c r="F347" s="689"/>
      <c r="I347" s="276"/>
    </row>
    <row r="348" spans="1:9" s="128" customFormat="1" ht="13.5" customHeight="1" x14ac:dyDescent="0.25">
      <c r="A348" s="12" t="s">
        <v>90</v>
      </c>
      <c r="B348" s="24" t="s">
        <v>7</v>
      </c>
      <c r="C348" s="24">
        <v>330500</v>
      </c>
      <c r="D348" s="302"/>
      <c r="E348" s="300"/>
      <c r="F348" s="689"/>
      <c r="I348" s="276"/>
    </row>
    <row r="349" spans="1:9" s="128" customFormat="1" ht="13.5" customHeight="1" thickBot="1" x14ac:dyDescent="0.3">
      <c r="A349" s="12"/>
      <c r="B349" s="24"/>
      <c r="C349" s="24"/>
      <c r="D349" s="302"/>
      <c r="E349" s="300"/>
      <c r="F349" s="689"/>
      <c r="I349" s="276"/>
    </row>
    <row r="350" spans="1:9" s="128" customFormat="1" ht="13.5" customHeight="1" thickBot="1" x14ac:dyDescent="0.3">
      <c r="A350" s="1100" t="s">
        <v>4</v>
      </c>
      <c r="B350" s="1101"/>
      <c r="C350" s="670">
        <f>(C353+C351+C355)</f>
        <v>82000</v>
      </c>
      <c r="D350" s="302"/>
      <c r="E350" s="300"/>
      <c r="F350" s="689"/>
      <c r="I350" s="276"/>
    </row>
    <row r="351" spans="1:9" s="128" customFormat="1" ht="13.5" customHeight="1" x14ac:dyDescent="0.25">
      <c r="A351" s="265" t="s">
        <v>734</v>
      </c>
      <c r="B351" s="265" t="s">
        <v>178</v>
      </c>
      <c r="C351" s="31">
        <f>SUM(C352)</f>
        <v>35000</v>
      </c>
      <c r="D351" s="302"/>
      <c r="E351" s="300"/>
      <c r="F351" s="689"/>
      <c r="I351" s="276"/>
    </row>
    <row r="352" spans="1:9" s="128" customFormat="1" ht="13.5" customHeight="1" x14ac:dyDescent="0.25">
      <c r="A352" s="72" t="s">
        <v>173</v>
      </c>
      <c r="B352" s="72" t="s">
        <v>172</v>
      </c>
      <c r="C352" s="24">
        <v>35000</v>
      </c>
      <c r="D352" s="302"/>
      <c r="E352" s="300"/>
      <c r="F352" s="689"/>
      <c r="I352" s="276"/>
    </row>
    <row r="353" spans="1:9" s="128" customFormat="1" ht="13.5" customHeight="1" x14ac:dyDescent="0.25">
      <c r="A353" s="265" t="s">
        <v>116</v>
      </c>
      <c r="B353" s="564" t="s">
        <v>117</v>
      </c>
      <c r="C353" s="290">
        <f>SUM(C354)</f>
        <v>28500</v>
      </c>
      <c r="D353" s="302"/>
      <c r="E353" s="300"/>
      <c r="F353" s="689"/>
      <c r="I353" s="276"/>
    </row>
    <row r="354" spans="1:9" s="128" customFormat="1" ht="13.5" customHeight="1" x14ac:dyDescent="0.25">
      <c r="A354" s="72" t="s">
        <v>91</v>
      </c>
      <c r="B354" s="72" t="s">
        <v>139</v>
      </c>
      <c r="C354" s="24">
        <v>28500</v>
      </c>
      <c r="D354" s="302"/>
      <c r="E354" s="300"/>
      <c r="F354" s="689"/>
      <c r="I354" s="276"/>
    </row>
    <row r="355" spans="1:9" s="128" customFormat="1" ht="13.5" customHeight="1" x14ac:dyDescent="0.25">
      <c r="A355" s="262" t="s">
        <v>166</v>
      </c>
      <c r="B355" s="11" t="s">
        <v>134</v>
      </c>
      <c r="C355" s="31">
        <f>SUM(C356)</f>
        <v>18500</v>
      </c>
      <c r="D355" s="302"/>
      <c r="E355" s="300"/>
      <c r="F355" s="689"/>
      <c r="I355" s="276"/>
    </row>
    <row r="356" spans="1:9" s="128" customFormat="1" ht="13.5" customHeight="1" x14ac:dyDescent="0.25">
      <c r="A356" s="273" t="s">
        <v>167</v>
      </c>
      <c r="B356" s="12" t="s">
        <v>51</v>
      </c>
      <c r="C356" s="303">
        <v>18500</v>
      </c>
      <c r="D356" s="302"/>
      <c r="E356" s="300"/>
      <c r="F356" s="689"/>
      <c r="I356" s="276"/>
    </row>
    <row r="357" spans="1:9" s="128" customFormat="1" ht="13.5" customHeight="1" x14ac:dyDescent="0.25">
      <c r="A357" s="72"/>
      <c r="B357" s="72"/>
      <c r="C357" s="23"/>
      <c r="D357" s="23"/>
      <c r="E357" s="23"/>
      <c r="F357" s="689"/>
      <c r="I357" s="276"/>
    </row>
    <row r="358" spans="1:9" s="128" customFormat="1" ht="13.5" customHeight="1" thickBot="1" x14ac:dyDescent="0.3">
      <c r="A358" s="72"/>
      <c r="B358" s="72"/>
      <c r="C358" s="23"/>
      <c r="D358" s="23"/>
      <c r="E358" s="23"/>
      <c r="F358" s="689"/>
      <c r="I358" s="276"/>
    </row>
    <row r="359" spans="1:9" s="128" customFormat="1" ht="13.5" customHeight="1" x14ac:dyDescent="0.25">
      <c r="A359" s="1117" t="s">
        <v>980</v>
      </c>
      <c r="B359" s="1118"/>
      <c r="C359" s="1119"/>
      <c r="D359" s="692" t="s">
        <v>6</v>
      </c>
      <c r="E359" s="911">
        <v>1308</v>
      </c>
      <c r="F359" s="942"/>
      <c r="G359" s="304"/>
      <c r="I359" s="276"/>
    </row>
    <row r="360" spans="1:9" s="128" customFormat="1" ht="13.5" customHeight="1" thickBot="1" x14ac:dyDescent="0.3">
      <c r="A360" s="1120"/>
      <c r="B360" s="1121"/>
      <c r="C360" s="1122"/>
      <c r="D360" s="734"/>
      <c r="E360" s="738"/>
      <c r="F360" s="689"/>
      <c r="G360" s="304"/>
      <c r="I360" s="276"/>
    </row>
    <row r="361" spans="1:9" s="128" customFormat="1" ht="13.5" customHeight="1" x14ac:dyDescent="0.25">
      <c r="A361" s="1123" t="s">
        <v>981</v>
      </c>
      <c r="B361" s="1124"/>
      <c r="C361" s="1124"/>
      <c r="D361" s="1124"/>
      <c r="E361" s="1125"/>
      <c r="F361" s="689"/>
      <c r="G361" s="304"/>
      <c r="I361" s="276"/>
    </row>
    <row r="362" spans="1:9" s="128" customFormat="1" ht="13.5" customHeight="1" x14ac:dyDescent="0.25">
      <c r="A362" s="1126"/>
      <c r="B362" s="1127"/>
      <c r="C362" s="1127"/>
      <c r="D362" s="1127"/>
      <c r="E362" s="1128"/>
      <c r="F362" s="689"/>
      <c r="G362" s="304"/>
      <c r="I362" s="276"/>
    </row>
    <row r="363" spans="1:9" s="122" customFormat="1" ht="13.5" customHeight="1" x14ac:dyDescent="0.25">
      <c r="A363" s="1126"/>
      <c r="B363" s="1127"/>
      <c r="C363" s="1127"/>
      <c r="D363" s="1127"/>
      <c r="E363" s="1128"/>
      <c r="F363" s="931"/>
      <c r="G363" s="304"/>
      <c r="I363" s="318"/>
    </row>
    <row r="364" spans="1:9" s="128" customFormat="1" ht="13.5" customHeight="1" x14ac:dyDescent="0.25">
      <c r="A364" s="1126"/>
      <c r="B364" s="1127"/>
      <c r="C364" s="1127"/>
      <c r="D364" s="1127"/>
      <c r="E364" s="1128"/>
      <c r="F364" s="689"/>
      <c r="G364" s="304"/>
      <c r="I364" s="276"/>
    </row>
    <row r="365" spans="1:9" s="122" customFormat="1" ht="13.5" customHeight="1" x14ac:dyDescent="0.25">
      <c r="A365" s="1126"/>
      <c r="B365" s="1127"/>
      <c r="C365" s="1127"/>
      <c r="D365" s="1127"/>
      <c r="E365" s="1128"/>
      <c r="F365" s="931"/>
      <c r="G365" s="304"/>
      <c r="I365" s="318"/>
    </row>
    <row r="366" spans="1:9" s="122" customFormat="1" ht="13.5" customHeight="1" x14ac:dyDescent="0.25">
      <c r="A366" s="1126"/>
      <c r="B366" s="1127"/>
      <c r="C366" s="1127"/>
      <c r="D366" s="1127"/>
      <c r="E366" s="1128"/>
      <c r="F366" s="931"/>
      <c r="G366" s="304"/>
      <c r="I366" s="318"/>
    </row>
    <row r="367" spans="1:9" s="122" customFormat="1" ht="13.5" customHeight="1" x14ac:dyDescent="0.25">
      <c r="A367" s="1126"/>
      <c r="B367" s="1127"/>
      <c r="C367" s="1127"/>
      <c r="D367" s="1127"/>
      <c r="E367" s="1128"/>
      <c r="F367" s="931"/>
      <c r="I367" s="318"/>
    </row>
    <row r="368" spans="1:9" s="122" customFormat="1" ht="13.5" customHeight="1" x14ac:dyDescent="0.25">
      <c r="A368" s="1126"/>
      <c r="B368" s="1127"/>
      <c r="C368" s="1127"/>
      <c r="D368" s="1127"/>
      <c r="E368" s="1128"/>
      <c r="F368" s="931"/>
      <c r="I368" s="318"/>
    </row>
    <row r="369" spans="1:9" s="122" customFormat="1" ht="13.5" customHeight="1" x14ac:dyDescent="0.25">
      <c r="A369" s="1126"/>
      <c r="B369" s="1127"/>
      <c r="C369" s="1127"/>
      <c r="D369" s="1127"/>
      <c r="E369" s="1128"/>
      <c r="F369" s="931"/>
      <c r="I369" s="318"/>
    </row>
    <row r="370" spans="1:9" s="122" customFormat="1" ht="13.5" customHeight="1" x14ac:dyDescent="0.25">
      <c r="A370" s="1126"/>
      <c r="B370" s="1127"/>
      <c r="C370" s="1127"/>
      <c r="D370" s="1127"/>
      <c r="E370" s="1128"/>
      <c r="F370" s="931"/>
      <c r="I370" s="318"/>
    </row>
    <row r="371" spans="1:9" s="122" customFormat="1" ht="13.5" customHeight="1" x14ac:dyDescent="0.25">
      <c r="A371" s="1126"/>
      <c r="B371" s="1127"/>
      <c r="C371" s="1127"/>
      <c r="D371" s="1127"/>
      <c r="E371" s="1128"/>
      <c r="F371" s="931"/>
      <c r="G371" s="304"/>
      <c r="I371" s="318"/>
    </row>
    <row r="372" spans="1:9" s="122" customFormat="1" ht="13.5" customHeight="1" x14ac:dyDescent="0.25">
      <c r="A372" s="1126"/>
      <c r="B372" s="1127"/>
      <c r="C372" s="1127"/>
      <c r="D372" s="1127"/>
      <c r="E372" s="1128"/>
      <c r="F372" s="931"/>
      <c r="G372" s="304"/>
      <c r="I372" s="318"/>
    </row>
    <row r="373" spans="1:9" s="122" customFormat="1" ht="13.5" customHeight="1" x14ac:dyDescent="0.25">
      <c r="A373" s="1126"/>
      <c r="B373" s="1127"/>
      <c r="C373" s="1127"/>
      <c r="D373" s="1127"/>
      <c r="E373" s="1128"/>
      <c r="F373" s="931"/>
      <c r="G373" s="304"/>
      <c r="I373" s="318"/>
    </row>
    <row r="374" spans="1:9" s="122" customFormat="1" ht="5.25" customHeight="1" thickBot="1" x14ac:dyDescent="0.3">
      <c r="A374" s="1129"/>
      <c r="B374" s="1130"/>
      <c r="C374" s="1130"/>
      <c r="D374" s="1130"/>
      <c r="E374" s="1131"/>
      <c r="F374" s="931"/>
      <c r="G374" s="304"/>
      <c r="I374" s="318"/>
    </row>
    <row r="375" spans="1:9" s="128" customFormat="1" ht="13.5" customHeight="1" x14ac:dyDescent="0.25">
      <c r="A375" s="268" t="s">
        <v>1029</v>
      </c>
      <c r="B375" s="53"/>
      <c r="C375" s="24"/>
      <c r="D375" s="24"/>
      <c r="E375" s="320"/>
      <c r="F375" s="689"/>
      <c r="I375" s="276"/>
    </row>
    <row r="376" spans="1:9" s="128" customFormat="1" ht="13.5" customHeight="1" x14ac:dyDescent="0.25">
      <c r="A376" s="268" t="s">
        <v>982</v>
      </c>
      <c r="B376" s="53"/>
      <c r="C376" s="24"/>
      <c r="D376" s="24"/>
      <c r="E376" s="320"/>
      <c r="F376" s="689"/>
      <c r="I376" s="276"/>
    </row>
    <row r="377" spans="1:9" s="128" customFormat="1" ht="13.5" customHeight="1" x14ac:dyDescent="0.25">
      <c r="A377" s="268" t="s">
        <v>1040</v>
      </c>
      <c r="B377" s="53"/>
      <c r="C377" s="24"/>
      <c r="D377" s="24"/>
      <c r="E377" s="320"/>
      <c r="F377" s="689"/>
      <c r="I377" s="276"/>
    </row>
    <row r="378" spans="1:9" s="128" customFormat="1" ht="13.5" customHeight="1" thickBot="1" x14ac:dyDescent="0.3">
      <c r="A378" s="321" t="s">
        <v>11</v>
      </c>
      <c r="B378" s="53"/>
      <c r="C378" s="24"/>
      <c r="D378" s="24"/>
      <c r="E378" s="320"/>
      <c r="F378" s="689"/>
      <c r="I378" s="276"/>
    </row>
    <row r="379" spans="1:9" s="306" customFormat="1" ht="13.5" customHeight="1" thickBot="1" x14ac:dyDescent="0.3">
      <c r="A379" s="762" t="s">
        <v>290</v>
      </c>
      <c r="B379" s="763"/>
      <c r="C379" s="764"/>
      <c r="D379" s="764"/>
      <c r="E379" s="772">
        <f>(C381+C414+C446+C442)</f>
        <v>31824565</v>
      </c>
      <c r="F379" s="689"/>
      <c r="I379" s="307"/>
    </row>
    <row r="380" spans="1:9" s="128" customFormat="1" ht="13.5" customHeight="1" thickBot="1" x14ac:dyDescent="0.3">
      <c r="A380" s="273"/>
      <c r="B380" s="273"/>
      <c r="C380" s="274"/>
      <c r="D380" s="275"/>
      <c r="E380" s="274"/>
      <c r="F380" s="689"/>
      <c r="I380" s="276"/>
    </row>
    <row r="381" spans="1:9" s="128" customFormat="1" ht="13.5" customHeight="1" thickBot="1" x14ac:dyDescent="0.3">
      <c r="A381" s="1104" t="s">
        <v>2</v>
      </c>
      <c r="B381" s="1105"/>
      <c r="C381" s="667">
        <f>C382+C385+C388+C390+C392+C396+C401+C409</f>
        <v>5319255</v>
      </c>
      <c r="D381" s="275"/>
      <c r="F381" s="943"/>
      <c r="G381" s="290"/>
      <c r="H381" s="265"/>
    </row>
    <row r="382" spans="1:9" s="124" customFormat="1" ht="13.5" customHeight="1" x14ac:dyDescent="0.25">
      <c r="A382" s="11" t="s">
        <v>103</v>
      </c>
      <c r="B382" s="564" t="s">
        <v>104</v>
      </c>
      <c r="C382" s="32">
        <f>SUM(C383:C384)</f>
        <v>814310</v>
      </c>
      <c r="D382" s="293"/>
      <c r="F382" s="944"/>
      <c r="G382" s="293"/>
      <c r="H382" s="101"/>
    </row>
    <row r="383" spans="1:9" s="124" customFormat="1" ht="13.5" customHeight="1" x14ac:dyDescent="0.25">
      <c r="A383" s="12" t="s">
        <v>46</v>
      </c>
      <c r="B383" s="72" t="s">
        <v>45</v>
      </c>
      <c r="C383" s="22">
        <v>32060</v>
      </c>
      <c r="D383" s="293"/>
      <c r="F383" s="944"/>
      <c r="G383" s="293"/>
      <c r="H383" s="101"/>
    </row>
    <row r="384" spans="1:9" s="128" customFormat="1" ht="13.5" customHeight="1" x14ac:dyDescent="0.25">
      <c r="A384" s="72" t="s">
        <v>291</v>
      </c>
      <c r="B384" s="12" t="s">
        <v>292</v>
      </c>
      <c r="C384" s="24">
        <v>782250</v>
      </c>
      <c r="D384" s="23"/>
      <c r="F384" s="943"/>
      <c r="G384" s="274"/>
      <c r="H384" s="265"/>
      <c r="I384" s="21"/>
    </row>
    <row r="385" spans="1:9" s="72" customFormat="1" ht="13.5" customHeight="1" x14ac:dyDescent="0.25">
      <c r="A385" s="11" t="s">
        <v>199</v>
      </c>
      <c r="B385" s="559" t="s">
        <v>198</v>
      </c>
      <c r="C385" s="31">
        <f>SUM(C386:C387)</f>
        <v>88925</v>
      </c>
      <c r="F385" s="593"/>
      <c r="G385" s="78"/>
      <c r="H385" s="25"/>
      <c r="I385" s="282"/>
    </row>
    <row r="386" spans="1:9" s="72" customFormat="1" ht="13.5" customHeight="1" x14ac:dyDescent="0.25">
      <c r="A386" s="12" t="s">
        <v>227</v>
      </c>
      <c r="B386" s="43" t="s">
        <v>226</v>
      </c>
      <c r="C386" s="24">
        <v>39475</v>
      </c>
      <c r="F386" s="593"/>
      <c r="H386" s="25"/>
      <c r="I386" s="282"/>
    </row>
    <row r="387" spans="1:9" s="72" customFormat="1" ht="13.5" customHeight="1" x14ac:dyDescent="0.25">
      <c r="A387" s="12" t="s">
        <v>218</v>
      </c>
      <c r="B387" s="43" t="s">
        <v>217</v>
      </c>
      <c r="C387" s="24">
        <v>49450</v>
      </c>
      <c r="F387" s="593"/>
      <c r="G387" s="79"/>
      <c r="H387" s="25"/>
      <c r="I387" s="282"/>
    </row>
    <row r="388" spans="1:9" s="128" customFormat="1" ht="13.5" customHeight="1" x14ac:dyDescent="0.25">
      <c r="A388" s="11" t="s">
        <v>105</v>
      </c>
      <c r="B388" s="265" t="s">
        <v>106</v>
      </c>
      <c r="C388" s="31">
        <f>SUM(C389)</f>
        <v>125900</v>
      </c>
      <c r="F388" s="689"/>
      <c r="G388" s="23"/>
      <c r="H388" s="274"/>
      <c r="I388" s="276"/>
    </row>
    <row r="389" spans="1:9" s="12" customFormat="1" ht="13.5" customHeight="1" x14ac:dyDescent="0.25">
      <c r="A389" s="12" t="s">
        <v>86</v>
      </c>
      <c r="B389" s="72" t="s">
        <v>66</v>
      </c>
      <c r="C389" s="24">
        <v>125900</v>
      </c>
      <c r="F389" s="936"/>
      <c r="G389" s="22"/>
      <c r="H389" s="31"/>
      <c r="I389" s="296"/>
    </row>
    <row r="390" spans="1:9" s="12" customFormat="1" ht="13.5" customHeight="1" x14ac:dyDescent="0.25">
      <c r="A390" s="11" t="s">
        <v>107</v>
      </c>
      <c r="B390" s="265" t="s">
        <v>108</v>
      </c>
      <c r="C390" s="31">
        <f>SUM(C391)</f>
        <v>79800</v>
      </c>
      <c r="F390" s="936"/>
      <c r="G390" s="22"/>
      <c r="H390" s="31"/>
      <c r="I390" s="296"/>
    </row>
    <row r="391" spans="1:9" s="72" customFormat="1" ht="13.5" customHeight="1" x14ac:dyDescent="0.25">
      <c r="A391" s="12" t="s">
        <v>47</v>
      </c>
      <c r="B391" s="24" t="s">
        <v>48</v>
      </c>
      <c r="C391" s="24">
        <v>79800</v>
      </c>
      <c r="F391" s="593"/>
      <c r="G391" s="78"/>
      <c r="H391" s="25"/>
      <c r="I391" s="282"/>
    </row>
    <row r="392" spans="1:9" s="72" customFormat="1" ht="13.5" customHeight="1" x14ac:dyDescent="0.25">
      <c r="A392" s="11" t="s">
        <v>195</v>
      </c>
      <c r="B392" s="25" t="s">
        <v>194</v>
      </c>
      <c r="C392" s="31">
        <f>SUM(C393:C395)</f>
        <v>3140070</v>
      </c>
      <c r="F392" s="593"/>
      <c r="G392" s="78"/>
      <c r="H392" s="25"/>
      <c r="I392" s="282"/>
    </row>
    <row r="393" spans="1:9" s="72" customFormat="1" ht="13.5" customHeight="1" x14ac:dyDescent="0.25">
      <c r="A393" s="72" t="s">
        <v>193</v>
      </c>
      <c r="B393" s="72" t="s">
        <v>215</v>
      </c>
      <c r="C393" s="24">
        <v>2780640</v>
      </c>
      <c r="F393" s="593"/>
      <c r="G393" s="78"/>
      <c r="H393" s="25"/>
      <c r="I393" s="282"/>
    </row>
    <row r="394" spans="1:9" s="128" customFormat="1" ht="13.5" customHeight="1" x14ac:dyDescent="0.25">
      <c r="A394" s="72" t="s">
        <v>293</v>
      </c>
      <c r="B394" s="72" t="s">
        <v>294</v>
      </c>
      <c r="C394" s="24">
        <v>342580</v>
      </c>
      <c r="F394" s="689"/>
      <c r="G394" s="25"/>
      <c r="H394" s="274"/>
      <c r="I394" s="276"/>
    </row>
    <row r="395" spans="1:9" s="128" customFormat="1" ht="13.5" customHeight="1" x14ac:dyDescent="0.25">
      <c r="A395" s="72" t="s">
        <v>295</v>
      </c>
      <c r="B395" s="72" t="s">
        <v>296</v>
      </c>
      <c r="C395" s="24">
        <v>16850</v>
      </c>
      <c r="F395" s="689"/>
      <c r="G395" s="25"/>
      <c r="H395" s="274"/>
      <c r="I395" s="276"/>
    </row>
    <row r="396" spans="1:9" s="130" customFormat="1" ht="12.75" customHeight="1" x14ac:dyDescent="0.25">
      <c r="A396" s="265" t="s">
        <v>119</v>
      </c>
      <c r="B396" s="265" t="s">
        <v>109</v>
      </c>
      <c r="C396" s="31">
        <f>SUM(C397:C400)</f>
        <v>134340</v>
      </c>
      <c r="D396" s="22"/>
      <c r="E396" s="25"/>
      <c r="F396" s="598"/>
      <c r="I396" s="282"/>
    </row>
    <row r="397" spans="1:9" s="12" customFormat="1" ht="13.5" customHeight="1" x14ac:dyDescent="0.25">
      <c r="A397" s="12" t="s">
        <v>190</v>
      </c>
      <c r="B397" s="24" t="s">
        <v>263</v>
      </c>
      <c r="C397" s="24">
        <v>16570</v>
      </c>
      <c r="D397" s="22"/>
      <c r="E397" s="31"/>
      <c r="F397" s="936"/>
      <c r="G397" s="24"/>
      <c r="I397" s="296"/>
    </row>
    <row r="398" spans="1:9" s="5" customFormat="1" ht="13" x14ac:dyDescent="0.25">
      <c r="A398" s="72" t="s">
        <v>188</v>
      </c>
      <c r="B398" s="72" t="s">
        <v>187</v>
      </c>
      <c r="C398" s="24">
        <v>16520</v>
      </c>
      <c r="E398" s="21"/>
      <c r="F398" s="598"/>
      <c r="G398" s="21"/>
      <c r="I398" s="297"/>
    </row>
    <row r="399" spans="1:9" s="5" customFormat="1" ht="13" x14ac:dyDescent="0.25">
      <c r="A399" s="72" t="s">
        <v>212</v>
      </c>
      <c r="B399" s="72" t="s">
        <v>211</v>
      </c>
      <c r="C399" s="24">
        <v>84750</v>
      </c>
      <c r="D399" s="21"/>
      <c r="E399" s="21"/>
      <c r="F399" s="598"/>
      <c r="I399" s="297"/>
    </row>
    <row r="400" spans="1:9" s="72" customFormat="1" ht="13.5" customHeight="1" x14ac:dyDescent="0.25">
      <c r="A400" s="72" t="s">
        <v>186</v>
      </c>
      <c r="B400" s="72" t="s">
        <v>264</v>
      </c>
      <c r="C400" s="24">
        <v>16500</v>
      </c>
      <c r="E400" s="25"/>
      <c r="F400" s="593"/>
      <c r="G400" s="24"/>
      <c r="H400" s="12"/>
      <c r="I400" s="282"/>
    </row>
    <row r="401" spans="1:10" s="12" customFormat="1" ht="13.5" customHeight="1" x14ac:dyDescent="0.25">
      <c r="A401" s="265" t="s">
        <v>124</v>
      </c>
      <c r="B401" s="25" t="s">
        <v>123</v>
      </c>
      <c r="C401" s="31">
        <f>SUM(C402:C408)</f>
        <v>802560</v>
      </c>
      <c r="D401" s="22"/>
      <c r="E401" s="31"/>
      <c r="F401" s="936"/>
      <c r="G401" s="24"/>
      <c r="I401" s="296"/>
    </row>
    <row r="402" spans="1:10" s="12" customFormat="1" ht="13.5" customHeight="1" x14ac:dyDescent="0.25">
      <c r="A402" s="72" t="s">
        <v>230</v>
      </c>
      <c r="B402" s="23" t="s">
        <v>229</v>
      </c>
      <c r="C402" s="24">
        <v>10850</v>
      </c>
      <c r="D402" s="22"/>
      <c r="E402" s="31"/>
      <c r="F402" s="936"/>
      <c r="G402" s="24"/>
      <c r="I402" s="296"/>
    </row>
    <row r="403" spans="1:10" s="12" customFormat="1" ht="13.5" customHeight="1" x14ac:dyDescent="0.25">
      <c r="A403" s="12" t="s">
        <v>265</v>
      </c>
      <c r="B403" s="24" t="s">
        <v>266</v>
      </c>
      <c r="C403" s="24">
        <v>85600</v>
      </c>
      <c r="D403" s="96"/>
      <c r="E403" s="31"/>
      <c r="F403" s="936"/>
      <c r="G403" s="21"/>
      <c r="I403" s="296"/>
    </row>
    <row r="404" spans="1:10" s="12" customFormat="1" ht="13.5" customHeight="1" x14ac:dyDescent="0.25">
      <c r="A404" s="12" t="s">
        <v>242</v>
      </c>
      <c r="B404" s="24" t="s">
        <v>243</v>
      </c>
      <c r="C404" s="24">
        <v>90160</v>
      </c>
      <c r="E404" s="31"/>
      <c r="F404" s="936"/>
      <c r="G404" s="79"/>
      <c r="I404" s="296"/>
    </row>
    <row r="405" spans="1:10" s="12" customFormat="1" ht="13.5" customHeight="1" x14ac:dyDescent="0.25">
      <c r="A405" s="72" t="s">
        <v>267</v>
      </c>
      <c r="B405" s="12" t="s">
        <v>268</v>
      </c>
      <c r="C405" s="24">
        <v>345000</v>
      </c>
      <c r="D405" s="96"/>
      <c r="E405" s="31"/>
      <c r="F405" s="936"/>
      <c r="G405" s="24"/>
      <c r="I405" s="296"/>
    </row>
    <row r="406" spans="1:10" s="5" customFormat="1" ht="13" x14ac:dyDescent="0.25">
      <c r="A406" s="72" t="s">
        <v>93</v>
      </c>
      <c r="B406" s="23" t="s">
        <v>72</v>
      </c>
      <c r="C406" s="24">
        <v>180800</v>
      </c>
      <c r="D406" s="21"/>
      <c r="E406" s="21"/>
      <c r="F406" s="598"/>
      <c r="I406" s="297"/>
    </row>
    <row r="407" spans="1:10" s="5" customFormat="1" ht="13" x14ac:dyDescent="0.25">
      <c r="A407" s="72" t="s">
        <v>610</v>
      </c>
      <c r="B407" s="43" t="s">
        <v>611</v>
      </c>
      <c r="C407" s="24">
        <v>23450</v>
      </c>
      <c r="D407" s="21"/>
      <c r="E407" s="21"/>
      <c r="F407" s="598"/>
      <c r="I407" s="297"/>
    </row>
    <row r="408" spans="1:10" s="128" customFormat="1" ht="13.5" customHeight="1" x14ac:dyDescent="0.25">
      <c r="A408" s="12" t="s">
        <v>616</v>
      </c>
      <c r="B408" s="43" t="s">
        <v>607</v>
      </c>
      <c r="C408" s="24">
        <v>66700</v>
      </c>
      <c r="D408" s="31"/>
      <c r="E408" s="274"/>
      <c r="F408" s="689"/>
      <c r="G408" s="21"/>
      <c r="I408" s="276"/>
    </row>
    <row r="409" spans="1:10" s="128" customFormat="1" ht="13.5" customHeight="1" x14ac:dyDescent="0.25">
      <c r="A409" s="265" t="s">
        <v>297</v>
      </c>
      <c r="B409" s="25" t="s">
        <v>133</v>
      </c>
      <c r="C409" s="31">
        <f>SUM(C410:C412)</f>
        <v>133350</v>
      </c>
      <c r="D409" s="25"/>
      <c r="E409" s="274"/>
      <c r="F409" s="689"/>
      <c r="G409" s="21"/>
      <c r="I409" s="276"/>
    </row>
    <row r="410" spans="1:10" s="72" customFormat="1" ht="13.5" customHeight="1" x14ac:dyDescent="0.25">
      <c r="A410" s="12" t="s">
        <v>152</v>
      </c>
      <c r="B410" s="24" t="s">
        <v>65</v>
      </c>
      <c r="C410" s="24">
        <v>61500</v>
      </c>
      <c r="D410" s="78"/>
      <c r="E410" s="25"/>
      <c r="F410" s="593"/>
      <c r="G410" s="21"/>
      <c r="H410" s="12"/>
      <c r="I410" s="282"/>
    </row>
    <row r="411" spans="1:10" s="291" customFormat="1" ht="13.5" customHeight="1" x14ac:dyDescent="0.25">
      <c r="A411" s="72" t="s">
        <v>155</v>
      </c>
      <c r="B411" s="23" t="s">
        <v>133</v>
      </c>
      <c r="C411" s="24">
        <v>16850</v>
      </c>
      <c r="D411" s="289"/>
      <c r="E411" s="290"/>
      <c r="F411" s="689"/>
      <c r="I411" s="292"/>
    </row>
    <row r="412" spans="1:10" s="66" customFormat="1" ht="13" x14ac:dyDescent="0.3">
      <c r="A412" s="72" t="s">
        <v>699</v>
      </c>
      <c r="B412" s="43" t="s">
        <v>698</v>
      </c>
      <c r="C412" s="60">
        <v>55000</v>
      </c>
      <c r="D412" s="68"/>
      <c r="E412" s="68"/>
      <c r="F412" s="68"/>
    </row>
    <row r="413" spans="1:10" s="128" customFormat="1" ht="13.5" customHeight="1" thickBot="1" x14ac:dyDescent="0.3">
      <c r="A413" s="72"/>
      <c r="B413" s="72"/>
      <c r="C413" s="23"/>
      <c r="D413" s="25"/>
      <c r="E413" s="274"/>
      <c r="F413" s="689"/>
      <c r="G413" s="122"/>
      <c r="H413" s="322"/>
      <c r="I413" s="276"/>
    </row>
    <row r="414" spans="1:10" s="128" customFormat="1" ht="13.5" customHeight="1" thickBot="1" x14ac:dyDescent="0.3">
      <c r="A414" s="1096" t="s">
        <v>3</v>
      </c>
      <c r="B414" s="1097"/>
      <c r="C414" s="668">
        <f>C415+C419+C425+C428+C431+C434+C436</f>
        <v>25512750</v>
      </c>
      <c r="F414" s="943"/>
      <c r="G414" s="275"/>
      <c r="H414" s="290"/>
      <c r="I414" s="265"/>
      <c r="J414" s="122"/>
    </row>
    <row r="415" spans="1:10" s="124" customFormat="1" ht="13.5" customHeight="1" x14ac:dyDescent="0.25">
      <c r="A415" s="11" t="s">
        <v>110</v>
      </c>
      <c r="B415" s="564" t="s">
        <v>111</v>
      </c>
      <c r="C415" s="335">
        <f>SUM(C416:C418)</f>
        <v>12801230</v>
      </c>
      <c r="F415" s="944"/>
      <c r="G415" s="293"/>
      <c r="H415" s="293"/>
      <c r="I415" s="101"/>
    </row>
    <row r="416" spans="1:10" s="124" customFormat="1" ht="13.5" customHeight="1" x14ac:dyDescent="0.25">
      <c r="A416" s="12" t="s">
        <v>269</v>
      </c>
      <c r="B416" s="43" t="s">
        <v>270</v>
      </c>
      <c r="C416" s="634">
        <v>12581230</v>
      </c>
      <c r="F416" s="944"/>
      <c r="G416" s="293"/>
      <c r="H416" s="293"/>
      <c r="I416" s="101"/>
    </row>
    <row r="417" spans="1:10" s="124" customFormat="1" ht="13.5" customHeight="1" x14ac:dyDescent="0.25">
      <c r="A417" s="12" t="s">
        <v>271</v>
      </c>
      <c r="B417" s="43" t="s">
        <v>272</v>
      </c>
      <c r="C417" s="634">
        <v>100000</v>
      </c>
      <c r="F417" s="944"/>
      <c r="G417" s="452"/>
      <c r="H417" s="293"/>
      <c r="I417" s="101"/>
    </row>
    <row r="418" spans="1:10" s="72" customFormat="1" ht="13.5" customHeight="1" x14ac:dyDescent="0.25">
      <c r="A418" s="12" t="s">
        <v>52</v>
      </c>
      <c r="B418" s="12" t="s">
        <v>15</v>
      </c>
      <c r="C418" s="24">
        <v>120000</v>
      </c>
      <c r="F418" s="598"/>
      <c r="G418" s="79"/>
      <c r="H418" s="25"/>
      <c r="I418" s="101"/>
      <c r="J418" s="24"/>
    </row>
    <row r="419" spans="1:10" s="72" customFormat="1" ht="13.5" customHeight="1" x14ac:dyDescent="0.25">
      <c r="A419" s="11" t="s">
        <v>120</v>
      </c>
      <c r="B419" s="11" t="s">
        <v>121</v>
      </c>
      <c r="C419" s="31">
        <f>SUM(C420:C424)</f>
        <v>915720</v>
      </c>
      <c r="D419" s="79"/>
      <c r="E419" s="25"/>
      <c r="F419" s="593"/>
      <c r="G419" s="24"/>
      <c r="H419" s="12"/>
      <c r="I419" s="282"/>
    </row>
    <row r="420" spans="1:10" s="72" customFormat="1" ht="13.5" customHeight="1" x14ac:dyDescent="0.25">
      <c r="A420" s="12" t="s">
        <v>246</v>
      </c>
      <c r="B420" s="12" t="s">
        <v>247</v>
      </c>
      <c r="C420" s="303">
        <v>189500</v>
      </c>
      <c r="D420" s="79"/>
      <c r="E420" s="25"/>
      <c r="F420" s="593"/>
      <c r="G420" s="24"/>
      <c r="H420" s="12"/>
      <c r="I420" s="282"/>
    </row>
    <row r="421" spans="1:10" s="128" customFormat="1" ht="13.5" customHeight="1" x14ac:dyDescent="0.25">
      <c r="A421" s="12" t="s">
        <v>183</v>
      </c>
      <c r="B421" s="12" t="s">
        <v>273</v>
      </c>
      <c r="C421" s="303">
        <v>14400</v>
      </c>
      <c r="D421" s="293"/>
      <c r="E421" s="303"/>
      <c r="F421" s="689"/>
      <c r="I421" s="276"/>
    </row>
    <row r="422" spans="1:10" s="128" customFormat="1" ht="13.5" customHeight="1" x14ac:dyDescent="0.25">
      <c r="A422" s="12" t="s">
        <v>208</v>
      </c>
      <c r="B422" s="12" t="s">
        <v>207</v>
      </c>
      <c r="C422" s="303">
        <v>585640</v>
      </c>
      <c r="D422" s="293"/>
      <c r="E422" s="303"/>
      <c r="F422" s="689"/>
      <c r="I422" s="276"/>
    </row>
    <row r="423" spans="1:10" s="128" customFormat="1" ht="13.5" customHeight="1" x14ac:dyDescent="0.25">
      <c r="A423" s="12" t="s">
        <v>140</v>
      </c>
      <c r="B423" s="12" t="s">
        <v>595</v>
      </c>
      <c r="C423" s="303">
        <v>20580</v>
      </c>
      <c r="D423" s="293"/>
      <c r="E423" s="303"/>
      <c r="F423" s="943"/>
      <c r="I423" s="276"/>
    </row>
    <row r="424" spans="1:10" s="147" customFormat="1" ht="13" x14ac:dyDescent="0.25">
      <c r="A424" s="12" t="s">
        <v>136</v>
      </c>
      <c r="B424" s="12" t="s">
        <v>71</v>
      </c>
      <c r="C424" s="24">
        <v>105600</v>
      </c>
      <c r="D424" s="31"/>
      <c r="E424" s="120"/>
      <c r="F424" s="936"/>
      <c r="I424" s="301"/>
    </row>
    <row r="425" spans="1:10" s="128" customFormat="1" ht="13.5" customHeight="1" x14ac:dyDescent="0.25">
      <c r="A425" s="11" t="s">
        <v>274</v>
      </c>
      <c r="B425" s="11" t="s">
        <v>275</v>
      </c>
      <c r="C425" s="31">
        <f>SUM(C426:C427)</f>
        <v>1058230</v>
      </c>
      <c r="D425" s="120"/>
      <c r="E425" s="120"/>
      <c r="F425" s="936"/>
      <c r="G425" s="122"/>
      <c r="H425" s="323"/>
      <c r="I425" s="276"/>
    </row>
    <row r="426" spans="1:10" s="147" customFormat="1" ht="13" x14ac:dyDescent="0.25">
      <c r="A426" s="12" t="s">
        <v>276</v>
      </c>
      <c r="B426" s="12" t="s">
        <v>277</v>
      </c>
      <c r="C426" s="24">
        <v>865000</v>
      </c>
      <c r="F426" s="592"/>
      <c r="H426" s="24"/>
      <c r="I426" s="120"/>
      <c r="J426" s="24"/>
    </row>
    <row r="427" spans="1:10" s="128" customFormat="1" ht="13.5" customHeight="1" x14ac:dyDescent="0.25">
      <c r="A427" s="12" t="s">
        <v>280</v>
      </c>
      <c r="B427" s="12" t="s">
        <v>281</v>
      </c>
      <c r="C427" s="24">
        <v>193230</v>
      </c>
      <c r="F427" s="943"/>
      <c r="G427" s="122"/>
      <c r="H427" s="324"/>
      <c r="I427" s="120"/>
    </row>
    <row r="428" spans="1:10" s="147" customFormat="1" ht="13" x14ac:dyDescent="0.25">
      <c r="A428" s="11" t="s">
        <v>112</v>
      </c>
      <c r="B428" s="11" t="s">
        <v>157</v>
      </c>
      <c r="C428" s="31">
        <f>SUM(C429:C430)</f>
        <v>1774440</v>
      </c>
      <c r="F428" s="592"/>
      <c r="H428" s="120"/>
      <c r="I428" s="72"/>
      <c r="J428" s="128"/>
    </row>
    <row r="429" spans="1:10" s="147" customFormat="1" ht="13" x14ac:dyDescent="0.25">
      <c r="A429" s="12" t="s">
        <v>138</v>
      </c>
      <c r="B429" s="59" t="s">
        <v>878</v>
      </c>
      <c r="C429" s="24">
        <v>24000</v>
      </c>
      <c r="F429" s="592"/>
      <c r="H429" s="24"/>
      <c r="I429" s="120"/>
      <c r="J429" s="24"/>
    </row>
    <row r="430" spans="1:10" s="147" customFormat="1" ht="13" x14ac:dyDescent="0.25">
      <c r="A430" s="12" t="s">
        <v>49</v>
      </c>
      <c r="B430" s="24" t="s">
        <v>87</v>
      </c>
      <c r="C430" s="24">
        <v>1750440</v>
      </c>
      <c r="F430" s="592"/>
      <c r="H430" s="24"/>
      <c r="I430" s="120"/>
      <c r="J430" s="24"/>
    </row>
    <row r="431" spans="1:10" s="147" customFormat="1" ht="13" x14ac:dyDescent="0.25">
      <c r="A431" s="11" t="s">
        <v>113</v>
      </c>
      <c r="B431" s="31" t="s">
        <v>114</v>
      </c>
      <c r="C431" s="31">
        <f>SUM(C432:C433)</f>
        <v>22500</v>
      </c>
      <c r="F431" s="592"/>
      <c r="H431" s="24"/>
      <c r="I431" s="120"/>
      <c r="J431" s="24"/>
    </row>
    <row r="432" spans="1:10" s="147" customFormat="1" ht="13" x14ac:dyDescent="0.25">
      <c r="A432" s="12" t="s">
        <v>164</v>
      </c>
      <c r="B432" s="43" t="s">
        <v>74</v>
      </c>
      <c r="C432" s="24">
        <v>14500</v>
      </c>
      <c r="F432" s="592"/>
      <c r="H432" s="24"/>
      <c r="I432" s="120"/>
      <c r="J432" s="24"/>
    </row>
    <row r="433" spans="1:11" s="147" customFormat="1" ht="13" x14ac:dyDescent="0.25">
      <c r="A433" s="12" t="s">
        <v>88</v>
      </c>
      <c r="B433" s="24" t="s">
        <v>64</v>
      </c>
      <c r="C433" s="24">
        <v>8000</v>
      </c>
      <c r="F433" s="592"/>
      <c r="H433" s="24"/>
      <c r="I433" s="120"/>
      <c r="J433" s="24"/>
    </row>
    <row r="434" spans="1:11" s="147" customFormat="1" ht="13" x14ac:dyDescent="0.25">
      <c r="A434" s="11" t="s">
        <v>132</v>
      </c>
      <c r="B434" s="11" t="s">
        <v>56</v>
      </c>
      <c r="C434" s="31">
        <f>SUM(C435)</f>
        <v>105200</v>
      </c>
      <c r="F434" s="592"/>
      <c r="H434" s="24"/>
      <c r="I434" s="120"/>
      <c r="J434" s="24"/>
    </row>
    <row r="435" spans="1:11" s="147" customFormat="1" ht="13" x14ac:dyDescent="0.25">
      <c r="A435" s="12" t="s">
        <v>55</v>
      </c>
      <c r="B435" s="12" t="s">
        <v>56</v>
      </c>
      <c r="C435" s="24">
        <v>105200</v>
      </c>
      <c r="F435" s="592"/>
      <c r="H435" s="24"/>
      <c r="I435" s="120"/>
      <c r="J435" s="24"/>
    </row>
    <row r="436" spans="1:11" s="147" customFormat="1" ht="13" x14ac:dyDescent="0.25">
      <c r="A436" s="11" t="s">
        <v>115</v>
      </c>
      <c r="B436" s="31" t="s">
        <v>8</v>
      </c>
      <c r="C436" s="31">
        <f>SUM(C437:C440)</f>
        <v>8835430</v>
      </c>
      <c r="F436" s="592"/>
      <c r="H436" s="24"/>
      <c r="I436" s="120"/>
      <c r="J436" s="24"/>
    </row>
    <row r="437" spans="1:11" s="128" customFormat="1" ht="13.5" customHeight="1" x14ac:dyDescent="0.25">
      <c r="A437" s="12" t="s">
        <v>92</v>
      </c>
      <c r="B437" s="24" t="s">
        <v>8</v>
      </c>
      <c r="C437" s="24">
        <v>8281830</v>
      </c>
      <c r="D437" s="945"/>
      <c r="F437" s="943"/>
      <c r="G437" s="122"/>
      <c r="H437" s="312"/>
      <c r="I437" s="312"/>
    </row>
    <row r="438" spans="1:11" s="5" customFormat="1" ht="13" x14ac:dyDescent="0.25">
      <c r="A438" s="12" t="s">
        <v>181</v>
      </c>
      <c r="B438" s="24" t="s">
        <v>50</v>
      </c>
      <c r="C438" s="24">
        <v>33000</v>
      </c>
      <c r="F438" s="622"/>
      <c r="H438" s="24"/>
      <c r="I438" s="265"/>
      <c r="J438" s="24"/>
    </row>
    <row r="439" spans="1:11" s="5" customFormat="1" ht="13" hidden="1" x14ac:dyDescent="0.25">
      <c r="A439" s="12" t="s">
        <v>205</v>
      </c>
      <c r="B439" s="43" t="s">
        <v>204</v>
      </c>
      <c r="C439" s="24">
        <v>0</v>
      </c>
      <c r="F439" s="622"/>
      <c r="H439" s="24"/>
      <c r="I439" s="265"/>
      <c r="J439" s="24"/>
    </row>
    <row r="440" spans="1:11" s="128" customFormat="1" ht="13.5" customHeight="1" x14ac:dyDescent="0.25">
      <c r="A440" s="12" t="s">
        <v>90</v>
      </c>
      <c r="B440" s="24" t="s">
        <v>7</v>
      </c>
      <c r="C440" s="24">
        <v>520600</v>
      </c>
      <c r="F440" s="943"/>
      <c r="G440" s="122"/>
      <c r="H440" s="312"/>
      <c r="I440" s="265"/>
      <c r="J440" s="265"/>
    </row>
    <row r="441" spans="1:11" s="128" customFormat="1" ht="13.5" customHeight="1" thickBot="1" x14ac:dyDescent="0.3">
      <c r="A441" s="72"/>
      <c r="B441" s="12"/>
      <c r="C441" s="23"/>
      <c r="D441" s="25"/>
      <c r="E441" s="23"/>
      <c r="F441" s="689"/>
      <c r="I441" s="276"/>
    </row>
    <row r="442" spans="1:11" s="128" customFormat="1" ht="13.5" customHeight="1" thickBot="1" x14ac:dyDescent="0.3">
      <c r="A442" s="1115" t="s">
        <v>5</v>
      </c>
      <c r="B442" s="1116"/>
      <c r="C442" s="669">
        <f>C443</f>
        <v>750000</v>
      </c>
      <c r="D442" s="609"/>
      <c r="E442" s="610"/>
      <c r="F442" s="933"/>
      <c r="I442" s="276"/>
    </row>
    <row r="443" spans="1:11" s="124" customFormat="1" ht="13.5" customHeight="1" x14ac:dyDescent="0.25">
      <c r="A443" s="11" t="s">
        <v>128</v>
      </c>
      <c r="B443" s="11" t="s">
        <v>129</v>
      </c>
      <c r="C443" s="32">
        <f>SUM(C444)</f>
        <v>750000</v>
      </c>
      <c r="D443" s="606"/>
      <c r="E443" s="607"/>
      <c r="F443" s="939"/>
      <c r="I443" s="308"/>
    </row>
    <row r="444" spans="1:11" s="315" customFormat="1" ht="13.5" customHeight="1" x14ac:dyDescent="0.25">
      <c r="A444" s="12" t="s">
        <v>987</v>
      </c>
      <c r="B444" s="12" t="s">
        <v>988</v>
      </c>
      <c r="C444" s="24">
        <v>750000</v>
      </c>
      <c r="D444" s="605"/>
      <c r="E444" s="608"/>
      <c r="F444" s="933"/>
      <c r="G444" s="12"/>
      <c r="H444" s="12"/>
      <c r="I444" s="296"/>
      <c r="J444" s="12"/>
      <c r="K444" s="12"/>
    </row>
    <row r="445" spans="1:11" s="315" customFormat="1" ht="13.5" customHeight="1" thickBot="1" x14ac:dyDescent="0.3">
      <c r="A445" s="12"/>
      <c r="B445" s="12"/>
      <c r="C445" s="24"/>
      <c r="D445" s="605"/>
      <c r="E445" s="608"/>
      <c r="F445" s="933"/>
      <c r="G445" s="12"/>
      <c r="H445" s="12"/>
      <c r="I445" s="296"/>
      <c r="J445" s="12"/>
      <c r="K445" s="12"/>
    </row>
    <row r="446" spans="1:11" s="128" customFormat="1" ht="13.5" customHeight="1" thickBot="1" x14ac:dyDescent="0.3">
      <c r="A446" s="1100" t="s">
        <v>4</v>
      </c>
      <c r="B446" s="1101"/>
      <c r="C446" s="670">
        <f>C447+C450+C452</f>
        <v>242560</v>
      </c>
      <c r="D446" s="275"/>
      <c r="E446" s="274"/>
      <c r="F446" s="689"/>
      <c r="G446" s="122"/>
      <c r="H446" s="323"/>
      <c r="I446" s="276"/>
    </row>
    <row r="447" spans="1:11" s="124" customFormat="1" ht="13.5" customHeight="1" x14ac:dyDescent="0.25">
      <c r="A447" s="262" t="s">
        <v>179</v>
      </c>
      <c r="B447" s="564" t="s">
        <v>178</v>
      </c>
      <c r="C447" s="32">
        <f>SUM(C448:C449)</f>
        <v>211760</v>
      </c>
      <c r="D447" s="293"/>
      <c r="E447" s="293"/>
      <c r="F447" s="593"/>
      <c r="H447" s="325"/>
      <c r="I447" s="308"/>
    </row>
    <row r="448" spans="1:11" s="128" customFormat="1" ht="13.5" customHeight="1" x14ac:dyDescent="0.25">
      <c r="A448" s="273" t="s">
        <v>175</v>
      </c>
      <c r="B448" s="273" t="s">
        <v>285</v>
      </c>
      <c r="C448" s="303">
        <v>86760</v>
      </c>
      <c r="D448" s="312"/>
      <c r="E448" s="274"/>
      <c r="F448" s="689"/>
      <c r="G448" s="122"/>
      <c r="H448" s="322"/>
      <c r="I448" s="276"/>
    </row>
    <row r="449" spans="1:9" s="128" customFormat="1" ht="13.5" customHeight="1" x14ac:dyDescent="0.25">
      <c r="A449" s="273" t="s">
        <v>298</v>
      </c>
      <c r="B449" s="273" t="s">
        <v>172</v>
      </c>
      <c r="C449" s="303">
        <v>125000</v>
      </c>
      <c r="D449" s="275"/>
      <c r="E449" s="274"/>
      <c r="F449" s="689"/>
      <c r="G449" s="122"/>
      <c r="H449" s="323"/>
      <c r="I449" s="276"/>
    </row>
    <row r="450" spans="1:9" s="128" customFormat="1" ht="13.5" customHeight="1" x14ac:dyDescent="0.25">
      <c r="A450" s="265" t="s">
        <v>116</v>
      </c>
      <c r="B450" s="564" t="s">
        <v>117</v>
      </c>
      <c r="C450" s="300">
        <f>SUM(C451)</f>
        <v>13000</v>
      </c>
      <c r="D450" s="275"/>
      <c r="E450" s="274"/>
      <c r="F450" s="689"/>
      <c r="G450" s="122"/>
      <c r="H450" s="323"/>
      <c r="I450" s="276"/>
    </row>
    <row r="451" spans="1:9" s="310" customFormat="1" ht="13.5" customHeight="1" x14ac:dyDescent="0.25">
      <c r="A451" s="72" t="s">
        <v>91</v>
      </c>
      <c r="B451" s="72" t="s">
        <v>139</v>
      </c>
      <c r="C451" s="24">
        <v>13000</v>
      </c>
      <c r="D451" s="313"/>
      <c r="E451" s="24"/>
      <c r="F451" s="936"/>
      <c r="I451" s="311"/>
    </row>
    <row r="452" spans="1:9" s="5" customFormat="1" ht="13" x14ac:dyDescent="0.25">
      <c r="A452" s="262" t="s">
        <v>166</v>
      </c>
      <c r="B452" s="11" t="s">
        <v>134</v>
      </c>
      <c r="C452" s="31">
        <f>SUM(C453)</f>
        <v>17800</v>
      </c>
      <c r="D452" s="21"/>
      <c r="E452" s="21"/>
      <c r="F452" s="598"/>
      <c r="I452" s="297"/>
    </row>
    <row r="453" spans="1:9" s="128" customFormat="1" ht="13.5" customHeight="1" x14ac:dyDescent="0.25">
      <c r="A453" s="273" t="s">
        <v>167</v>
      </c>
      <c r="B453" s="12" t="s">
        <v>51</v>
      </c>
      <c r="C453" s="303">
        <v>17800</v>
      </c>
      <c r="D453" s="275"/>
      <c r="E453" s="274"/>
      <c r="F453" s="689"/>
      <c r="G453" s="122"/>
      <c r="H453" s="326"/>
      <c r="I453" s="276"/>
    </row>
    <row r="454" spans="1:9" s="306" customFormat="1" ht="13.5" customHeight="1" thickBot="1" x14ac:dyDescent="0.3">
      <c r="A454" s="336"/>
      <c r="B454" s="336"/>
      <c r="C454" s="300"/>
      <c r="D454" s="302"/>
      <c r="E454" s="300"/>
      <c r="F454" s="689"/>
      <c r="I454" s="307"/>
    </row>
    <row r="455" spans="1:9" s="306" customFormat="1" ht="13.5" customHeight="1" x14ac:dyDescent="0.25">
      <c r="A455" s="929" t="s">
        <v>736</v>
      </c>
      <c r="B455" s="769"/>
      <c r="C455" s="692" t="s">
        <v>6</v>
      </c>
      <c r="D455" s="955" t="s">
        <v>983</v>
      </c>
      <c r="E455" s="300"/>
      <c r="F455" s="689"/>
      <c r="I455" s="307"/>
    </row>
    <row r="456" spans="1:9" s="306" customFormat="1" ht="13.5" customHeight="1" thickBot="1" x14ac:dyDescent="0.3">
      <c r="A456" s="652"/>
      <c r="B456" s="653" t="s">
        <v>737</v>
      </c>
      <c r="C456" s="695"/>
      <c r="D456" s="694"/>
      <c r="E456" s="300"/>
      <c r="F456" s="689"/>
      <c r="I456" s="307"/>
    </row>
    <row r="457" spans="1:9" s="306" customFormat="1" ht="13.5" customHeight="1" x14ac:dyDescent="0.25">
      <c r="A457" s="579" t="s">
        <v>1043</v>
      </c>
      <c r="B457" s="671"/>
      <c r="C457" s="799"/>
      <c r="D457" s="800"/>
      <c r="E457" s="300"/>
      <c r="F457" s="689"/>
      <c r="I457" s="307"/>
    </row>
    <row r="458" spans="1:9" s="306" customFormat="1" ht="13.5" customHeight="1" x14ac:dyDescent="0.25">
      <c r="A458" s="681" t="s">
        <v>738</v>
      </c>
      <c r="B458" s="672"/>
      <c r="C458" s="795"/>
      <c r="D458" s="682"/>
      <c r="E458" s="300"/>
      <c r="F458" s="689"/>
      <c r="I458" s="307"/>
    </row>
    <row r="459" spans="1:9" s="306" customFormat="1" ht="13.5" customHeight="1" thickBot="1" x14ac:dyDescent="0.3">
      <c r="A459" s="801" t="s">
        <v>739</v>
      </c>
      <c r="B459" s="674"/>
      <c r="C459" s="802"/>
      <c r="D459" s="803"/>
      <c r="E459" s="300"/>
      <c r="F459" s="689"/>
      <c r="I459" s="307"/>
    </row>
    <row r="460" spans="1:9" s="306" customFormat="1" ht="13.5" customHeight="1" x14ac:dyDescent="0.25">
      <c r="A460" s="656" t="s">
        <v>1029</v>
      </c>
      <c r="B460" s="657"/>
      <c r="C460" s="796"/>
      <c r="D460" s="676"/>
      <c r="E460" s="300"/>
      <c r="F460" s="689"/>
      <c r="I460" s="307"/>
    </row>
    <row r="461" spans="1:9" s="306" customFormat="1" ht="13.5" customHeight="1" x14ac:dyDescent="0.25">
      <c r="A461" s="268" t="s">
        <v>982</v>
      </c>
      <c r="B461" s="53"/>
      <c r="C461" s="634"/>
      <c r="D461" s="677"/>
      <c r="E461" s="300"/>
      <c r="F461" s="689"/>
      <c r="I461" s="307"/>
    </row>
    <row r="462" spans="1:9" s="306" customFormat="1" ht="13.5" customHeight="1" x14ac:dyDescent="0.25">
      <c r="A462" s="268" t="s">
        <v>1042</v>
      </c>
      <c r="B462" s="53"/>
      <c r="C462" s="634"/>
      <c r="D462" s="677"/>
      <c r="E462" s="300"/>
      <c r="F462" s="689"/>
      <c r="I462" s="307"/>
    </row>
    <row r="463" spans="1:9" s="306" customFormat="1" ht="13.5" customHeight="1" thickBot="1" x14ac:dyDescent="0.3">
      <c r="A463" s="321" t="s">
        <v>11</v>
      </c>
      <c r="B463" s="620"/>
      <c r="C463" s="797"/>
      <c r="D463" s="678"/>
      <c r="E463" s="300"/>
      <c r="F463" s="689"/>
      <c r="I463" s="307"/>
    </row>
    <row r="464" spans="1:9" s="306" customFormat="1" ht="13.5" customHeight="1" thickBot="1" x14ac:dyDescent="0.3">
      <c r="A464" s="762" t="s">
        <v>986</v>
      </c>
      <c r="B464" s="763"/>
      <c r="C464" s="783"/>
      <c r="D464" s="771"/>
      <c r="E464" s="300"/>
      <c r="F464" s="689"/>
      <c r="I464" s="307"/>
    </row>
    <row r="465" spans="1:9" s="306" customFormat="1" ht="13.5" customHeight="1" thickBot="1" x14ac:dyDescent="0.3">
      <c r="A465" s="72"/>
      <c r="B465" s="72"/>
      <c r="C465" s="78"/>
      <c r="D465" s="23"/>
      <c r="E465" s="300"/>
      <c r="F465" s="689"/>
      <c r="I465" s="307"/>
    </row>
    <row r="466" spans="1:9" s="306" customFormat="1" ht="13.5" customHeight="1" x14ac:dyDescent="0.25">
      <c r="A466" s="929" t="s">
        <v>740</v>
      </c>
      <c r="B466" s="769"/>
      <c r="C466" s="692" t="s">
        <v>6</v>
      </c>
      <c r="D466" s="955" t="s">
        <v>984</v>
      </c>
      <c r="E466" s="300"/>
      <c r="F466" s="689"/>
      <c r="I466" s="307"/>
    </row>
    <row r="467" spans="1:9" s="306" customFormat="1" ht="13.5" customHeight="1" thickBot="1" x14ac:dyDescent="0.3">
      <c r="A467" s="652" t="s">
        <v>741</v>
      </c>
      <c r="B467" s="653"/>
      <c r="C467" s="695"/>
      <c r="D467" s="694"/>
      <c r="E467" s="300"/>
      <c r="F467" s="689"/>
      <c r="I467" s="307"/>
    </row>
    <row r="468" spans="1:9" s="306" customFormat="1" ht="13.5" customHeight="1" x14ac:dyDescent="0.25">
      <c r="A468" s="581" t="s">
        <v>742</v>
      </c>
      <c r="B468" s="672"/>
      <c r="C468" s="679"/>
      <c r="D468" s="680"/>
      <c r="E468" s="300"/>
      <c r="F468" s="689"/>
      <c r="I468" s="307"/>
    </row>
    <row r="469" spans="1:9" s="306" customFormat="1" ht="13.5" customHeight="1" x14ac:dyDescent="0.25">
      <c r="A469" s="681" t="s">
        <v>743</v>
      </c>
      <c r="B469" s="672"/>
      <c r="C469" s="673"/>
      <c r="D469" s="682"/>
      <c r="E469" s="300"/>
      <c r="F469" s="689"/>
      <c r="I469" s="307"/>
    </row>
    <row r="470" spans="1:9" s="306" customFormat="1" ht="13.5" customHeight="1" thickBot="1" x14ac:dyDescent="0.3">
      <c r="A470" s="683" t="s">
        <v>1028</v>
      </c>
      <c r="B470" s="672"/>
      <c r="C470" s="673"/>
      <c r="D470" s="682"/>
      <c r="E470" s="300"/>
      <c r="F470" s="689"/>
      <c r="I470" s="307"/>
    </row>
    <row r="471" spans="1:9" s="306" customFormat="1" ht="13.5" customHeight="1" x14ac:dyDescent="0.25">
      <c r="A471" s="656" t="s">
        <v>1029</v>
      </c>
      <c r="B471" s="657"/>
      <c r="C471" s="675"/>
      <c r="D471" s="676"/>
      <c r="E471" s="300"/>
      <c r="F471" s="689"/>
      <c r="I471" s="307"/>
    </row>
    <row r="472" spans="1:9" s="306" customFormat="1" ht="13.5" customHeight="1" x14ac:dyDescent="0.25">
      <c r="A472" s="268" t="s">
        <v>735</v>
      </c>
      <c r="B472" s="53"/>
      <c r="C472" s="303"/>
      <c r="D472" s="677"/>
      <c r="E472" s="300"/>
      <c r="F472" s="689"/>
      <c r="I472" s="307"/>
    </row>
    <row r="473" spans="1:9" s="306" customFormat="1" ht="13.5" customHeight="1" x14ac:dyDescent="0.25">
      <c r="A473" s="268" t="s">
        <v>1042</v>
      </c>
      <c r="B473" s="53"/>
      <c r="C473" s="303"/>
      <c r="D473" s="677"/>
      <c r="E473" s="300"/>
      <c r="F473" s="689"/>
      <c r="I473" s="307"/>
    </row>
    <row r="474" spans="1:9" s="306" customFormat="1" ht="13.5" customHeight="1" thickBot="1" x14ac:dyDescent="0.3">
      <c r="A474" s="321" t="s">
        <v>11</v>
      </c>
      <c r="B474" s="620"/>
      <c r="C474" s="330"/>
      <c r="D474" s="678"/>
      <c r="E474" s="300"/>
      <c r="F474" s="689"/>
      <c r="I474" s="307"/>
    </row>
    <row r="475" spans="1:9" s="306" customFormat="1" ht="13.5" customHeight="1" thickBot="1" x14ac:dyDescent="0.3">
      <c r="A475" s="762" t="s">
        <v>986</v>
      </c>
      <c r="B475" s="763"/>
      <c r="C475" s="783"/>
      <c r="D475" s="771"/>
      <c r="E475" s="300"/>
      <c r="F475" s="689"/>
      <c r="I475" s="307"/>
    </row>
    <row r="476" spans="1:9" s="306" customFormat="1" ht="13.5" customHeight="1" thickBot="1" x14ac:dyDescent="0.3">
      <c r="A476" s="72"/>
      <c r="B476" s="72"/>
      <c r="C476" s="23"/>
      <c r="D476" s="23"/>
      <c r="E476" s="300"/>
      <c r="F476" s="689"/>
      <c r="I476" s="307"/>
    </row>
    <row r="477" spans="1:9" s="306" customFormat="1" ht="13.5" customHeight="1" x14ac:dyDescent="0.25">
      <c r="A477" s="929" t="s">
        <v>744</v>
      </c>
      <c r="B477" s="769"/>
      <c r="C477" s="692" t="s">
        <v>6</v>
      </c>
      <c r="D477" s="955" t="s">
        <v>985</v>
      </c>
      <c r="E477" s="300"/>
      <c r="F477" s="689"/>
      <c r="I477" s="307"/>
    </row>
    <row r="478" spans="1:9" s="306" customFormat="1" ht="13.5" customHeight="1" thickBot="1" x14ac:dyDescent="0.3">
      <c r="A478" s="652"/>
      <c r="B478" s="653"/>
      <c r="C478" s="773"/>
      <c r="D478" s="694"/>
      <c r="E478" s="300"/>
      <c r="F478" s="689"/>
      <c r="I478" s="307"/>
    </row>
    <row r="479" spans="1:9" s="306" customFormat="1" ht="13.5" customHeight="1" x14ac:dyDescent="0.25">
      <c r="A479" s="581" t="s">
        <v>745</v>
      </c>
      <c r="B479" s="672"/>
      <c r="C479" s="679"/>
      <c r="D479" s="680"/>
      <c r="E479" s="300"/>
      <c r="F479" s="689"/>
      <c r="I479" s="307"/>
    </row>
    <row r="480" spans="1:9" s="306" customFormat="1" ht="13.5" customHeight="1" x14ac:dyDescent="0.25">
      <c r="A480" s="681" t="s">
        <v>746</v>
      </c>
      <c r="B480" s="672"/>
      <c r="C480" s="673"/>
      <c r="D480" s="682"/>
      <c r="E480" s="300"/>
      <c r="F480" s="689"/>
      <c r="I480" s="307"/>
    </row>
    <row r="481" spans="1:9" s="306" customFormat="1" ht="13.5" customHeight="1" thickBot="1" x14ac:dyDescent="0.3">
      <c r="A481" s="683" t="s">
        <v>747</v>
      </c>
      <c r="B481" s="672"/>
      <c r="C481" s="673"/>
      <c r="D481" s="682"/>
      <c r="E481" s="300"/>
      <c r="F481" s="689"/>
      <c r="I481" s="307"/>
    </row>
    <row r="482" spans="1:9" s="306" customFormat="1" ht="13.5" customHeight="1" x14ac:dyDescent="0.25">
      <c r="A482" s="656" t="s">
        <v>1029</v>
      </c>
      <c r="B482" s="657"/>
      <c r="C482" s="675"/>
      <c r="D482" s="676"/>
      <c r="E482" s="300"/>
      <c r="F482" s="689"/>
      <c r="I482" s="307"/>
    </row>
    <row r="483" spans="1:9" s="306" customFormat="1" ht="13.5" customHeight="1" x14ac:dyDescent="0.25">
      <c r="A483" s="268" t="s">
        <v>735</v>
      </c>
      <c r="B483" s="53"/>
      <c r="C483" s="303"/>
      <c r="D483" s="677"/>
      <c r="E483" s="300"/>
      <c r="F483" s="689"/>
      <c r="I483" s="307"/>
    </row>
    <row r="484" spans="1:9" s="306" customFormat="1" ht="13.5" customHeight="1" x14ac:dyDescent="0.25">
      <c r="A484" s="268" t="s">
        <v>1042</v>
      </c>
      <c r="B484" s="53"/>
      <c r="C484" s="303"/>
      <c r="D484" s="677"/>
      <c r="E484" s="300"/>
      <c r="F484" s="689"/>
      <c r="I484" s="307"/>
    </row>
    <row r="485" spans="1:9" s="306" customFormat="1" ht="13.5" customHeight="1" thickBot="1" x14ac:dyDescent="0.3">
      <c r="A485" s="321" t="s">
        <v>11</v>
      </c>
      <c r="B485" s="620"/>
      <c r="C485" s="330"/>
      <c r="D485" s="678"/>
      <c r="E485" s="300"/>
      <c r="F485" s="689"/>
      <c r="I485" s="307"/>
    </row>
    <row r="486" spans="1:9" s="306" customFormat="1" ht="13.5" customHeight="1" thickBot="1" x14ac:dyDescent="0.3">
      <c r="A486" s="762" t="s">
        <v>986</v>
      </c>
      <c r="B486" s="763"/>
      <c r="C486" s="783"/>
      <c r="D486" s="771"/>
      <c r="E486" s="300"/>
      <c r="F486" s="689"/>
      <c r="I486" s="307"/>
    </row>
    <row r="487" spans="1:9" s="306" customFormat="1" ht="13.5" customHeight="1" x14ac:dyDescent="0.25">
      <c r="A487" s="336"/>
      <c r="B487" s="336"/>
      <c r="C487" s="300"/>
      <c r="D487" s="302"/>
      <c r="E487" s="300"/>
      <c r="F487" s="689"/>
      <c r="I487" s="307"/>
    </row>
    <row r="488" spans="1:9" s="306" customFormat="1" ht="13.5" customHeight="1" thickBot="1" x14ac:dyDescent="0.3">
      <c r="A488" s="336"/>
      <c r="B488" s="336"/>
      <c r="C488" s="300"/>
      <c r="D488" s="302"/>
      <c r="E488" s="300"/>
      <c r="F488" s="689"/>
      <c r="I488" s="307"/>
    </row>
    <row r="489" spans="1:9" s="306" customFormat="1" ht="13.5" customHeight="1" x14ac:dyDescent="0.25">
      <c r="A489" s="1117" t="s">
        <v>989</v>
      </c>
      <c r="B489" s="1118"/>
      <c r="C489" s="1119"/>
      <c r="D489" s="691" t="s">
        <v>6</v>
      </c>
      <c r="E489" s="911">
        <v>1309</v>
      </c>
      <c r="F489" s="689"/>
      <c r="I489" s="307"/>
    </row>
    <row r="490" spans="1:9" s="306" customFormat="1" ht="13.5" customHeight="1" thickBot="1" x14ac:dyDescent="0.3">
      <c r="A490" s="1120"/>
      <c r="B490" s="1121"/>
      <c r="C490" s="1122"/>
      <c r="D490" s="694"/>
      <c r="E490" s="761"/>
      <c r="F490" s="689"/>
      <c r="I490" s="307"/>
    </row>
    <row r="491" spans="1:9" s="306" customFormat="1" ht="13.5" customHeight="1" x14ac:dyDescent="0.25">
      <c r="A491" s="1165" t="s">
        <v>990</v>
      </c>
      <c r="B491" s="1166"/>
      <c r="C491" s="1166"/>
      <c r="D491" s="1166"/>
      <c r="E491" s="1167"/>
      <c r="F491" s="689"/>
      <c r="I491" s="307"/>
    </row>
    <row r="492" spans="1:9" s="306" customFormat="1" ht="13.5" customHeight="1" x14ac:dyDescent="0.25">
      <c r="A492" s="1168"/>
      <c r="B492" s="1169"/>
      <c r="C492" s="1169"/>
      <c r="D492" s="1169"/>
      <c r="E492" s="1170"/>
      <c r="F492" s="689"/>
      <c r="I492" s="307"/>
    </row>
    <row r="493" spans="1:9" s="306" customFormat="1" ht="13.5" customHeight="1" x14ac:dyDescent="0.25">
      <c r="A493" s="1168"/>
      <c r="B493" s="1169"/>
      <c r="C493" s="1169"/>
      <c r="D493" s="1169"/>
      <c r="E493" s="1170"/>
      <c r="F493" s="689"/>
      <c r="I493" s="307"/>
    </row>
    <row r="494" spans="1:9" s="306" customFormat="1" ht="13.5" customHeight="1" x14ac:dyDescent="0.25">
      <c r="A494" s="1168"/>
      <c r="B494" s="1169"/>
      <c r="C494" s="1169"/>
      <c r="D494" s="1169"/>
      <c r="E494" s="1170"/>
      <c r="F494" s="689"/>
      <c r="I494" s="307"/>
    </row>
    <row r="495" spans="1:9" s="306" customFormat="1" ht="1.5" customHeight="1" thickBot="1" x14ac:dyDescent="0.3">
      <c r="A495" s="1171"/>
      <c r="B495" s="1172"/>
      <c r="C495" s="1172"/>
      <c r="D495" s="1172"/>
      <c r="E495" s="1173"/>
      <c r="F495" s="689"/>
      <c r="I495" s="307"/>
    </row>
    <row r="496" spans="1:9" s="306" customFormat="1" ht="13.5" customHeight="1" x14ac:dyDescent="0.25">
      <c r="A496" s="268" t="s">
        <v>1029</v>
      </c>
      <c r="B496" s="53"/>
      <c r="C496" s="303"/>
      <c r="D496" s="277"/>
      <c r="E496" s="305"/>
      <c r="F496" s="689"/>
      <c r="I496" s="307"/>
    </row>
    <row r="497" spans="1:9" s="306" customFormat="1" ht="13.5" customHeight="1" x14ac:dyDescent="0.25">
      <c r="A497" s="268" t="s">
        <v>991</v>
      </c>
      <c r="B497" s="53"/>
      <c r="C497" s="303"/>
      <c r="D497" s="277"/>
      <c r="E497" s="305"/>
      <c r="F497" s="689"/>
      <c r="I497" s="307"/>
    </row>
    <row r="498" spans="1:9" s="306" customFormat="1" ht="13.5" customHeight="1" x14ac:dyDescent="0.25">
      <c r="A498" s="268" t="s">
        <v>1040</v>
      </c>
      <c r="B498" s="53"/>
      <c r="C498" s="303"/>
      <c r="D498" s="277"/>
      <c r="E498" s="305"/>
      <c r="F498" s="689"/>
      <c r="I498" s="307"/>
    </row>
    <row r="499" spans="1:9" s="306" customFormat="1" ht="13.5" customHeight="1" thickBot="1" x14ac:dyDescent="0.3">
      <c r="A499" s="268" t="s">
        <v>11</v>
      </c>
      <c r="B499" s="53"/>
      <c r="C499" s="303"/>
      <c r="D499" s="277"/>
      <c r="E499" s="305"/>
      <c r="F499" s="689"/>
      <c r="I499" s="307"/>
    </row>
    <row r="500" spans="1:9" s="306" customFormat="1" ht="13.5" customHeight="1" thickBot="1" x14ac:dyDescent="0.3">
      <c r="A500" s="762" t="s">
        <v>0</v>
      </c>
      <c r="B500" s="763"/>
      <c r="C500" s="764"/>
      <c r="D500" s="765"/>
      <c r="E500" s="766">
        <f>(C502+C529+C554)</f>
        <v>364067293</v>
      </c>
      <c r="F500" s="689"/>
      <c r="I500" s="307"/>
    </row>
    <row r="501" spans="1:9" s="306" customFormat="1" ht="13.5" customHeight="1" thickBot="1" x14ac:dyDescent="0.3">
      <c r="A501" s="336"/>
      <c r="B501" s="336"/>
      <c r="C501" s="300"/>
      <c r="D501" s="302"/>
      <c r="E501" s="300"/>
      <c r="F501" s="689"/>
      <c r="I501" s="307"/>
    </row>
    <row r="502" spans="1:9" s="306" customFormat="1" ht="13.5" customHeight="1" thickBot="1" x14ac:dyDescent="0.3">
      <c r="A502" s="1104" t="s">
        <v>2</v>
      </c>
      <c r="B502" s="1105"/>
      <c r="C502" s="667">
        <f>(C503+C505+C507+C509+C513+C518+C525)</f>
        <v>31479663</v>
      </c>
      <c r="D502" s="302"/>
      <c r="E502" s="300"/>
      <c r="F502" s="689"/>
      <c r="I502" s="307"/>
    </row>
    <row r="503" spans="1:9" s="306" customFormat="1" ht="13.5" customHeight="1" x14ac:dyDescent="0.25">
      <c r="A503" s="11" t="s">
        <v>103</v>
      </c>
      <c r="B503" s="564" t="s">
        <v>104</v>
      </c>
      <c r="C503" s="32">
        <f>SUM(C504:C504)</f>
        <v>1722560</v>
      </c>
      <c r="D503" s="302"/>
      <c r="E503" s="300"/>
      <c r="F503" s="689"/>
      <c r="I503" s="307"/>
    </row>
    <row r="504" spans="1:9" s="306" customFormat="1" ht="13.5" customHeight="1" x14ac:dyDescent="0.25">
      <c r="A504" s="12" t="s">
        <v>46</v>
      </c>
      <c r="B504" s="72" t="s">
        <v>45</v>
      </c>
      <c r="C504" s="22">
        <v>1722560</v>
      </c>
      <c r="D504" s="302"/>
      <c r="E504" s="300"/>
      <c r="F504" s="689"/>
      <c r="I504" s="307"/>
    </row>
    <row r="505" spans="1:9" s="306" customFormat="1" ht="13.5" customHeight="1" x14ac:dyDescent="0.25">
      <c r="A505" s="11" t="s">
        <v>388</v>
      </c>
      <c r="B505" s="265" t="s">
        <v>219</v>
      </c>
      <c r="C505" s="32">
        <f>SUM(C506)</f>
        <v>178500</v>
      </c>
      <c r="D505" s="302"/>
      <c r="E505" s="300"/>
      <c r="F505" s="689"/>
      <c r="I505" s="307"/>
    </row>
    <row r="506" spans="1:9" s="306" customFormat="1" ht="13.5" customHeight="1" x14ac:dyDescent="0.25">
      <c r="A506" s="12" t="s">
        <v>218</v>
      </c>
      <c r="B506" s="72" t="s">
        <v>217</v>
      </c>
      <c r="C506" s="22">
        <v>178500</v>
      </c>
      <c r="D506" s="302"/>
      <c r="E506" s="300"/>
      <c r="F506" s="689"/>
      <c r="I506" s="307"/>
    </row>
    <row r="507" spans="1:9" s="306" customFormat="1" ht="13.5" customHeight="1" x14ac:dyDescent="0.25">
      <c r="A507" s="11" t="s">
        <v>107</v>
      </c>
      <c r="B507" s="265" t="s">
        <v>108</v>
      </c>
      <c r="C507" s="31">
        <f>SUM(C508:C508)</f>
        <v>30720</v>
      </c>
      <c r="D507" s="302"/>
      <c r="E507" s="300"/>
      <c r="F507" s="689"/>
      <c r="I507" s="307"/>
    </row>
    <row r="508" spans="1:9" s="306" customFormat="1" ht="13.5" customHeight="1" x14ac:dyDescent="0.25">
      <c r="A508" s="12" t="s">
        <v>47</v>
      </c>
      <c r="B508" s="24" t="s">
        <v>48</v>
      </c>
      <c r="C508" s="24">
        <v>30720</v>
      </c>
      <c r="D508" s="302"/>
      <c r="E508" s="300"/>
      <c r="F508" s="689"/>
      <c r="I508" s="307"/>
    </row>
    <row r="509" spans="1:9" s="306" customFormat="1" ht="13.5" customHeight="1" x14ac:dyDescent="0.25">
      <c r="A509" s="11" t="s">
        <v>748</v>
      </c>
      <c r="B509" s="31" t="s">
        <v>194</v>
      </c>
      <c r="C509" s="31">
        <f>SUM(C510:C512)</f>
        <v>14871580</v>
      </c>
      <c r="D509" s="302"/>
      <c r="E509" s="300"/>
      <c r="F509" s="689"/>
      <c r="I509" s="307"/>
    </row>
    <row r="510" spans="1:9" s="306" customFormat="1" ht="13.5" customHeight="1" x14ac:dyDescent="0.25">
      <c r="A510" s="12" t="s">
        <v>193</v>
      </c>
      <c r="B510" s="24" t="s">
        <v>215</v>
      </c>
      <c r="C510" s="24">
        <v>13543620</v>
      </c>
      <c r="D510" s="302"/>
      <c r="E510" s="300"/>
      <c r="F510" s="689"/>
      <c r="I510" s="307"/>
    </row>
    <row r="511" spans="1:9" s="306" customFormat="1" ht="13.5" customHeight="1" x14ac:dyDescent="0.25">
      <c r="A511" s="12" t="s">
        <v>214</v>
      </c>
      <c r="B511" s="24" t="s">
        <v>213</v>
      </c>
      <c r="C511" s="24">
        <v>512500</v>
      </c>
      <c r="D511" s="302"/>
      <c r="E511" s="300"/>
      <c r="F511" s="689"/>
      <c r="I511" s="307"/>
    </row>
    <row r="512" spans="1:9" s="306" customFormat="1" ht="13.5" customHeight="1" x14ac:dyDescent="0.25">
      <c r="A512" s="12" t="s">
        <v>261</v>
      </c>
      <c r="B512" s="24" t="s">
        <v>262</v>
      </c>
      <c r="C512" s="24">
        <v>815460</v>
      </c>
      <c r="D512" s="302"/>
      <c r="E512" s="300"/>
      <c r="F512" s="689"/>
      <c r="I512" s="307"/>
    </row>
    <row r="513" spans="1:9" s="306" customFormat="1" ht="13.5" customHeight="1" x14ac:dyDescent="0.25">
      <c r="A513" s="11" t="s">
        <v>749</v>
      </c>
      <c r="B513" s="31" t="s">
        <v>750</v>
      </c>
      <c r="C513" s="31">
        <f>SUM(C514:C517)</f>
        <v>4949500</v>
      </c>
      <c r="D513" s="302"/>
      <c r="E513" s="300"/>
      <c r="F513" s="689"/>
      <c r="I513" s="307"/>
    </row>
    <row r="514" spans="1:9" s="306" customFormat="1" ht="13.5" customHeight="1" x14ac:dyDescent="0.25">
      <c r="A514" s="12" t="s">
        <v>190</v>
      </c>
      <c r="B514" s="24" t="s">
        <v>189</v>
      </c>
      <c r="C514" s="24">
        <v>1095000</v>
      </c>
      <c r="D514" s="302"/>
      <c r="E514" s="300"/>
      <c r="F514" s="689"/>
      <c r="I514" s="307"/>
    </row>
    <row r="515" spans="1:9" s="306" customFormat="1" ht="13.5" customHeight="1" x14ac:dyDescent="0.25">
      <c r="A515" s="12" t="s">
        <v>188</v>
      </c>
      <c r="B515" s="24" t="s">
        <v>187</v>
      </c>
      <c r="C515" s="24">
        <v>1625000</v>
      </c>
      <c r="D515" s="302"/>
      <c r="E515" s="300"/>
      <c r="F515" s="689"/>
      <c r="I515" s="307"/>
    </row>
    <row r="516" spans="1:9" s="306" customFormat="1" ht="13.5" customHeight="1" x14ac:dyDescent="0.25">
      <c r="A516" s="12" t="s">
        <v>212</v>
      </c>
      <c r="B516" s="24" t="s">
        <v>842</v>
      </c>
      <c r="C516" s="24">
        <v>2024100</v>
      </c>
      <c r="D516" s="302"/>
      <c r="E516" s="300"/>
      <c r="F516" s="689"/>
      <c r="I516" s="307"/>
    </row>
    <row r="517" spans="1:9" s="306" customFormat="1" ht="13.5" customHeight="1" x14ac:dyDescent="0.25">
      <c r="A517" s="12" t="s">
        <v>186</v>
      </c>
      <c r="B517" s="24" t="s">
        <v>185</v>
      </c>
      <c r="C517" s="24">
        <v>205400</v>
      </c>
      <c r="D517" s="302"/>
      <c r="E517" s="300"/>
      <c r="F517" s="689"/>
      <c r="I517" s="307"/>
    </row>
    <row r="518" spans="1:9" s="306" customFormat="1" ht="13.5" customHeight="1" x14ac:dyDescent="0.25">
      <c r="A518" s="265" t="s">
        <v>124</v>
      </c>
      <c r="B518" s="25" t="s">
        <v>123</v>
      </c>
      <c r="C518" s="31">
        <f>SUM(C519:C524)</f>
        <v>9344223</v>
      </c>
      <c r="D518" s="302"/>
      <c r="E518" s="300"/>
      <c r="F518" s="689"/>
      <c r="I518" s="307"/>
    </row>
    <row r="519" spans="1:9" s="306" customFormat="1" ht="13.5" customHeight="1" x14ac:dyDescent="0.25">
      <c r="A519" s="72" t="s">
        <v>230</v>
      </c>
      <c r="B519" s="23" t="s">
        <v>751</v>
      </c>
      <c r="C519" s="24">
        <v>86905</v>
      </c>
      <c r="D519" s="302"/>
      <c r="E519" s="300"/>
      <c r="F519" s="689"/>
      <c r="I519" s="307"/>
    </row>
    <row r="520" spans="1:9" s="306" customFormat="1" ht="13.5" customHeight="1" x14ac:dyDescent="0.25">
      <c r="A520" s="72" t="s">
        <v>265</v>
      </c>
      <c r="B520" s="23" t="s">
        <v>266</v>
      </c>
      <c r="C520" s="24">
        <v>295600</v>
      </c>
      <c r="D520" s="302"/>
      <c r="E520" s="300"/>
      <c r="F520" s="689"/>
      <c r="I520" s="307"/>
    </row>
    <row r="521" spans="1:9" s="306" customFormat="1" ht="13.5" customHeight="1" x14ac:dyDescent="0.25">
      <c r="A521" s="72" t="s">
        <v>242</v>
      </c>
      <c r="B521" s="23" t="s">
        <v>243</v>
      </c>
      <c r="C521" s="24">
        <v>4768128</v>
      </c>
      <c r="D521" s="302"/>
      <c r="E521" s="300"/>
      <c r="F521" s="689"/>
      <c r="I521" s="307"/>
    </row>
    <row r="522" spans="1:9" s="306" customFormat="1" ht="13.5" customHeight="1" x14ac:dyDescent="0.25">
      <c r="A522" s="72" t="s">
        <v>267</v>
      </c>
      <c r="B522" s="23" t="s">
        <v>268</v>
      </c>
      <c r="C522" s="24">
        <v>2145090</v>
      </c>
      <c r="D522" s="302"/>
      <c r="E522" s="300"/>
      <c r="F522" s="689"/>
      <c r="I522" s="307"/>
    </row>
    <row r="523" spans="1:9" s="306" customFormat="1" ht="13.5" customHeight="1" x14ac:dyDescent="0.25">
      <c r="A523" s="72" t="s">
        <v>93</v>
      </c>
      <c r="B523" s="23" t="s">
        <v>72</v>
      </c>
      <c r="C523" s="24">
        <v>798500</v>
      </c>
      <c r="D523" s="302"/>
      <c r="E523" s="300"/>
      <c r="F523" s="689"/>
      <c r="I523" s="307"/>
    </row>
    <row r="524" spans="1:9" s="306" customFormat="1" ht="13.5" customHeight="1" x14ac:dyDescent="0.25">
      <c r="A524" s="72" t="s">
        <v>610</v>
      </c>
      <c r="B524" s="23" t="s">
        <v>611</v>
      </c>
      <c r="C524" s="24">
        <v>1250000</v>
      </c>
      <c r="D524" s="302"/>
      <c r="E524" s="300"/>
      <c r="F524" s="689"/>
      <c r="I524" s="307"/>
    </row>
    <row r="525" spans="1:9" s="306" customFormat="1" ht="13.5" customHeight="1" x14ac:dyDescent="0.25">
      <c r="A525" s="265" t="s">
        <v>297</v>
      </c>
      <c r="B525" s="25" t="s">
        <v>133</v>
      </c>
      <c r="C525" s="31">
        <f>SUM(C526:C527)</f>
        <v>382580</v>
      </c>
      <c r="D525" s="302"/>
      <c r="E525" s="300"/>
      <c r="F525" s="689"/>
      <c r="I525" s="307"/>
    </row>
    <row r="526" spans="1:9" s="306" customFormat="1" ht="13.5" customHeight="1" x14ac:dyDescent="0.25">
      <c r="A526" s="12" t="s">
        <v>152</v>
      </c>
      <c r="B526" s="24" t="s">
        <v>65</v>
      </c>
      <c r="C526" s="24">
        <v>294580</v>
      </c>
      <c r="D526" s="302"/>
      <c r="E526" s="300"/>
      <c r="F526" s="689"/>
      <c r="I526" s="307"/>
    </row>
    <row r="527" spans="1:9" s="306" customFormat="1" ht="13.5" customHeight="1" x14ac:dyDescent="0.25">
      <c r="A527" s="72" t="s">
        <v>155</v>
      </c>
      <c r="B527" s="23" t="s">
        <v>133</v>
      </c>
      <c r="C527" s="24">
        <v>88000</v>
      </c>
      <c r="D527" s="302"/>
      <c r="E527" s="300"/>
      <c r="F527" s="689"/>
      <c r="I527" s="307"/>
    </row>
    <row r="528" spans="1:9" s="306" customFormat="1" ht="13.5" customHeight="1" thickBot="1" x14ac:dyDescent="0.3">
      <c r="A528" s="72"/>
      <c r="B528" s="23"/>
      <c r="C528" s="24"/>
      <c r="D528" s="302"/>
      <c r="E528" s="300"/>
      <c r="F528" s="689"/>
      <c r="I528" s="307"/>
    </row>
    <row r="529" spans="1:9" s="306" customFormat="1" ht="13.5" customHeight="1" thickBot="1" x14ac:dyDescent="0.3">
      <c r="A529" s="1096" t="s">
        <v>3</v>
      </c>
      <c r="B529" s="1097"/>
      <c r="C529" s="668">
        <f>(C530+C534+C540+C546+C549)</f>
        <v>327985830</v>
      </c>
      <c r="D529" s="302"/>
      <c r="E529" s="300"/>
      <c r="F529" s="689"/>
      <c r="I529" s="307"/>
    </row>
    <row r="530" spans="1:9" s="306" customFormat="1" ht="13.5" customHeight="1" x14ac:dyDescent="0.25">
      <c r="A530" s="684" t="s">
        <v>752</v>
      </c>
      <c r="B530" s="684" t="s">
        <v>111</v>
      </c>
      <c r="C530" s="685">
        <f>SUM(C531:C533)</f>
        <v>2355880</v>
      </c>
      <c r="D530" s="302"/>
      <c r="E530" s="300"/>
      <c r="F530" s="689"/>
      <c r="I530" s="307"/>
    </row>
    <row r="531" spans="1:9" s="306" customFormat="1" ht="13.5" customHeight="1" x14ac:dyDescent="0.25">
      <c r="A531" s="686" t="s">
        <v>269</v>
      </c>
      <c r="B531" s="686" t="s">
        <v>510</v>
      </c>
      <c r="C531" s="687">
        <v>1361380</v>
      </c>
      <c r="D531" s="302"/>
      <c r="E531" s="300"/>
      <c r="F531" s="689"/>
      <c r="I531" s="307"/>
    </row>
    <row r="532" spans="1:9" s="306" customFormat="1" ht="13.5" customHeight="1" x14ac:dyDescent="0.25">
      <c r="A532" s="686" t="s">
        <v>271</v>
      </c>
      <c r="B532" s="686" t="s">
        <v>753</v>
      </c>
      <c r="C532" s="687">
        <v>780000</v>
      </c>
      <c r="D532" s="302"/>
      <c r="E532" s="300"/>
      <c r="F532" s="689"/>
      <c r="I532" s="307"/>
    </row>
    <row r="533" spans="1:9" s="306" customFormat="1" ht="13.5" customHeight="1" x14ac:dyDescent="0.25">
      <c r="A533" s="686" t="s">
        <v>52</v>
      </c>
      <c r="B533" s="686" t="s">
        <v>15</v>
      </c>
      <c r="C533" s="687">
        <v>214500</v>
      </c>
      <c r="D533" s="302"/>
      <c r="E533" s="300"/>
      <c r="F533" s="689"/>
      <c r="I533" s="307"/>
    </row>
    <row r="534" spans="1:9" s="306" customFormat="1" ht="13.5" customHeight="1" x14ac:dyDescent="0.25">
      <c r="A534" s="11" t="s">
        <v>120</v>
      </c>
      <c r="B534" s="11" t="s">
        <v>121</v>
      </c>
      <c r="C534" s="31">
        <f>SUM(C535:C539)</f>
        <v>4202130</v>
      </c>
      <c r="D534" s="302"/>
      <c r="E534" s="300"/>
      <c r="F534" s="689"/>
      <c r="I534" s="307"/>
    </row>
    <row r="535" spans="1:9" s="306" customFormat="1" ht="13.5" customHeight="1" x14ac:dyDescent="0.25">
      <c r="A535" s="12" t="s">
        <v>246</v>
      </c>
      <c r="B535" s="12" t="s">
        <v>754</v>
      </c>
      <c r="C535" s="24">
        <v>22500</v>
      </c>
      <c r="D535" s="302"/>
      <c r="E535" s="300"/>
      <c r="F535" s="689"/>
      <c r="I535" s="307"/>
    </row>
    <row r="536" spans="1:9" s="306" customFormat="1" ht="13.5" customHeight="1" x14ac:dyDescent="0.25">
      <c r="A536" s="12" t="s">
        <v>183</v>
      </c>
      <c r="B536" s="12" t="s">
        <v>273</v>
      </c>
      <c r="C536" s="24">
        <v>690630</v>
      </c>
      <c r="D536" s="302"/>
      <c r="E536" s="300"/>
      <c r="F536" s="689"/>
      <c r="I536" s="307"/>
    </row>
    <row r="537" spans="1:9" s="306" customFormat="1" ht="13.5" customHeight="1" x14ac:dyDescent="0.25">
      <c r="A537" s="12" t="s">
        <v>208</v>
      </c>
      <c r="B537" s="12" t="s">
        <v>207</v>
      </c>
      <c r="C537" s="24">
        <v>587500</v>
      </c>
      <c r="D537" s="302"/>
      <c r="E537" s="300"/>
      <c r="F537" s="689"/>
      <c r="I537" s="307"/>
    </row>
    <row r="538" spans="1:9" s="306" customFormat="1" ht="13.5" customHeight="1" x14ac:dyDescent="0.25">
      <c r="A538" s="12" t="s">
        <v>140</v>
      </c>
      <c r="B538" s="12" t="s">
        <v>141</v>
      </c>
      <c r="C538" s="24">
        <v>1812500</v>
      </c>
      <c r="D538" s="302"/>
      <c r="E538" s="300"/>
      <c r="F538" s="689"/>
      <c r="I538" s="307"/>
    </row>
    <row r="539" spans="1:9" s="306" customFormat="1" ht="13.5" customHeight="1" x14ac:dyDescent="0.25">
      <c r="A539" s="12" t="s">
        <v>136</v>
      </c>
      <c r="B539" s="12" t="s">
        <v>71</v>
      </c>
      <c r="C539" s="24">
        <v>1089000</v>
      </c>
      <c r="D539" s="302"/>
      <c r="E539" s="300"/>
      <c r="F539" s="689"/>
      <c r="I539" s="307"/>
    </row>
    <row r="540" spans="1:9" s="306" customFormat="1" ht="13.5" customHeight="1" x14ac:dyDescent="0.25">
      <c r="A540" s="11" t="s">
        <v>755</v>
      </c>
      <c r="B540" s="11" t="s">
        <v>275</v>
      </c>
      <c r="C540" s="31">
        <f>SUM(C541:C545)</f>
        <v>320402240</v>
      </c>
      <c r="D540" s="302"/>
      <c r="E540" s="300"/>
      <c r="F540" s="689"/>
      <c r="I540" s="307"/>
    </row>
    <row r="541" spans="1:9" s="306" customFormat="1" ht="13.5" customHeight="1" x14ac:dyDescent="0.25">
      <c r="A541" s="12" t="s">
        <v>276</v>
      </c>
      <c r="B541" s="12" t="s">
        <v>277</v>
      </c>
      <c r="C541" s="24">
        <v>43254560</v>
      </c>
      <c r="D541" s="302"/>
      <c r="E541" s="300"/>
      <c r="F541" s="689"/>
      <c r="I541" s="307"/>
    </row>
    <row r="542" spans="1:9" s="306" customFormat="1" ht="13.5" customHeight="1" x14ac:dyDescent="0.25">
      <c r="A542" s="12" t="s">
        <v>278</v>
      </c>
      <c r="B542" s="12" t="s">
        <v>279</v>
      </c>
      <c r="C542" s="24">
        <v>104596530</v>
      </c>
      <c r="D542" s="302"/>
      <c r="E542" s="300"/>
      <c r="F542" s="689"/>
      <c r="I542" s="307"/>
    </row>
    <row r="543" spans="1:9" s="306" customFormat="1" ht="13.5" customHeight="1" x14ac:dyDescent="0.25">
      <c r="A543" s="12" t="s">
        <v>280</v>
      </c>
      <c r="B543" s="12" t="s">
        <v>281</v>
      </c>
      <c r="C543" s="24">
        <v>121797150</v>
      </c>
      <c r="D543" s="302"/>
      <c r="E543" s="300"/>
      <c r="F543" s="689"/>
      <c r="I543" s="307"/>
    </row>
    <row r="544" spans="1:9" s="306" customFormat="1" ht="13.5" customHeight="1" x14ac:dyDescent="0.25">
      <c r="A544" s="12" t="s">
        <v>282</v>
      </c>
      <c r="B544" s="12" t="s">
        <v>756</v>
      </c>
      <c r="C544" s="24">
        <v>50400000</v>
      </c>
      <c r="D544" s="302"/>
      <c r="E544" s="300"/>
      <c r="F544" s="689"/>
      <c r="I544" s="307"/>
    </row>
    <row r="545" spans="1:9" s="306" customFormat="1" ht="13.5" customHeight="1" x14ac:dyDescent="0.25">
      <c r="A545" s="12" t="s">
        <v>283</v>
      </c>
      <c r="B545" s="12" t="s">
        <v>284</v>
      </c>
      <c r="C545" s="24">
        <v>354000</v>
      </c>
      <c r="D545" s="302"/>
      <c r="E545" s="300"/>
      <c r="F545" s="689"/>
      <c r="I545" s="307"/>
    </row>
    <row r="546" spans="1:9" s="306" customFormat="1" ht="13.5" customHeight="1" x14ac:dyDescent="0.25">
      <c r="A546" s="11" t="s">
        <v>112</v>
      </c>
      <c r="B546" s="11" t="s">
        <v>157</v>
      </c>
      <c r="C546" s="31">
        <f>SUM(C547:C548)</f>
        <v>124900</v>
      </c>
      <c r="D546" s="302"/>
      <c r="E546" s="300"/>
      <c r="F546" s="689"/>
      <c r="I546" s="307"/>
    </row>
    <row r="547" spans="1:9" s="306" customFormat="1" ht="13.5" customHeight="1" x14ac:dyDescent="0.25">
      <c r="A547" s="12" t="s">
        <v>138</v>
      </c>
      <c r="B547" s="59" t="s">
        <v>878</v>
      </c>
      <c r="C547" s="24">
        <v>6700</v>
      </c>
      <c r="D547" s="302"/>
      <c r="E547" s="300"/>
      <c r="F547" s="689"/>
      <c r="I547" s="307"/>
    </row>
    <row r="548" spans="1:9" s="306" customFormat="1" ht="13.5" customHeight="1" x14ac:dyDescent="0.25">
      <c r="A548" s="12" t="s">
        <v>49</v>
      </c>
      <c r="B548" s="24" t="s">
        <v>87</v>
      </c>
      <c r="C548" s="24">
        <v>118200</v>
      </c>
      <c r="D548" s="302"/>
      <c r="E548" s="300"/>
      <c r="F548" s="689"/>
      <c r="I548" s="307"/>
    </row>
    <row r="549" spans="1:9" s="306" customFormat="1" ht="13.5" customHeight="1" x14ac:dyDescent="0.25">
      <c r="A549" s="11" t="s">
        <v>115</v>
      </c>
      <c r="B549" s="31" t="s">
        <v>8</v>
      </c>
      <c r="C549" s="31">
        <f>SUM(C550:C552)</f>
        <v>900680</v>
      </c>
      <c r="D549" s="302"/>
      <c r="E549" s="300"/>
      <c r="F549" s="689"/>
      <c r="I549" s="307"/>
    </row>
    <row r="550" spans="1:9" s="306" customFormat="1" ht="13.5" customHeight="1" x14ac:dyDescent="0.25">
      <c r="A550" s="12" t="s">
        <v>92</v>
      </c>
      <c r="B550" s="24" t="s">
        <v>8</v>
      </c>
      <c r="C550" s="24">
        <v>18000</v>
      </c>
      <c r="D550" s="302"/>
      <c r="E550" s="300"/>
      <c r="F550" s="689"/>
      <c r="I550" s="307"/>
    </row>
    <row r="551" spans="1:9" s="306" customFormat="1" ht="13.5" customHeight="1" x14ac:dyDescent="0.25">
      <c r="A551" s="12" t="s">
        <v>181</v>
      </c>
      <c r="B551" s="24" t="s">
        <v>50</v>
      </c>
      <c r="C551" s="24">
        <v>9560</v>
      </c>
      <c r="D551" s="302"/>
      <c r="E551" s="300"/>
      <c r="F551" s="689"/>
      <c r="I551" s="307"/>
    </row>
    <row r="552" spans="1:9" s="306" customFormat="1" ht="13.5" customHeight="1" x14ac:dyDescent="0.25">
      <c r="A552" s="12" t="s">
        <v>90</v>
      </c>
      <c r="B552" s="24" t="s">
        <v>7</v>
      </c>
      <c r="C552" s="24">
        <v>873120</v>
      </c>
      <c r="D552" s="302"/>
      <c r="E552" s="300"/>
      <c r="F552" s="689"/>
      <c r="I552" s="307"/>
    </row>
    <row r="553" spans="1:9" s="306" customFormat="1" ht="13.5" customHeight="1" thickBot="1" x14ac:dyDescent="0.3">
      <c r="A553" s="12"/>
      <c r="B553" s="24"/>
      <c r="C553" s="24"/>
      <c r="D553" s="302"/>
      <c r="E553" s="300"/>
      <c r="F553" s="689"/>
      <c r="I553" s="307"/>
    </row>
    <row r="554" spans="1:9" s="306" customFormat="1" ht="13.5" customHeight="1" thickBot="1" x14ac:dyDescent="0.3">
      <c r="A554" s="1100" t="s">
        <v>4</v>
      </c>
      <c r="B554" s="1101"/>
      <c r="C554" s="670">
        <f>(C555+C559+C561+C563)</f>
        <v>4601800</v>
      </c>
      <c r="D554" s="302"/>
      <c r="E554" s="300"/>
      <c r="F554" s="689"/>
      <c r="I554" s="307"/>
    </row>
    <row r="555" spans="1:9" s="306" customFormat="1" ht="13.5" customHeight="1" x14ac:dyDescent="0.25">
      <c r="A555" s="684" t="s">
        <v>734</v>
      </c>
      <c r="B555" s="684" t="s">
        <v>178</v>
      </c>
      <c r="C555" s="685">
        <f>SUM(C556:C558)</f>
        <v>3760000</v>
      </c>
      <c r="D555" s="302"/>
      <c r="E555" s="300"/>
      <c r="F555" s="689"/>
      <c r="I555" s="307"/>
    </row>
    <row r="556" spans="1:9" s="306" customFormat="1" ht="13.5" customHeight="1" x14ac:dyDescent="0.25">
      <c r="A556" s="686" t="s">
        <v>177</v>
      </c>
      <c r="B556" s="686" t="s">
        <v>381</v>
      </c>
      <c r="C556" s="687">
        <v>1425000</v>
      </c>
      <c r="D556" s="302"/>
      <c r="E556" s="300"/>
      <c r="F556" s="689"/>
      <c r="I556" s="307"/>
    </row>
    <row r="557" spans="1:9" s="306" customFormat="1" ht="13.5" customHeight="1" x14ac:dyDescent="0.25">
      <c r="A557" s="686" t="s">
        <v>175</v>
      </c>
      <c r="B557" s="686" t="s">
        <v>757</v>
      </c>
      <c r="C557" s="687">
        <v>1500000</v>
      </c>
      <c r="D557" s="302"/>
      <c r="E557" s="300"/>
      <c r="F557" s="689"/>
      <c r="I557" s="307"/>
    </row>
    <row r="558" spans="1:9" s="306" customFormat="1" ht="13.5" customHeight="1" x14ac:dyDescent="0.25">
      <c r="A558" s="686" t="s">
        <v>173</v>
      </c>
      <c r="B558" s="686" t="s">
        <v>758</v>
      </c>
      <c r="C558" s="687">
        <v>835000</v>
      </c>
      <c r="D558" s="302"/>
      <c r="E558" s="300"/>
      <c r="F558" s="689"/>
      <c r="I558" s="307"/>
    </row>
    <row r="559" spans="1:9" s="306" customFormat="1" ht="13.5" customHeight="1" x14ac:dyDescent="0.25">
      <c r="A559" s="684" t="s">
        <v>759</v>
      </c>
      <c r="B559" s="684" t="s">
        <v>170</v>
      </c>
      <c r="C559" s="685">
        <f>SUM(C560)</f>
        <v>750000</v>
      </c>
      <c r="D559" s="302"/>
      <c r="E559" s="300"/>
      <c r="F559" s="689"/>
      <c r="I559" s="307"/>
    </row>
    <row r="560" spans="1:9" s="306" customFormat="1" ht="13.5" customHeight="1" x14ac:dyDescent="0.25">
      <c r="A560" s="686" t="s">
        <v>169</v>
      </c>
      <c r="B560" s="686" t="s">
        <v>168</v>
      </c>
      <c r="C560" s="687">
        <v>750000</v>
      </c>
      <c r="D560" s="302"/>
      <c r="E560" s="300"/>
      <c r="F560" s="689"/>
      <c r="I560" s="307"/>
    </row>
    <row r="561" spans="1:9" s="306" customFormat="1" ht="13.5" customHeight="1" x14ac:dyDescent="0.25">
      <c r="A561" s="265" t="s">
        <v>116</v>
      </c>
      <c r="B561" s="564" t="s">
        <v>117</v>
      </c>
      <c r="C561" s="290">
        <f>SUM(C562)</f>
        <v>26800</v>
      </c>
      <c r="D561" s="302"/>
      <c r="E561" s="300"/>
      <c r="F561" s="689"/>
      <c r="I561" s="307"/>
    </row>
    <row r="562" spans="1:9" s="306" customFormat="1" ht="13.5" customHeight="1" x14ac:dyDescent="0.25">
      <c r="A562" s="72" t="s">
        <v>91</v>
      </c>
      <c r="B562" s="72" t="s">
        <v>139</v>
      </c>
      <c r="C562" s="24">
        <v>26800</v>
      </c>
      <c r="D562" s="302"/>
      <c r="E562" s="300"/>
      <c r="F562" s="689"/>
      <c r="I562" s="307"/>
    </row>
    <row r="563" spans="1:9" s="306" customFormat="1" ht="13.5" customHeight="1" x14ac:dyDescent="0.25">
      <c r="A563" s="262" t="s">
        <v>166</v>
      </c>
      <c r="B563" s="11" t="s">
        <v>134</v>
      </c>
      <c r="C563" s="31">
        <f>SUM(C564)</f>
        <v>65000</v>
      </c>
      <c r="D563" s="302"/>
      <c r="E563" s="300"/>
      <c r="F563" s="689"/>
      <c r="I563" s="307"/>
    </row>
    <row r="564" spans="1:9" s="306" customFormat="1" ht="13.5" customHeight="1" x14ac:dyDescent="0.25">
      <c r="A564" s="273" t="s">
        <v>167</v>
      </c>
      <c r="B564" s="12" t="s">
        <v>51</v>
      </c>
      <c r="C564" s="303">
        <v>65000</v>
      </c>
      <c r="D564" s="302"/>
      <c r="E564" s="300"/>
      <c r="F564" s="689"/>
      <c r="I564" s="307"/>
    </row>
    <row r="565" spans="1:9" s="306" customFormat="1" ht="13.5" customHeight="1" x14ac:dyDescent="0.25">
      <c r="A565" s="336"/>
      <c r="B565" s="336"/>
      <c r="C565" s="300"/>
      <c r="D565" s="302"/>
      <c r="E565" s="300"/>
      <c r="F565" s="689"/>
      <c r="I565" s="307"/>
    </row>
    <row r="566" spans="1:9" s="306" customFormat="1" ht="13.5" customHeight="1" x14ac:dyDescent="0.25">
      <c r="A566" s="336"/>
      <c r="B566" s="336"/>
      <c r="C566" s="300"/>
      <c r="D566" s="302"/>
      <c r="E566" s="300"/>
      <c r="F566" s="689"/>
      <c r="I566" s="307"/>
    </row>
    <row r="567" spans="1:9" s="122" customFormat="1" ht="13.5" customHeight="1" x14ac:dyDescent="0.25">
      <c r="A567" s="53"/>
      <c r="B567" s="53"/>
      <c r="C567" s="303"/>
      <c r="D567" s="277"/>
      <c r="E567" s="303"/>
      <c r="F567" s="931"/>
      <c r="I567" s="318"/>
    </row>
    <row r="568" spans="1:9" s="128" customFormat="1" ht="13.5" customHeight="1" x14ac:dyDescent="0.25">
      <c r="A568" s="688" t="s">
        <v>299</v>
      </c>
      <c r="B568" s="688"/>
      <c r="C568" s="24"/>
      <c r="D568" s="23"/>
      <c r="E568" s="274"/>
      <c r="F568" s="689"/>
      <c r="I568" s="276"/>
    </row>
    <row r="569" spans="1:9" s="122" customFormat="1" ht="13.5" customHeight="1" thickBot="1" x14ac:dyDescent="0.3">
      <c r="A569" s="53"/>
      <c r="B569" s="53"/>
      <c r="C569" s="303"/>
      <c r="D569" s="277"/>
      <c r="E569" s="303"/>
      <c r="F569" s="931"/>
      <c r="I569" s="318"/>
    </row>
    <row r="570" spans="1:9" s="328" customFormat="1" ht="13.5" customHeight="1" x14ac:dyDescent="0.25">
      <c r="A570" s="648" t="s">
        <v>760</v>
      </c>
      <c r="B570" s="649"/>
      <c r="C570" s="690"/>
      <c r="D570" s="692" t="s">
        <v>6</v>
      </c>
      <c r="E570" s="964">
        <v>1310</v>
      </c>
      <c r="F570" s="689"/>
      <c r="I570" s="329"/>
    </row>
    <row r="571" spans="1:9" s="328" customFormat="1" ht="13.5" customHeight="1" thickBot="1" x14ac:dyDescent="0.3">
      <c r="A571" s="774"/>
      <c r="B571" s="653"/>
      <c r="C571" s="693"/>
      <c r="D571" s="695"/>
      <c r="E571" s="965"/>
      <c r="F571" s="689"/>
      <c r="I571" s="329"/>
    </row>
    <row r="572" spans="1:9" s="328" customFormat="1" ht="13.5" customHeight="1" x14ac:dyDescent="0.25">
      <c r="A572" s="268" t="s">
        <v>1049</v>
      </c>
      <c r="B572" s="53"/>
      <c r="C572" s="303"/>
      <c r="D572" s="277"/>
      <c r="E572" s="305"/>
      <c r="F572" s="689"/>
      <c r="I572" s="329"/>
    </row>
    <row r="573" spans="1:9" s="328" customFormat="1" ht="13.5" customHeight="1" x14ac:dyDescent="0.25">
      <c r="A573" s="268" t="s">
        <v>761</v>
      </c>
      <c r="B573" s="53"/>
      <c r="C573" s="303"/>
      <c r="D573" s="277"/>
      <c r="E573" s="305"/>
      <c r="F573" s="689"/>
      <c r="I573" s="329"/>
    </row>
    <row r="574" spans="1:9" s="328" customFormat="1" ht="13.5" customHeight="1" x14ac:dyDescent="0.25">
      <c r="A574" s="268" t="s">
        <v>1040</v>
      </c>
      <c r="B574" s="53"/>
      <c r="C574" s="303"/>
      <c r="D574" s="277"/>
      <c r="E574" s="305"/>
      <c r="F574" s="689"/>
      <c r="I574" s="329"/>
    </row>
    <row r="575" spans="1:9" s="328" customFormat="1" ht="13.5" customHeight="1" thickBot="1" x14ac:dyDescent="0.3">
      <c r="A575" s="268" t="s">
        <v>11</v>
      </c>
      <c r="B575" s="53"/>
      <c r="C575" s="330"/>
      <c r="D575" s="277"/>
      <c r="E575" s="305"/>
      <c r="F575" s="689"/>
      <c r="I575" s="329"/>
    </row>
    <row r="576" spans="1:9" s="328" customFormat="1" ht="13.5" customHeight="1" thickBot="1" x14ac:dyDescent="0.3">
      <c r="A576" s="762" t="s">
        <v>301</v>
      </c>
      <c r="B576" s="763"/>
      <c r="C576" s="764"/>
      <c r="D576" s="765"/>
      <c r="E576" s="766">
        <f>(D611+D623+D636)</f>
        <v>119773400</v>
      </c>
      <c r="F576" s="946"/>
      <c r="I576" s="329"/>
    </row>
    <row r="577" spans="1:9" s="328" customFormat="1" ht="13.5" customHeight="1" thickBot="1" x14ac:dyDescent="0.3">
      <c r="A577" s="270"/>
      <c r="B577" s="271"/>
      <c r="C577" s="272"/>
      <c r="D577" s="302"/>
      <c r="E577" s="300"/>
      <c r="F577" s="689"/>
      <c r="I577" s="329"/>
    </row>
    <row r="578" spans="1:9" s="128" customFormat="1" ht="13.5" hidden="1" customHeight="1" x14ac:dyDescent="0.25">
      <c r="A578" s="1174" t="s">
        <v>2</v>
      </c>
      <c r="B578" s="1175"/>
      <c r="C578" s="288">
        <f>C579+C586</f>
        <v>0</v>
      </c>
      <c r="D578" s="277"/>
      <c r="E578" s="303"/>
      <c r="F578" s="689"/>
      <c r="I578" s="276"/>
    </row>
    <row r="579" spans="1:9" s="12" customFormat="1" ht="13.5" hidden="1" customHeight="1" x14ac:dyDescent="0.25">
      <c r="A579" s="265" t="s">
        <v>124</v>
      </c>
      <c r="B579" s="25" t="s">
        <v>123</v>
      </c>
      <c r="C579" s="25">
        <f>SUM(C580:C585)</f>
        <v>0</v>
      </c>
      <c r="D579" s="22"/>
      <c r="E579" s="31"/>
      <c r="F579" s="936"/>
      <c r="G579" s="24"/>
      <c r="I579" s="296"/>
    </row>
    <row r="580" spans="1:9" s="12" customFormat="1" ht="13.5" hidden="1" customHeight="1" x14ac:dyDescent="0.25">
      <c r="A580" s="72" t="s">
        <v>230</v>
      </c>
      <c r="B580" s="23" t="s">
        <v>229</v>
      </c>
      <c r="C580" s="557"/>
      <c r="D580" s="22"/>
      <c r="E580" s="31"/>
      <c r="F580" s="936"/>
      <c r="G580" s="24"/>
      <c r="I580" s="296"/>
    </row>
    <row r="581" spans="1:9" s="12" customFormat="1" ht="13.5" hidden="1" customHeight="1" x14ac:dyDescent="0.25">
      <c r="A581" s="12" t="s">
        <v>265</v>
      </c>
      <c r="B581" s="24" t="s">
        <v>266</v>
      </c>
      <c r="C581" s="557"/>
      <c r="D581" s="96"/>
      <c r="E581" s="31"/>
      <c r="F581" s="936"/>
      <c r="G581" s="24"/>
      <c r="I581" s="296"/>
    </row>
    <row r="582" spans="1:9" s="12" customFormat="1" ht="13.5" hidden="1" customHeight="1" x14ac:dyDescent="0.25">
      <c r="A582" s="12" t="s">
        <v>242</v>
      </c>
      <c r="B582" s="24" t="s">
        <v>243</v>
      </c>
      <c r="C582" s="557"/>
      <c r="D582" s="79"/>
      <c r="E582" s="31"/>
      <c r="F582" s="936"/>
      <c r="G582" s="24"/>
      <c r="I582" s="296"/>
    </row>
    <row r="583" spans="1:9" s="12" customFormat="1" ht="13.5" hidden="1" customHeight="1" x14ac:dyDescent="0.25">
      <c r="A583" s="72" t="s">
        <v>267</v>
      </c>
      <c r="B583" s="12" t="s">
        <v>268</v>
      </c>
      <c r="C583" s="557"/>
      <c r="D583" s="96"/>
      <c r="E583" s="31"/>
      <c r="F583" s="936"/>
      <c r="G583" s="24"/>
      <c r="I583" s="296"/>
    </row>
    <row r="584" spans="1:9" s="5" customFormat="1" ht="13.5" hidden="1" thickBot="1" x14ac:dyDescent="0.3">
      <c r="A584" s="72" t="s">
        <v>93</v>
      </c>
      <c r="B584" s="23" t="s">
        <v>72</v>
      </c>
      <c r="C584" s="557"/>
      <c r="D584" s="21"/>
      <c r="E584" s="21"/>
      <c r="F584" s="598"/>
      <c r="I584" s="297"/>
    </row>
    <row r="585" spans="1:9" s="5" customFormat="1" ht="13.5" hidden="1" thickBot="1" x14ac:dyDescent="0.3">
      <c r="A585" s="72" t="s">
        <v>610</v>
      </c>
      <c r="B585" s="43" t="s">
        <v>611</v>
      </c>
      <c r="C585" s="557"/>
      <c r="D585" s="21"/>
      <c r="E585" s="21"/>
      <c r="F585" s="598"/>
      <c r="I585" s="297"/>
    </row>
    <row r="586" spans="1:9" s="5" customFormat="1" ht="13.5" hidden="1" thickBot="1" x14ac:dyDescent="0.3">
      <c r="A586" s="265" t="s">
        <v>151</v>
      </c>
      <c r="B586" s="25" t="s">
        <v>133</v>
      </c>
      <c r="C586" s="31">
        <f>SUM(C587:C588)</f>
        <v>0</v>
      </c>
      <c r="D586" s="21"/>
      <c r="E586" s="21"/>
      <c r="F586" s="598"/>
      <c r="I586" s="297"/>
    </row>
    <row r="587" spans="1:9" s="5" customFormat="1" ht="13.5" hidden="1" thickBot="1" x14ac:dyDescent="0.3">
      <c r="A587" s="72" t="s">
        <v>152</v>
      </c>
      <c r="B587" s="23" t="s">
        <v>65</v>
      </c>
      <c r="C587" s="557"/>
      <c r="D587" s="21"/>
      <c r="E587" s="21"/>
      <c r="F587" s="598"/>
      <c r="I587" s="297"/>
    </row>
    <row r="588" spans="1:9" s="12" customFormat="1" ht="13.5" hidden="1" customHeight="1" x14ac:dyDescent="0.25">
      <c r="A588" s="72" t="s">
        <v>155</v>
      </c>
      <c r="B588" s="23" t="s">
        <v>133</v>
      </c>
      <c r="C588" s="557"/>
      <c r="D588" s="22"/>
      <c r="E588" s="31"/>
      <c r="F588" s="936"/>
      <c r="G588" s="24"/>
      <c r="I588" s="296"/>
    </row>
    <row r="589" spans="1:9" s="128" customFormat="1" ht="13.5" hidden="1" customHeight="1" x14ac:dyDescent="0.25">
      <c r="A589" s="273"/>
      <c r="B589" s="273"/>
      <c r="C589" s="274"/>
      <c r="D589" s="277"/>
      <c r="E589" s="303"/>
      <c r="F589" s="689"/>
      <c r="I589" s="276"/>
    </row>
    <row r="590" spans="1:9" s="128" customFormat="1" ht="13.5" hidden="1" customHeight="1" x14ac:dyDescent="0.25">
      <c r="A590" s="1176" t="s">
        <v>3</v>
      </c>
      <c r="B590" s="1177"/>
      <c r="C590" s="299">
        <f>C591+C594+C599+C601</f>
        <v>0</v>
      </c>
      <c r="D590" s="23"/>
      <c r="E590" s="23"/>
      <c r="F590" s="689"/>
      <c r="I590" s="276"/>
    </row>
    <row r="591" spans="1:9" s="124" customFormat="1" ht="13.5" hidden="1" customHeight="1" x14ac:dyDescent="0.25">
      <c r="A591" s="11" t="s">
        <v>110</v>
      </c>
      <c r="B591" s="564" t="s">
        <v>111</v>
      </c>
      <c r="C591" s="335">
        <f>SUM(C592:C593)</f>
        <v>0</v>
      </c>
      <c r="D591" s="96"/>
      <c r="E591" s="96"/>
      <c r="F591" s="593"/>
      <c r="I591" s="308"/>
    </row>
    <row r="592" spans="1:9" s="72" customFormat="1" ht="13.5" hidden="1" customHeight="1" x14ac:dyDescent="0.25">
      <c r="A592" s="12" t="s">
        <v>269</v>
      </c>
      <c r="B592" s="12" t="s">
        <v>270</v>
      </c>
      <c r="C592" s="557"/>
      <c r="D592" s="79"/>
      <c r="E592" s="25"/>
      <c r="F592" s="593"/>
      <c r="G592" s="24"/>
      <c r="H592" s="12"/>
      <c r="I592" s="282"/>
    </row>
    <row r="593" spans="1:11" s="72" customFormat="1" ht="13.5" hidden="1" customHeight="1" x14ac:dyDescent="0.25">
      <c r="A593" s="12" t="s">
        <v>52</v>
      </c>
      <c r="B593" s="12" t="s">
        <v>15</v>
      </c>
      <c r="C593" s="557"/>
      <c r="D593" s="79"/>
      <c r="E593" s="25"/>
      <c r="F593" s="593"/>
      <c r="G593" s="24"/>
      <c r="H593" s="12"/>
      <c r="I593" s="282"/>
    </row>
    <row r="594" spans="1:11" s="72" customFormat="1" ht="13.5" hidden="1" customHeight="1" x14ac:dyDescent="0.25">
      <c r="A594" s="11" t="s">
        <v>120</v>
      </c>
      <c r="B594" s="11" t="s">
        <v>121</v>
      </c>
      <c r="C594" s="31">
        <f>SUM(C595:C598)</f>
        <v>0</v>
      </c>
      <c r="D594" s="79"/>
      <c r="E594" s="25"/>
      <c r="F594" s="593"/>
      <c r="G594" s="24"/>
      <c r="H594" s="12"/>
      <c r="I594" s="282"/>
    </row>
    <row r="595" spans="1:11" s="72" customFormat="1" ht="13.5" hidden="1" customHeight="1" x14ac:dyDescent="0.25">
      <c r="A595" s="12" t="s">
        <v>246</v>
      </c>
      <c r="B595" s="12" t="s">
        <v>247</v>
      </c>
      <c r="C595" s="565"/>
      <c r="D595" s="79"/>
      <c r="E595" s="25"/>
      <c r="F595" s="593"/>
      <c r="G595" s="24"/>
      <c r="H595" s="12"/>
      <c r="I595" s="282"/>
    </row>
    <row r="596" spans="1:11" s="128" customFormat="1" ht="13.5" hidden="1" customHeight="1" x14ac:dyDescent="0.25">
      <c r="A596" s="12" t="s">
        <v>208</v>
      </c>
      <c r="B596" s="12" t="s">
        <v>207</v>
      </c>
      <c r="C596" s="565"/>
      <c r="D596" s="293"/>
      <c r="E596" s="303"/>
      <c r="F596" s="689"/>
      <c r="I596" s="276"/>
    </row>
    <row r="597" spans="1:11" s="128" customFormat="1" ht="13.5" hidden="1" customHeight="1" x14ac:dyDescent="0.25">
      <c r="A597" s="12" t="s">
        <v>140</v>
      </c>
      <c r="B597" s="12" t="s">
        <v>595</v>
      </c>
      <c r="C597" s="565"/>
      <c r="D597" s="293"/>
      <c r="E597" s="303"/>
      <c r="F597" s="689"/>
      <c r="I597" s="276"/>
    </row>
    <row r="598" spans="1:11" s="147" customFormat="1" ht="13.5" hidden="1" thickBot="1" x14ac:dyDescent="0.3">
      <c r="A598" s="12" t="s">
        <v>136</v>
      </c>
      <c r="B598" s="12" t="s">
        <v>71</v>
      </c>
      <c r="C598" s="557"/>
      <c r="D598" s="31"/>
      <c r="E598" s="120"/>
      <c r="F598" s="936"/>
      <c r="I598" s="301"/>
    </row>
    <row r="599" spans="1:11" s="147" customFormat="1" ht="13.5" hidden="1" thickBot="1" x14ac:dyDescent="0.3">
      <c r="A599" s="11" t="s">
        <v>112</v>
      </c>
      <c r="B599" s="11" t="s">
        <v>157</v>
      </c>
      <c r="C599" s="31">
        <f>SUM(C600:C600)</f>
        <v>0</v>
      </c>
      <c r="F599" s="592"/>
      <c r="I599" s="301"/>
    </row>
    <row r="600" spans="1:11" s="147" customFormat="1" ht="13.5" hidden="1" thickBot="1" x14ac:dyDescent="0.3">
      <c r="A600" s="12" t="s">
        <v>49</v>
      </c>
      <c r="B600" s="24" t="s">
        <v>87</v>
      </c>
      <c r="C600" s="557"/>
      <c r="F600" s="936"/>
      <c r="I600" s="301"/>
    </row>
    <row r="601" spans="1:11" s="147" customFormat="1" ht="13.5" hidden="1" thickBot="1" x14ac:dyDescent="0.3">
      <c r="A601" s="11" t="s">
        <v>115</v>
      </c>
      <c r="B601" s="11" t="s">
        <v>7</v>
      </c>
      <c r="C601" s="31">
        <f>SUM(C602:C603)</f>
        <v>0</v>
      </c>
      <c r="D601" s="25"/>
      <c r="E601" s="38"/>
      <c r="F601" s="936"/>
      <c r="I601" s="301"/>
    </row>
    <row r="602" spans="1:11" s="5" customFormat="1" ht="13.5" hidden="1" thickBot="1" x14ac:dyDescent="0.3">
      <c r="A602" s="12" t="s">
        <v>89</v>
      </c>
      <c r="B602" s="24" t="s">
        <v>8</v>
      </c>
      <c r="C602" s="557"/>
      <c r="D602" s="25"/>
      <c r="F602" s="935"/>
      <c r="G602" s="24"/>
      <c r="H602" s="24"/>
      <c r="I602" s="282"/>
      <c r="J602" s="72"/>
      <c r="K602" s="72"/>
    </row>
    <row r="603" spans="1:11" s="72" customFormat="1" ht="13.5" hidden="1" customHeight="1" x14ac:dyDescent="0.25">
      <c r="A603" s="12" t="s">
        <v>90</v>
      </c>
      <c r="B603" s="24" t="s">
        <v>7</v>
      </c>
      <c r="C603" s="557"/>
      <c r="D603" s="24"/>
      <c r="E603" s="120"/>
      <c r="F603" s="936"/>
      <c r="G603" s="5"/>
      <c r="H603" s="5"/>
      <c r="I603" s="297"/>
      <c r="J603" s="5"/>
      <c r="K603" s="5"/>
    </row>
    <row r="604" spans="1:11" s="328" customFormat="1" ht="13.5" hidden="1" customHeight="1" x14ac:dyDescent="0.25">
      <c r="A604" s="331"/>
      <c r="B604" s="331"/>
      <c r="C604" s="332"/>
      <c r="D604" s="333"/>
      <c r="E604" s="300"/>
      <c r="F604" s="689"/>
      <c r="I604" s="329"/>
    </row>
    <row r="605" spans="1:11" s="328" customFormat="1" ht="13.5" customHeight="1" x14ac:dyDescent="0.25">
      <c r="A605" s="929" t="s">
        <v>774</v>
      </c>
      <c r="B605" s="769"/>
      <c r="C605" s="692" t="s">
        <v>799</v>
      </c>
      <c r="D605" s="966" t="s">
        <v>1045</v>
      </c>
      <c r="E605" s="300"/>
      <c r="F605" s="689"/>
      <c r="I605" s="329"/>
    </row>
    <row r="606" spans="1:11" s="328" customFormat="1" ht="13.5" customHeight="1" thickBot="1" x14ac:dyDescent="0.3">
      <c r="A606" s="707"/>
      <c r="B606" s="728"/>
      <c r="C606" s="770"/>
      <c r="D606" s="967"/>
      <c r="E606" s="300"/>
      <c r="F606" s="689"/>
      <c r="I606" s="329"/>
    </row>
    <row r="607" spans="1:11" s="129" customFormat="1" ht="13.5" customHeight="1" x14ac:dyDescent="0.25">
      <c r="A607" s="656" t="s">
        <v>1049</v>
      </c>
      <c r="B607" s="657"/>
      <c r="C607" s="675"/>
      <c r="D607" s="676"/>
      <c r="E607" s="303"/>
      <c r="F607" s="598"/>
      <c r="I607" s="286"/>
    </row>
    <row r="608" spans="1:11" s="129" customFormat="1" ht="13.5" customHeight="1" x14ac:dyDescent="0.25">
      <c r="A608" s="268" t="s">
        <v>775</v>
      </c>
      <c r="B608" s="53"/>
      <c r="C608" s="303"/>
      <c r="D608" s="677"/>
      <c r="E608" s="303"/>
      <c r="F608" s="598"/>
      <c r="I608" s="286"/>
    </row>
    <row r="609" spans="1:9" s="129" customFormat="1" ht="13.5" customHeight="1" x14ac:dyDescent="0.25">
      <c r="A609" s="268" t="s">
        <v>1042</v>
      </c>
      <c r="B609" s="53"/>
      <c r="C609" s="303"/>
      <c r="D609" s="677"/>
      <c r="E609" s="303"/>
      <c r="F609" s="598"/>
      <c r="I609" s="286"/>
    </row>
    <row r="610" spans="1:9" s="129" customFormat="1" ht="13.5" customHeight="1" thickBot="1" x14ac:dyDescent="0.3">
      <c r="A610" s="321" t="s">
        <v>11</v>
      </c>
      <c r="B610" s="620"/>
      <c r="C610" s="330"/>
      <c r="D610" s="678"/>
      <c r="E610" s="303"/>
      <c r="F610" s="598"/>
      <c r="I610" s="286"/>
    </row>
    <row r="611" spans="1:9" s="328" customFormat="1" ht="13.5" customHeight="1" thickBot="1" x14ac:dyDescent="0.3">
      <c r="A611" s="762" t="s">
        <v>776</v>
      </c>
      <c r="B611" s="763"/>
      <c r="C611" s="764"/>
      <c r="D611" s="771">
        <f>(C613)</f>
        <v>3000000</v>
      </c>
      <c r="E611" s="300"/>
      <c r="F611" s="689"/>
      <c r="I611" s="329"/>
    </row>
    <row r="612" spans="1:9" s="328" customFormat="1" ht="13.5" customHeight="1" thickBot="1" x14ac:dyDescent="0.3">
      <c r="A612" s="331"/>
      <c r="B612" s="331"/>
      <c r="C612" s="332"/>
      <c r="D612" s="333"/>
      <c r="E612" s="300"/>
      <c r="F612" s="689"/>
      <c r="I612" s="329"/>
    </row>
    <row r="613" spans="1:9" s="328" customFormat="1" ht="13.5" customHeight="1" thickBot="1" x14ac:dyDescent="0.3">
      <c r="A613" s="1134" t="s">
        <v>302</v>
      </c>
      <c r="B613" s="1135"/>
      <c r="C613" s="775">
        <f>(C615)</f>
        <v>3000000</v>
      </c>
      <c r="D613" s="333"/>
      <c r="E613" s="300"/>
      <c r="F613" s="689"/>
      <c r="I613" s="329"/>
    </row>
    <row r="614" spans="1:9" s="328" customFormat="1" ht="13.5" customHeight="1" x14ac:dyDescent="0.25">
      <c r="A614" s="336" t="s">
        <v>316</v>
      </c>
      <c r="B614" s="564" t="s">
        <v>317</v>
      </c>
      <c r="C614" s="332"/>
      <c r="D614" s="333"/>
      <c r="E614" s="300"/>
      <c r="F614" s="689"/>
      <c r="I614" s="329"/>
    </row>
    <row r="615" spans="1:9" s="328" customFormat="1" ht="13.5" customHeight="1" x14ac:dyDescent="0.25">
      <c r="A615" s="53" t="s">
        <v>325</v>
      </c>
      <c r="B615" s="12" t="s">
        <v>326</v>
      </c>
      <c r="C615" s="687">
        <v>3000000</v>
      </c>
      <c r="D615" s="333"/>
      <c r="E615" s="300"/>
      <c r="F615" s="689"/>
      <c r="I615" s="329"/>
    </row>
    <row r="616" spans="1:9" s="328" customFormat="1" ht="13.5" customHeight="1" thickBot="1" x14ac:dyDescent="0.3">
      <c r="A616" s="53"/>
      <c r="B616" s="12"/>
      <c r="C616" s="303"/>
      <c r="D616" s="333"/>
      <c r="E616" s="300"/>
      <c r="F616" s="689"/>
      <c r="I616" s="329"/>
    </row>
    <row r="617" spans="1:9" s="328" customFormat="1" ht="13.5" customHeight="1" x14ac:dyDescent="0.25">
      <c r="A617" s="929" t="s">
        <v>1057</v>
      </c>
      <c r="B617" s="769"/>
      <c r="C617" s="968" t="s">
        <v>799</v>
      </c>
      <c r="D617" s="969" t="s">
        <v>1046</v>
      </c>
      <c r="E617" s="300"/>
      <c r="F617" s="689"/>
      <c r="I617" s="329"/>
    </row>
    <row r="618" spans="1:9" s="328" customFormat="1" ht="13.5" customHeight="1" thickBot="1" x14ac:dyDescent="0.3">
      <c r="A618" s="652" t="s">
        <v>1058</v>
      </c>
      <c r="B618" s="653"/>
      <c r="C618" s="970"/>
      <c r="D618" s="971"/>
      <c r="E618" s="300"/>
      <c r="F618" s="689"/>
      <c r="I618" s="329"/>
    </row>
    <row r="619" spans="1:9" s="328" customFormat="1" ht="13.5" customHeight="1" x14ac:dyDescent="0.25">
      <c r="A619" s="268" t="s">
        <v>1049</v>
      </c>
      <c r="B619" s="53"/>
      <c r="C619" s="303"/>
      <c r="D619" s="677"/>
      <c r="E619" s="300"/>
      <c r="F619" s="689"/>
      <c r="I619" s="329"/>
    </row>
    <row r="620" spans="1:9" s="328" customFormat="1" ht="13.5" customHeight="1" x14ac:dyDescent="0.25">
      <c r="A620" s="268" t="s">
        <v>777</v>
      </c>
      <c r="B620" s="53"/>
      <c r="C620" s="303"/>
      <c r="D620" s="677"/>
      <c r="E620" s="300"/>
      <c r="F620" s="689"/>
      <c r="I620" s="329"/>
    </row>
    <row r="621" spans="1:9" s="328" customFormat="1" ht="13.5" customHeight="1" x14ac:dyDescent="0.25">
      <c r="A621" s="268" t="s">
        <v>1042</v>
      </c>
      <c r="B621" s="53"/>
      <c r="C621" s="303"/>
      <c r="D621" s="677"/>
      <c r="E621" s="300"/>
      <c r="F621" s="689"/>
      <c r="I621" s="329"/>
    </row>
    <row r="622" spans="1:9" s="328" customFormat="1" ht="13.5" customHeight="1" thickBot="1" x14ac:dyDescent="0.3">
      <c r="A622" s="321" t="s">
        <v>11</v>
      </c>
      <c r="B622" s="620"/>
      <c r="C622" s="330"/>
      <c r="D622" s="678"/>
      <c r="E622" s="300"/>
      <c r="F622" s="689"/>
      <c r="I622" s="329"/>
    </row>
    <row r="623" spans="1:9" s="328" customFormat="1" ht="13.5" customHeight="1" thickBot="1" x14ac:dyDescent="0.3">
      <c r="A623" s="762" t="s">
        <v>776</v>
      </c>
      <c r="B623" s="763"/>
      <c r="C623" s="764"/>
      <c r="D623" s="771">
        <f>(C625)</f>
        <v>60000000</v>
      </c>
      <c r="E623" s="300"/>
      <c r="F623" s="689"/>
      <c r="I623" s="329"/>
    </row>
    <row r="624" spans="1:9" s="328" customFormat="1" ht="13.5" customHeight="1" thickBot="1" x14ac:dyDescent="0.3">
      <c r="A624" s="53"/>
      <c r="B624" s="12"/>
      <c r="C624" s="303"/>
      <c r="D624" s="333"/>
      <c r="E624" s="300"/>
      <c r="F624" s="689"/>
      <c r="I624" s="329"/>
    </row>
    <row r="625" spans="1:9" s="328" customFormat="1" ht="13.5" customHeight="1" thickBot="1" x14ac:dyDescent="0.3">
      <c r="A625" s="1134" t="s">
        <v>302</v>
      </c>
      <c r="B625" s="1135"/>
      <c r="C625" s="775">
        <f>SUM(C627:C628)</f>
        <v>60000000</v>
      </c>
      <c r="D625" s="333"/>
      <c r="E625" s="300"/>
      <c r="F625" s="689"/>
      <c r="I625" s="329"/>
    </row>
    <row r="626" spans="1:9" s="328" customFormat="1" ht="13.5" customHeight="1" x14ac:dyDescent="0.25">
      <c r="A626" s="336" t="s">
        <v>316</v>
      </c>
      <c r="B626" s="564" t="s">
        <v>317</v>
      </c>
      <c r="C626" s="303"/>
      <c r="D626" s="333"/>
      <c r="E626" s="300"/>
      <c r="F626" s="689"/>
      <c r="I626" s="329"/>
    </row>
    <row r="627" spans="1:9" s="328" customFormat="1" ht="13.5" customHeight="1" x14ac:dyDescent="0.25">
      <c r="A627" s="53" t="s">
        <v>331</v>
      </c>
      <c r="B627" s="53" t="s">
        <v>332</v>
      </c>
      <c r="C627" s="334">
        <v>40000000</v>
      </c>
      <c r="D627" s="333"/>
      <c r="E627" s="300"/>
      <c r="F627" s="689"/>
      <c r="I627" s="329"/>
    </row>
    <row r="628" spans="1:9" s="328" customFormat="1" ht="13.5" customHeight="1" x14ac:dyDescent="0.25">
      <c r="A628" s="53" t="s">
        <v>333</v>
      </c>
      <c r="B628" s="12" t="s">
        <v>334</v>
      </c>
      <c r="C628" s="303">
        <v>20000000</v>
      </c>
      <c r="D628" s="333"/>
      <c r="E628" s="300"/>
      <c r="F628" s="689"/>
      <c r="I628" s="329"/>
    </row>
    <row r="629" spans="1:9" s="328" customFormat="1" ht="13.5" customHeight="1" thickBot="1" x14ac:dyDescent="0.3">
      <c r="A629" s="53"/>
      <c r="B629" s="12"/>
      <c r="C629" s="303"/>
      <c r="D629" s="333"/>
      <c r="E629" s="300"/>
      <c r="F629" s="689"/>
      <c r="I629" s="329"/>
    </row>
    <row r="630" spans="1:9" s="328" customFormat="1" ht="13.5" customHeight="1" x14ac:dyDescent="0.25">
      <c r="A630" s="929" t="s">
        <v>1059</v>
      </c>
      <c r="B630" s="769"/>
      <c r="C630" s="968" t="s">
        <v>799</v>
      </c>
      <c r="D630" s="969" t="s">
        <v>1047</v>
      </c>
      <c r="E630" s="300"/>
      <c r="F630" s="689"/>
      <c r="I630" s="329"/>
    </row>
    <row r="631" spans="1:9" s="328" customFormat="1" ht="13.5" customHeight="1" thickBot="1" x14ac:dyDescent="0.3">
      <c r="A631" s="652"/>
      <c r="B631" s="653"/>
      <c r="C631" s="970"/>
      <c r="D631" s="971"/>
      <c r="E631" s="300"/>
      <c r="F631" s="689"/>
      <c r="I631" s="329"/>
    </row>
    <row r="632" spans="1:9" s="129" customFormat="1" ht="13.5" customHeight="1" x14ac:dyDescent="0.25">
      <c r="A632" s="268" t="s">
        <v>1049</v>
      </c>
      <c r="B632" s="53"/>
      <c r="C632" s="303"/>
      <c r="D632" s="677"/>
      <c r="E632" s="303"/>
      <c r="F632" s="598"/>
      <c r="I632" s="286"/>
    </row>
    <row r="633" spans="1:9" s="129" customFormat="1" ht="13.5" customHeight="1" x14ac:dyDescent="0.25">
      <c r="A633" s="268" t="s">
        <v>777</v>
      </c>
      <c r="B633" s="53"/>
      <c r="C633" s="303"/>
      <c r="D633" s="677"/>
      <c r="E633" s="303"/>
      <c r="F633" s="598"/>
      <c r="I633" s="286"/>
    </row>
    <row r="634" spans="1:9" s="129" customFormat="1" ht="13.5" customHeight="1" x14ac:dyDescent="0.25">
      <c r="A634" s="268" t="s">
        <v>1042</v>
      </c>
      <c r="B634" s="53"/>
      <c r="C634" s="303"/>
      <c r="D634" s="677"/>
      <c r="E634" s="303"/>
      <c r="F634" s="598"/>
      <c r="I634" s="286"/>
    </row>
    <row r="635" spans="1:9" s="129" customFormat="1" ht="13.5" customHeight="1" thickBot="1" x14ac:dyDescent="0.3">
      <c r="A635" s="321" t="s">
        <v>11</v>
      </c>
      <c r="B635" s="620"/>
      <c r="C635" s="330"/>
      <c r="D635" s="678"/>
      <c r="E635" s="303"/>
      <c r="F635" s="598"/>
      <c r="I635" s="286"/>
    </row>
    <row r="636" spans="1:9" s="328" customFormat="1" ht="13.5" customHeight="1" thickBot="1" x14ac:dyDescent="0.3">
      <c r="A636" s="762" t="s">
        <v>776</v>
      </c>
      <c r="B636" s="763"/>
      <c r="C636" s="764"/>
      <c r="D636" s="771">
        <f>(C638)</f>
        <v>56773400</v>
      </c>
      <c r="E636" s="300"/>
      <c r="F636" s="689"/>
      <c r="I636" s="329"/>
    </row>
    <row r="637" spans="1:9" s="328" customFormat="1" ht="13.5" customHeight="1" thickBot="1" x14ac:dyDescent="0.3">
      <c r="A637" s="53"/>
      <c r="B637" s="12"/>
      <c r="C637" s="303"/>
      <c r="D637" s="333"/>
      <c r="E637" s="300"/>
      <c r="F637" s="689"/>
      <c r="I637" s="329"/>
    </row>
    <row r="638" spans="1:9" s="328" customFormat="1" ht="13.5" customHeight="1" thickBot="1" x14ac:dyDescent="0.3">
      <c r="A638" s="1134" t="s">
        <v>302</v>
      </c>
      <c r="B638" s="1135"/>
      <c r="C638" s="775">
        <f>(C640+C641+C642+C643)</f>
        <v>56773400</v>
      </c>
      <c r="D638" s="333"/>
      <c r="E638" s="300"/>
      <c r="F638" s="689"/>
      <c r="I638" s="329"/>
    </row>
    <row r="639" spans="1:9" s="328" customFormat="1" ht="13.5" customHeight="1" x14ac:dyDescent="0.25">
      <c r="A639" s="336" t="s">
        <v>316</v>
      </c>
      <c r="B639" s="564" t="s">
        <v>317</v>
      </c>
      <c r="C639" s="303"/>
      <c r="D639" s="333"/>
      <c r="E639" s="300"/>
      <c r="F639" s="689"/>
      <c r="I639" s="329"/>
    </row>
    <row r="640" spans="1:9" s="328" customFormat="1" ht="13.5" customHeight="1" x14ac:dyDescent="0.25">
      <c r="A640" s="53" t="s">
        <v>327</v>
      </c>
      <c r="B640" s="12" t="s">
        <v>328</v>
      </c>
      <c r="C640" s="303">
        <v>11715000</v>
      </c>
      <c r="D640" s="333"/>
      <c r="E640" s="300"/>
      <c r="F640" s="689"/>
      <c r="I640" s="329"/>
    </row>
    <row r="641" spans="1:9" s="328" customFormat="1" ht="13.5" customHeight="1" x14ac:dyDescent="0.25">
      <c r="A641" s="53" t="s">
        <v>329</v>
      </c>
      <c r="B641" s="53" t="s">
        <v>330</v>
      </c>
      <c r="C641" s="334">
        <v>23100000</v>
      </c>
      <c r="D641" s="333"/>
      <c r="E641" s="300"/>
      <c r="F641" s="689"/>
      <c r="I641" s="329"/>
    </row>
    <row r="642" spans="1:9" s="328" customFormat="1" ht="13.5" customHeight="1" x14ac:dyDescent="0.25">
      <c r="A642" s="53" t="s">
        <v>336</v>
      </c>
      <c r="B642" s="53" t="s">
        <v>337</v>
      </c>
      <c r="C642" s="334">
        <v>3795000</v>
      </c>
      <c r="D642" s="333"/>
      <c r="E642" s="300"/>
      <c r="F642" s="689"/>
      <c r="I642" s="329"/>
    </row>
    <row r="643" spans="1:9" s="328" customFormat="1" ht="13.5" customHeight="1" x14ac:dyDescent="0.25">
      <c r="A643" s="53" t="s">
        <v>615</v>
      </c>
      <c r="B643" s="12" t="s">
        <v>614</v>
      </c>
      <c r="C643" s="334">
        <v>18163400</v>
      </c>
      <c r="D643" s="333"/>
      <c r="E643" s="300"/>
      <c r="F643" s="689"/>
      <c r="I643" s="329"/>
    </row>
    <row r="644" spans="1:9" s="328" customFormat="1" ht="13.5" customHeight="1" x14ac:dyDescent="0.25">
      <c r="A644" s="331"/>
      <c r="B644" s="331"/>
      <c r="C644" s="332"/>
      <c r="D644" s="333"/>
      <c r="E644" s="300"/>
      <c r="F644" s="689"/>
      <c r="I644" s="329"/>
    </row>
    <row r="645" spans="1:9" s="310" customFormat="1" ht="13.5" customHeight="1" thickBot="1" x14ac:dyDescent="0.3">
      <c r="A645" s="12"/>
      <c r="B645" s="12"/>
      <c r="C645" s="303"/>
      <c r="D645" s="293"/>
      <c r="E645" s="303"/>
      <c r="F645" s="689"/>
      <c r="I645" s="311"/>
    </row>
    <row r="646" spans="1:9" s="310" customFormat="1" ht="13.5" customHeight="1" x14ac:dyDescent="0.25">
      <c r="A646" s="648" t="s">
        <v>778</v>
      </c>
      <c r="B646" s="649" t="s">
        <v>779</v>
      </c>
      <c r="C646" s="690"/>
      <c r="D646" s="692" t="s">
        <v>6</v>
      </c>
      <c r="E646" s="911">
        <v>1311</v>
      </c>
      <c r="F646" s="689"/>
      <c r="I646" s="311"/>
    </row>
    <row r="647" spans="1:9" s="310" customFormat="1" ht="13.5" customHeight="1" thickBot="1" x14ac:dyDescent="0.3">
      <c r="A647" s="774"/>
      <c r="B647" s="653" t="s">
        <v>780</v>
      </c>
      <c r="C647" s="693"/>
      <c r="D647" s="695"/>
      <c r="E647" s="696"/>
      <c r="F647" s="689"/>
      <c r="I647" s="311"/>
    </row>
    <row r="648" spans="1:9" s="310" customFormat="1" ht="13.5" customHeight="1" x14ac:dyDescent="0.25">
      <c r="A648" s="268" t="s">
        <v>1049</v>
      </c>
      <c r="B648" s="53"/>
      <c r="C648" s="303"/>
      <c r="D648" s="277"/>
      <c r="E648" s="305"/>
      <c r="F648" s="689"/>
      <c r="I648" s="311"/>
    </row>
    <row r="649" spans="1:9" s="310" customFormat="1" ht="13.5" customHeight="1" x14ac:dyDescent="0.25">
      <c r="A649" s="268" t="s">
        <v>761</v>
      </c>
      <c r="B649" s="53"/>
      <c r="C649" s="303"/>
      <c r="D649" s="277"/>
      <c r="E649" s="305"/>
      <c r="F649" s="689"/>
      <c r="I649" s="311"/>
    </row>
    <row r="650" spans="1:9" s="310" customFormat="1" ht="13.5" customHeight="1" x14ac:dyDescent="0.25">
      <c r="A650" s="268" t="s">
        <v>1040</v>
      </c>
      <c r="B650" s="53"/>
      <c r="C650" s="303"/>
      <c r="D650" s="277"/>
      <c r="E650" s="305"/>
      <c r="F650" s="689"/>
      <c r="I650" s="311"/>
    </row>
    <row r="651" spans="1:9" s="310" customFormat="1" ht="13.5" customHeight="1" thickBot="1" x14ac:dyDescent="0.3">
      <c r="A651" s="268" t="s">
        <v>11</v>
      </c>
      <c r="B651" s="53"/>
      <c r="C651" s="330"/>
      <c r="D651" s="277"/>
      <c r="E651" s="305"/>
      <c r="F651" s="689"/>
      <c r="I651" s="311"/>
    </row>
    <row r="652" spans="1:9" s="310" customFormat="1" ht="13.5" customHeight="1" thickBot="1" x14ac:dyDescent="0.3">
      <c r="A652" s="762" t="s">
        <v>301</v>
      </c>
      <c r="B652" s="763"/>
      <c r="C652" s="764"/>
      <c r="D652" s="765"/>
      <c r="E652" s="766">
        <f>(C654)</f>
        <v>3575000</v>
      </c>
      <c r="F652" s="689"/>
      <c r="I652" s="311"/>
    </row>
    <row r="653" spans="1:9" s="310" customFormat="1" ht="13.5" customHeight="1" thickBot="1" x14ac:dyDescent="0.3">
      <c r="A653" s="12"/>
      <c r="B653" s="12"/>
      <c r="C653" s="303"/>
      <c r="D653" s="293"/>
      <c r="E653" s="303"/>
      <c r="F653" s="689"/>
      <c r="I653" s="311"/>
    </row>
    <row r="654" spans="1:9" s="310" customFormat="1" ht="13.5" customHeight="1" thickBot="1" x14ac:dyDescent="0.3">
      <c r="A654" s="1134" t="s">
        <v>302</v>
      </c>
      <c r="B654" s="1135"/>
      <c r="C654" s="775">
        <f>(C656+C657+C658+C659)</f>
        <v>3575000</v>
      </c>
      <c r="D654" s="333"/>
      <c r="E654" s="303"/>
      <c r="F654" s="689"/>
      <c r="I654" s="311"/>
    </row>
    <row r="655" spans="1:9" s="310" customFormat="1" ht="13.5" customHeight="1" x14ac:dyDescent="0.25">
      <c r="A655" s="336" t="s">
        <v>303</v>
      </c>
      <c r="B655" s="564" t="s">
        <v>324</v>
      </c>
      <c r="C655" s="303"/>
      <c r="D655" s="293"/>
      <c r="E655" s="303"/>
      <c r="F655" s="689"/>
      <c r="I655" s="311"/>
    </row>
    <row r="656" spans="1:9" s="310" customFormat="1" ht="13.5" customHeight="1" x14ac:dyDescent="0.25">
      <c r="A656" s="12" t="s">
        <v>310</v>
      </c>
      <c r="B656" s="12" t="s">
        <v>311</v>
      </c>
      <c r="C656" s="334">
        <v>3575000</v>
      </c>
      <c r="D656" s="293"/>
      <c r="E656" s="303"/>
      <c r="F656" s="689"/>
      <c r="I656" s="311"/>
    </row>
    <row r="657" spans="1:9" s="310" customFormat="1" ht="13.5" customHeight="1" x14ac:dyDescent="0.25">
      <c r="A657" s="12"/>
      <c r="B657" s="12"/>
      <c r="C657" s="303"/>
      <c r="D657" s="293"/>
      <c r="E657" s="303"/>
      <c r="F657" s="689"/>
      <c r="I657" s="311"/>
    </row>
    <row r="658" spans="1:9" s="310" customFormat="1" ht="13.5" customHeight="1" thickBot="1" x14ac:dyDescent="0.3">
      <c r="A658" s="12"/>
      <c r="B658" s="12"/>
      <c r="C658" s="303"/>
      <c r="D658" s="293"/>
      <c r="E658" s="303"/>
      <c r="F658" s="689"/>
      <c r="I658" s="311"/>
    </row>
    <row r="659" spans="1:9" s="310" customFormat="1" ht="13.5" customHeight="1" x14ac:dyDescent="0.25">
      <c r="A659" s="648" t="s">
        <v>778</v>
      </c>
      <c r="B659" s="649" t="s">
        <v>1050</v>
      </c>
      <c r="C659" s="690"/>
      <c r="D659" s="692" t="s">
        <v>6</v>
      </c>
      <c r="E659" s="911">
        <v>1312</v>
      </c>
      <c r="F659" s="689"/>
      <c r="I659" s="311"/>
    </row>
    <row r="660" spans="1:9" s="310" customFormat="1" ht="13.5" customHeight="1" thickBot="1" x14ac:dyDescent="0.3">
      <c r="A660" s="774"/>
      <c r="B660" s="653"/>
      <c r="C660" s="693"/>
      <c r="D660" s="695"/>
      <c r="E660" s="696"/>
      <c r="F660" s="689"/>
      <c r="I660" s="311"/>
    </row>
    <row r="661" spans="1:9" s="310" customFormat="1" ht="13.5" customHeight="1" x14ac:dyDescent="0.25">
      <c r="A661" s="268" t="s">
        <v>1049</v>
      </c>
      <c r="B661" s="53"/>
      <c r="C661" s="303"/>
      <c r="D661" s="277"/>
      <c r="E661" s="305"/>
      <c r="F661" s="689"/>
      <c r="I661" s="311"/>
    </row>
    <row r="662" spans="1:9" s="310" customFormat="1" ht="13.5" customHeight="1" x14ac:dyDescent="0.25">
      <c r="A662" s="268" t="s">
        <v>761</v>
      </c>
      <c r="B662" s="53"/>
      <c r="C662" s="303"/>
      <c r="D662" s="277"/>
      <c r="E662" s="305"/>
      <c r="F662" s="689"/>
      <c r="I662" s="311"/>
    </row>
    <row r="663" spans="1:9" s="310" customFormat="1" ht="13.5" customHeight="1" x14ac:dyDescent="0.25">
      <c r="A663" s="268" t="s">
        <v>1040</v>
      </c>
      <c r="B663" s="53"/>
      <c r="C663" s="303"/>
      <c r="D663" s="277"/>
      <c r="E663" s="305"/>
      <c r="F663" s="689"/>
      <c r="I663" s="311"/>
    </row>
    <row r="664" spans="1:9" s="310" customFormat="1" ht="13.5" customHeight="1" thickBot="1" x14ac:dyDescent="0.3">
      <c r="A664" s="268" t="s">
        <v>11</v>
      </c>
      <c r="B664" s="53"/>
      <c r="C664" s="330"/>
      <c r="D664" s="277"/>
      <c r="E664" s="305"/>
      <c r="F664" s="689"/>
      <c r="I664" s="311"/>
    </row>
    <row r="665" spans="1:9" s="310" customFormat="1" ht="13.5" customHeight="1" thickBot="1" x14ac:dyDescent="0.3">
      <c r="A665" s="762" t="s">
        <v>301</v>
      </c>
      <c r="B665" s="763"/>
      <c r="C665" s="764"/>
      <c r="D665" s="765"/>
      <c r="E665" s="766">
        <f>(C667)</f>
        <v>4152500</v>
      </c>
      <c r="F665" s="689"/>
      <c r="I665" s="311"/>
    </row>
    <row r="666" spans="1:9" s="310" customFormat="1" ht="13.5" customHeight="1" thickBot="1" x14ac:dyDescent="0.3">
      <c r="A666" s="12"/>
      <c r="B666" s="12"/>
      <c r="C666" s="303"/>
      <c r="D666" s="293"/>
      <c r="E666" s="303"/>
      <c r="F666" s="689"/>
      <c r="I666" s="311"/>
    </row>
    <row r="667" spans="1:9" s="310" customFormat="1" ht="13.5" customHeight="1" thickBot="1" x14ac:dyDescent="0.3">
      <c r="A667" s="1134" t="s">
        <v>302</v>
      </c>
      <c r="B667" s="1135"/>
      <c r="C667" s="775">
        <f>(C668)</f>
        <v>4152500</v>
      </c>
      <c r="D667" s="333"/>
      <c r="E667" s="303"/>
      <c r="F667" s="689"/>
      <c r="I667" s="311"/>
    </row>
    <row r="668" spans="1:9" s="310" customFormat="1" ht="13.5" customHeight="1" x14ac:dyDescent="0.25">
      <c r="A668" s="336" t="s">
        <v>303</v>
      </c>
      <c r="B668" s="564" t="s">
        <v>324</v>
      </c>
      <c r="C668" s="300">
        <f>SUM(C669)</f>
        <v>4152500</v>
      </c>
      <c r="D668" s="293"/>
      <c r="E668" s="303"/>
      <c r="F668" s="689"/>
      <c r="I668" s="311"/>
    </row>
    <row r="669" spans="1:9" s="310" customFormat="1" ht="13.5" customHeight="1" x14ac:dyDescent="0.25">
      <c r="A669" s="12" t="s">
        <v>1051</v>
      </c>
      <c r="B669" s="12" t="s">
        <v>1052</v>
      </c>
      <c r="C669" s="687">
        <v>4152500</v>
      </c>
      <c r="D669" s="293"/>
      <c r="E669" s="303"/>
      <c r="F669" s="689"/>
      <c r="I669" s="311"/>
    </row>
    <row r="670" spans="1:9" s="310" customFormat="1" ht="13.5" customHeight="1" x14ac:dyDescent="0.25">
      <c r="A670" s="12"/>
      <c r="B670" s="12"/>
      <c r="C670" s="303"/>
      <c r="D670" s="293"/>
      <c r="E670" s="303"/>
      <c r="F670" s="689"/>
      <c r="I670" s="311"/>
    </row>
    <row r="671" spans="1:9" s="310" customFormat="1" ht="13.5" customHeight="1" thickBot="1" x14ac:dyDescent="0.3">
      <c r="A671" s="12"/>
      <c r="B671" s="12"/>
      <c r="C671" s="303"/>
      <c r="D671" s="293"/>
      <c r="E671" s="303"/>
      <c r="F671" s="689"/>
      <c r="I671" s="311"/>
    </row>
    <row r="672" spans="1:9" s="310" customFormat="1" ht="13.5" customHeight="1" x14ac:dyDescent="0.25">
      <c r="A672" s="648" t="s">
        <v>778</v>
      </c>
      <c r="B672" s="649" t="s">
        <v>843</v>
      </c>
      <c r="C672" s="690"/>
      <c r="D672" s="692" t="s">
        <v>6</v>
      </c>
      <c r="E672" s="911">
        <v>1313</v>
      </c>
      <c r="F672" s="689"/>
      <c r="I672" s="311"/>
    </row>
    <row r="673" spans="1:9" s="310" customFormat="1" ht="13.5" customHeight="1" thickBot="1" x14ac:dyDescent="0.3">
      <c r="A673" s="774"/>
      <c r="B673" s="653" t="s">
        <v>844</v>
      </c>
      <c r="C673" s="693"/>
      <c r="D673" s="695"/>
      <c r="E673" s="696"/>
      <c r="F673" s="689"/>
      <c r="I673" s="311"/>
    </row>
    <row r="674" spans="1:9" s="310" customFormat="1" ht="13.5" customHeight="1" x14ac:dyDescent="0.25">
      <c r="A674" s="268" t="s">
        <v>1049</v>
      </c>
      <c r="B674" s="53"/>
      <c r="C674" s="303"/>
      <c r="D674" s="277"/>
      <c r="E674" s="305"/>
      <c r="F674" s="689"/>
      <c r="I674" s="311"/>
    </row>
    <row r="675" spans="1:9" s="310" customFormat="1" ht="13.5" customHeight="1" x14ac:dyDescent="0.25">
      <c r="A675" s="268" t="s">
        <v>761</v>
      </c>
      <c r="B675" s="53"/>
      <c r="C675" s="303"/>
      <c r="D675" s="277"/>
      <c r="E675" s="305"/>
      <c r="F675" s="689"/>
      <c r="I675" s="311"/>
    </row>
    <row r="676" spans="1:9" s="310" customFormat="1" ht="13.5" customHeight="1" x14ac:dyDescent="0.25">
      <c r="A676" s="268" t="s">
        <v>1040</v>
      </c>
      <c r="B676" s="53"/>
      <c r="C676" s="303"/>
      <c r="D676" s="277"/>
      <c r="E676" s="305"/>
      <c r="F676" s="689"/>
      <c r="I676" s="311"/>
    </row>
    <row r="677" spans="1:9" s="310" customFormat="1" ht="13.5" customHeight="1" thickBot="1" x14ac:dyDescent="0.3">
      <c r="A677" s="268" t="s">
        <v>11</v>
      </c>
      <c r="B677" s="53"/>
      <c r="C677" s="330"/>
      <c r="D677" s="277"/>
      <c r="E677" s="305"/>
      <c r="F677" s="689"/>
      <c r="I677" s="311"/>
    </row>
    <row r="678" spans="1:9" s="310" customFormat="1" ht="13.5" customHeight="1" thickBot="1" x14ac:dyDescent="0.3">
      <c r="A678" s="762" t="s">
        <v>301</v>
      </c>
      <c r="B678" s="763"/>
      <c r="C678" s="764"/>
      <c r="D678" s="765"/>
      <c r="E678" s="766">
        <f>(C680)</f>
        <v>6000000</v>
      </c>
      <c r="F678" s="689"/>
      <c r="I678" s="311"/>
    </row>
    <row r="679" spans="1:9" s="310" customFormat="1" ht="13.5" customHeight="1" thickBot="1" x14ac:dyDescent="0.3">
      <c r="A679" s="12"/>
      <c r="B679" s="12"/>
      <c r="C679" s="303"/>
      <c r="D679" s="293"/>
      <c r="E679" s="303"/>
      <c r="F679" s="689"/>
      <c r="I679" s="311"/>
    </row>
    <row r="680" spans="1:9" s="310" customFormat="1" ht="13.5" customHeight="1" thickBot="1" x14ac:dyDescent="0.3">
      <c r="A680" s="1134" t="s">
        <v>302</v>
      </c>
      <c r="B680" s="1135"/>
      <c r="C680" s="775">
        <f>(C681+C683)</f>
        <v>6000000</v>
      </c>
      <c r="D680" s="333"/>
      <c r="E680" s="303"/>
      <c r="F680" s="689"/>
      <c r="I680" s="311"/>
    </row>
    <row r="681" spans="1:9" s="310" customFormat="1" ht="13.5" customHeight="1" x14ac:dyDescent="0.25">
      <c r="A681" s="336" t="s">
        <v>303</v>
      </c>
      <c r="B681" s="564" t="s">
        <v>324</v>
      </c>
      <c r="C681" s="300">
        <f>SUM(C682)</f>
        <v>4000000</v>
      </c>
      <c r="D681" s="293"/>
      <c r="E681" s="303"/>
      <c r="F681" s="689"/>
      <c r="I681" s="311"/>
    </row>
    <row r="682" spans="1:9" s="310" customFormat="1" ht="13.5" customHeight="1" x14ac:dyDescent="0.25">
      <c r="A682" s="12" t="s">
        <v>781</v>
      </c>
      <c r="B682" s="12" t="s">
        <v>782</v>
      </c>
      <c r="C682" s="687">
        <v>4000000</v>
      </c>
      <c r="D682" s="293"/>
      <c r="E682" s="303"/>
      <c r="F682" s="689"/>
      <c r="I682" s="311"/>
    </row>
    <row r="683" spans="1:9" s="310" customFormat="1" ht="13.5" customHeight="1" x14ac:dyDescent="0.25">
      <c r="A683" s="336" t="s">
        <v>316</v>
      </c>
      <c r="B683" s="564" t="s">
        <v>317</v>
      </c>
      <c r="C683" s="300">
        <f>SUM(C684)</f>
        <v>2000000</v>
      </c>
      <c r="D683" s="293"/>
      <c r="E683" s="303"/>
      <c r="F683" s="689"/>
      <c r="I683" s="311"/>
    </row>
    <row r="684" spans="1:9" s="310" customFormat="1" ht="13.5" customHeight="1" x14ac:dyDescent="0.25">
      <c r="A684" s="273" t="s">
        <v>318</v>
      </c>
      <c r="B684" s="53" t="s">
        <v>319</v>
      </c>
      <c r="C684" s="687">
        <v>2000000</v>
      </c>
      <c r="D684" s="293"/>
      <c r="E684" s="303"/>
      <c r="F684" s="689"/>
      <c r="I684" s="311"/>
    </row>
    <row r="685" spans="1:9" s="310" customFormat="1" ht="13.5" customHeight="1" x14ac:dyDescent="0.25">
      <c r="A685" s="12"/>
      <c r="B685" s="12"/>
      <c r="C685" s="303"/>
      <c r="D685" s="293"/>
      <c r="E685" s="303"/>
      <c r="F685" s="689"/>
      <c r="I685" s="311"/>
    </row>
    <row r="686" spans="1:9" s="310" customFormat="1" ht="13.5" customHeight="1" thickBot="1" x14ac:dyDescent="0.3">
      <c r="A686" s="12"/>
      <c r="B686" s="12"/>
      <c r="C686" s="303"/>
      <c r="D686" s="293"/>
      <c r="E686" s="303"/>
      <c r="F686" s="689"/>
      <c r="I686" s="311"/>
    </row>
    <row r="687" spans="1:9" s="310" customFormat="1" ht="13.5" customHeight="1" x14ac:dyDescent="0.25">
      <c r="A687" s="648" t="s">
        <v>778</v>
      </c>
      <c r="B687" s="649" t="s">
        <v>783</v>
      </c>
      <c r="C687" s="690"/>
      <c r="D687" s="692" t="s">
        <v>6</v>
      </c>
      <c r="E687" s="911">
        <v>1314</v>
      </c>
      <c r="F687" s="689"/>
      <c r="I687" s="311"/>
    </row>
    <row r="688" spans="1:9" s="310" customFormat="1" ht="13.5" customHeight="1" thickBot="1" x14ac:dyDescent="0.3">
      <c r="A688" s="774"/>
      <c r="B688" s="653"/>
      <c r="C688" s="693"/>
      <c r="D688" s="695"/>
      <c r="E688" s="696"/>
      <c r="F688" s="689"/>
      <c r="I688" s="311"/>
    </row>
    <row r="689" spans="1:9" s="310" customFormat="1" ht="13.5" customHeight="1" x14ac:dyDescent="0.25">
      <c r="A689" s="268" t="s">
        <v>1049</v>
      </c>
      <c r="B689" s="53"/>
      <c r="C689" s="303"/>
      <c r="D689" s="277"/>
      <c r="E689" s="305"/>
      <c r="F689" s="689"/>
      <c r="I689" s="311"/>
    </row>
    <row r="690" spans="1:9" s="310" customFormat="1" ht="13.5" customHeight="1" x14ac:dyDescent="0.25">
      <c r="A690" s="268" t="s">
        <v>761</v>
      </c>
      <c r="B690" s="53"/>
      <c r="C690" s="303"/>
      <c r="D690" s="277"/>
      <c r="E690" s="305"/>
      <c r="F690" s="689"/>
      <c r="I690" s="311"/>
    </row>
    <row r="691" spans="1:9" s="310" customFormat="1" ht="13.5" customHeight="1" x14ac:dyDescent="0.25">
      <c r="A691" s="268" t="s">
        <v>1040</v>
      </c>
      <c r="B691" s="53"/>
      <c r="C691" s="303"/>
      <c r="D691" s="277"/>
      <c r="E691" s="305"/>
      <c r="F691" s="689"/>
      <c r="I691" s="311"/>
    </row>
    <row r="692" spans="1:9" s="310" customFormat="1" ht="13.5" customHeight="1" thickBot="1" x14ac:dyDescent="0.3">
      <c r="A692" s="268" t="s">
        <v>11</v>
      </c>
      <c r="B692" s="53"/>
      <c r="C692" s="330"/>
      <c r="D692" s="277"/>
      <c r="E692" s="305"/>
      <c r="F692" s="689"/>
      <c r="I692" s="311"/>
    </row>
    <row r="693" spans="1:9" s="310" customFormat="1" ht="13.5" customHeight="1" thickBot="1" x14ac:dyDescent="0.3">
      <c r="A693" s="762" t="s">
        <v>301</v>
      </c>
      <c r="B693" s="763"/>
      <c r="C693" s="764"/>
      <c r="D693" s="765"/>
      <c r="E693" s="766">
        <f>(C695)</f>
        <v>4793800</v>
      </c>
      <c r="F693" s="689"/>
      <c r="I693" s="311"/>
    </row>
    <row r="694" spans="1:9" s="310" customFormat="1" ht="13.5" customHeight="1" thickBot="1" x14ac:dyDescent="0.3">
      <c r="A694" s="12"/>
      <c r="B694" s="12"/>
      <c r="C694" s="303"/>
      <c r="D694" s="293"/>
      <c r="E694" s="303"/>
      <c r="F694" s="689"/>
      <c r="I694" s="311"/>
    </row>
    <row r="695" spans="1:9" s="310" customFormat="1" ht="13.5" customHeight="1" thickBot="1" x14ac:dyDescent="0.3">
      <c r="A695" s="1134" t="s">
        <v>302</v>
      </c>
      <c r="B695" s="1135"/>
      <c r="C695" s="775">
        <f>(C696+C698)</f>
        <v>4793800</v>
      </c>
      <c r="D695" s="333"/>
      <c r="E695" s="303"/>
      <c r="F695" s="689"/>
      <c r="I695" s="311"/>
    </row>
    <row r="696" spans="1:9" s="310" customFormat="1" ht="13.5" customHeight="1" x14ac:dyDescent="0.25">
      <c r="A696" s="336" t="s">
        <v>303</v>
      </c>
      <c r="B696" s="564" t="s">
        <v>324</v>
      </c>
      <c r="C696" s="300">
        <f>SUM(C697)</f>
        <v>4793800</v>
      </c>
      <c r="D696" s="293"/>
      <c r="E696" s="303"/>
      <c r="F696" s="689"/>
      <c r="I696" s="311"/>
    </row>
    <row r="697" spans="1:9" s="310" customFormat="1" ht="13.5" customHeight="1" x14ac:dyDescent="0.25">
      <c r="A697" s="12" t="s">
        <v>306</v>
      </c>
      <c r="B697" s="43" t="s">
        <v>307</v>
      </c>
      <c r="C697" s="947">
        <v>4793800</v>
      </c>
      <c r="D697" s="293"/>
      <c r="E697" s="303"/>
      <c r="F697" s="689"/>
      <c r="I697" s="311"/>
    </row>
    <row r="698" spans="1:9" s="310" customFormat="1" ht="13.5" customHeight="1" x14ac:dyDescent="0.25">
      <c r="A698" s="336"/>
      <c r="B698" s="564"/>
      <c r="C698" s="300"/>
      <c r="D698" s="293"/>
      <c r="E698" s="303"/>
      <c r="F698" s="689"/>
      <c r="I698" s="311"/>
    </row>
    <row r="699" spans="1:9" s="310" customFormat="1" ht="13.5" customHeight="1" thickBot="1" x14ac:dyDescent="0.3">
      <c r="A699" s="273"/>
      <c r="B699" s="53"/>
      <c r="C699" s="303"/>
      <c r="D699" s="293"/>
      <c r="E699" s="303"/>
      <c r="F699" s="689"/>
      <c r="I699" s="311"/>
    </row>
    <row r="700" spans="1:9" s="310" customFormat="1" ht="13.5" customHeight="1" x14ac:dyDescent="0.25">
      <c r="A700" s="648" t="s">
        <v>778</v>
      </c>
      <c r="B700" s="649" t="s">
        <v>1060</v>
      </c>
      <c r="C700" s="690"/>
      <c r="D700" s="972" t="s">
        <v>300</v>
      </c>
      <c r="E700" s="976">
        <v>1315</v>
      </c>
      <c r="F700" s="689"/>
      <c r="I700" s="311"/>
    </row>
    <row r="701" spans="1:9" s="310" customFormat="1" ht="13.5" customHeight="1" x14ac:dyDescent="0.25">
      <c r="A701" s="707" t="s">
        <v>1061</v>
      </c>
      <c r="B701" s="728"/>
      <c r="C701" s="733"/>
      <c r="D701" s="973"/>
      <c r="E701" s="977"/>
      <c r="F701" s="689"/>
      <c r="I701" s="311"/>
    </row>
    <row r="702" spans="1:9" s="310" customFormat="1" ht="13.5" customHeight="1" thickBot="1" x14ac:dyDescent="0.3">
      <c r="A702" s="652"/>
      <c r="B702" s="653"/>
      <c r="C702" s="693"/>
      <c r="D702" s="974"/>
      <c r="E702" s="978"/>
      <c r="F702" s="689"/>
      <c r="I702" s="311"/>
    </row>
    <row r="703" spans="1:9" s="310" customFormat="1" ht="13.5" customHeight="1" x14ac:dyDescent="0.25">
      <c r="A703" s="268" t="s">
        <v>1049</v>
      </c>
      <c r="B703" s="53"/>
      <c r="C703" s="303"/>
      <c r="D703" s="277"/>
      <c r="E703" s="305"/>
      <c r="F703" s="689"/>
      <c r="I703" s="311"/>
    </row>
    <row r="704" spans="1:9" s="310" customFormat="1" ht="13.5" customHeight="1" x14ac:dyDescent="0.25">
      <c r="A704" s="268" t="s">
        <v>761</v>
      </c>
      <c r="B704" s="53"/>
      <c r="C704" s="303"/>
      <c r="D704" s="277"/>
      <c r="E704" s="305"/>
      <c r="F704" s="689"/>
      <c r="I704" s="311"/>
    </row>
    <row r="705" spans="1:9" s="310" customFormat="1" ht="13.5" customHeight="1" x14ac:dyDescent="0.25">
      <c r="A705" s="268" t="s">
        <v>1040</v>
      </c>
      <c r="B705" s="53"/>
      <c r="C705" s="303"/>
      <c r="D705" s="277"/>
      <c r="E705" s="305"/>
      <c r="F705" s="689"/>
      <c r="I705" s="311"/>
    </row>
    <row r="706" spans="1:9" s="310" customFormat="1" ht="13.5" customHeight="1" thickBot="1" x14ac:dyDescent="0.3">
      <c r="A706" s="268" t="s">
        <v>11</v>
      </c>
      <c r="B706" s="53"/>
      <c r="C706" s="330"/>
      <c r="D706" s="277"/>
      <c r="E706" s="305"/>
      <c r="F706" s="689"/>
      <c r="I706" s="311"/>
    </row>
    <row r="707" spans="1:9" s="310" customFormat="1" ht="13.5" customHeight="1" thickBot="1" x14ac:dyDescent="0.3">
      <c r="A707" s="762" t="s">
        <v>301</v>
      </c>
      <c r="B707" s="763"/>
      <c r="C707" s="764"/>
      <c r="D707" s="765"/>
      <c r="E707" s="766">
        <f>(C709)</f>
        <v>3600000</v>
      </c>
      <c r="F707" s="689"/>
      <c r="I707" s="311"/>
    </row>
    <row r="708" spans="1:9" s="310" customFormat="1" ht="13.5" customHeight="1" thickBot="1" x14ac:dyDescent="0.3">
      <c r="A708" s="12"/>
      <c r="B708" s="12"/>
      <c r="C708" s="303"/>
      <c r="D708" s="293"/>
      <c r="E708" s="303"/>
      <c r="F708" s="689"/>
      <c r="I708" s="311"/>
    </row>
    <row r="709" spans="1:9" s="310" customFormat="1" ht="13.5" customHeight="1" thickBot="1" x14ac:dyDescent="0.3">
      <c r="A709" s="1134" t="s">
        <v>302</v>
      </c>
      <c r="B709" s="1135"/>
      <c r="C709" s="775">
        <f>(C711)</f>
        <v>3600000</v>
      </c>
      <c r="D709" s="333"/>
      <c r="E709" s="303"/>
      <c r="F709" s="689"/>
      <c r="I709" s="311"/>
    </row>
    <row r="710" spans="1:9" s="310" customFormat="1" ht="13.5" customHeight="1" x14ac:dyDescent="0.25">
      <c r="A710" s="336" t="s">
        <v>316</v>
      </c>
      <c r="B710" s="564" t="s">
        <v>317</v>
      </c>
      <c r="C710" s="303"/>
      <c r="D710" s="293"/>
      <c r="E710" s="303"/>
      <c r="F710" s="689"/>
      <c r="I710" s="311"/>
    </row>
    <row r="711" spans="1:9" s="310" customFormat="1" ht="13.5" customHeight="1" x14ac:dyDescent="0.25">
      <c r="A711" s="273" t="s">
        <v>335</v>
      </c>
      <c r="B711" s="12" t="s">
        <v>784</v>
      </c>
      <c r="C711" s="303">
        <v>3600000</v>
      </c>
      <c r="D711" s="293"/>
      <c r="E711" s="303"/>
      <c r="F711" s="689"/>
      <c r="I711" s="311"/>
    </row>
    <row r="712" spans="1:9" s="310" customFormat="1" ht="13.5" customHeight="1" x14ac:dyDescent="0.25">
      <c r="A712" s="273"/>
      <c r="B712" s="12"/>
      <c r="C712" s="303"/>
      <c r="D712" s="293"/>
      <c r="E712" s="303"/>
      <c r="F712" s="689"/>
      <c r="I712" s="311"/>
    </row>
    <row r="713" spans="1:9" s="310" customFormat="1" ht="13.5" customHeight="1" thickBot="1" x14ac:dyDescent="0.3">
      <c r="A713" s="273"/>
      <c r="B713" s="53"/>
      <c r="C713" s="303"/>
      <c r="D713" s="293"/>
      <c r="E713" s="303"/>
      <c r="F713" s="689"/>
      <c r="I713" s="311"/>
    </row>
    <row r="714" spans="1:9" s="310" customFormat="1" ht="13.5" customHeight="1" x14ac:dyDescent="0.25">
      <c r="A714" s="648" t="s">
        <v>778</v>
      </c>
      <c r="B714" s="649" t="s">
        <v>845</v>
      </c>
      <c r="C714" s="690"/>
      <c r="D714" s="692" t="s">
        <v>6</v>
      </c>
      <c r="E714" s="976">
        <v>1316</v>
      </c>
      <c r="F714" s="689"/>
      <c r="I714" s="311"/>
    </row>
    <row r="715" spans="1:9" s="310" customFormat="1" ht="13.5" customHeight="1" x14ac:dyDescent="0.3">
      <c r="A715" s="776" t="s">
        <v>846</v>
      </c>
      <c r="B715" s="711"/>
      <c r="C715" s="733"/>
      <c r="D715" s="734"/>
      <c r="E715" s="975"/>
      <c r="F715" s="689"/>
      <c r="I715" s="311"/>
    </row>
    <row r="716" spans="1:9" s="310" customFormat="1" ht="13.5" customHeight="1" thickBot="1" x14ac:dyDescent="0.3">
      <c r="A716" s="652"/>
      <c r="B716" s="653"/>
      <c r="C716" s="693"/>
      <c r="D716" s="695"/>
      <c r="E716" s="882"/>
      <c r="F716" s="689"/>
      <c r="I716" s="311"/>
    </row>
    <row r="717" spans="1:9" s="310" customFormat="1" ht="13.5" customHeight="1" x14ac:dyDescent="0.25">
      <c r="A717" s="268" t="s">
        <v>1049</v>
      </c>
      <c r="B717" s="53"/>
      <c r="C717" s="303"/>
      <c r="D717" s="277"/>
      <c r="E717" s="305"/>
      <c r="F717" s="689"/>
      <c r="I717" s="311"/>
    </row>
    <row r="718" spans="1:9" s="310" customFormat="1" ht="13.5" customHeight="1" x14ac:dyDescent="0.25">
      <c r="A718" s="268" t="s">
        <v>761</v>
      </c>
      <c r="B718" s="53"/>
      <c r="C718" s="303"/>
      <c r="D718" s="277"/>
      <c r="E718" s="305"/>
      <c r="F718" s="689"/>
      <c r="I718" s="311"/>
    </row>
    <row r="719" spans="1:9" s="310" customFormat="1" ht="13.5" customHeight="1" x14ac:dyDescent="0.25">
      <c r="A719" s="268" t="s">
        <v>1040</v>
      </c>
      <c r="B719" s="53"/>
      <c r="C719" s="303"/>
      <c r="D719" s="277"/>
      <c r="E719" s="305"/>
      <c r="F719" s="689"/>
      <c r="I719" s="311"/>
    </row>
    <row r="720" spans="1:9" s="310" customFormat="1" ht="13.5" customHeight="1" thickBot="1" x14ac:dyDescent="0.3">
      <c r="A720" s="268" t="s">
        <v>11</v>
      </c>
      <c r="B720" s="53"/>
      <c r="C720" s="330"/>
      <c r="D720" s="277"/>
      <c r="E720" s="305"/>
      <c r="F720" s="689"/>
      <c r="I720" s="311"/>
    </row>
    <row r="721" spans="1:9" s="310" customFormat="1" ht="13.5" customHeight="1" thickBot="1" x14ac:dyDescent="0.3">
      <c r="A721" s="762" t="s">
        <v>301</v>
      </c>
      <c r="B721" s="763"/>
      <c r="C721" s="764"/>
      <c r="D721" s="765"/>
      <c r="E721" s="766">
        <f>(C723)</f>
        <v>16580000</v>
      </c>
      <c r="F721" s="689"/>
      <c r="I721" s="311"/>
    </row>
    <row r="722" spans="1:9" s="310" customFormat="1" ht="13.5" customHeight="1" thickBot="1" x14ac:dyDescent="0.3">
      <c r="A722" s="53"/>
      <c r="B722" s="12"/>
      <c r="C722" s="303"/>
      <c r="D722" s="333"/>
      <c r="E722" s="303"/>
      <c r="F722" s="689"/>
      <c r="I722" s="311"/>
    </row>
    <row r="723" spans="1:9" s="310" customFormat="1" ht="13.5" customHeight="1" thickBot="1" x14ac:dyDescent="0.3">
      <c r="A723" s="1134" t="s">
        <v>302</v>
      </c>
      <c r="B723" s="1135"/>
      <c r="C723" s="775">
        <f>(C725)</f>
        <v>16580000</v>
      </c>
      <c r="D723" s="333"/>
      <c r="E723" s="303"/>
      <c r="F723" s="689"/>
      <c r="I723" s="311"/>
    </row>
    <row r="724" spans="1:9" s="310" customFormat="1" ht="13.5" customHeight="1" x14ac:dyDescent="0.25">
      <c r="A724" s="336" t="s">
        <v>316</v>
      </c>
      <c r="B724" s="564" t="s">
        <v>317</v>
      </c>
      <c r="C724" s="303"/>
      <c r="D724" s="293"/>
      <c r="E724" s="303"/>
      <c r="F724" s="689"/>
      <c r="I724" s="311"/>
    </row>
    <row r="725" spans="1:9" s="310" customFormat="1" ht="13.5" customHeight="1" x14ac:dyDescent="0.25">
      <c r="A725" s="273" t="s">
        <v>320</v>
      </c>
      <c r="B725" s="12" t="s">
        <v>321</v>
      </c>
      <c r="C725" s="303">
        <v>16580000</v>
      </c>
      <c r="D725" s="293"/>
      <c r="E725" s="303"/>
      <c r="F725" s="689"/>
      <c r="I725" s="311"/>
    </row>
    <row r="726" spans="1:9" s="310" customFormat="1" ht="13.5" customHeight="1" x14ac:dyDescent="0.25">
      <c r="A726" s="273"/>
      <c r="B726" s="53"/>
      <c r="C726" s="303"/>
      <c r="D726" s="293"/>
      <c r="E726" s="303"/>
      <c r="F726" s="689"/>
      <c r="I726" s="311"/>
    </row>
    <row r="727" spans="1:9" s="310" customFormat="1" ht="13.5" customHeight="1" thickBot="1" x14ac:dyDescent="0.3">
      <c r="A727" s="273"/>
      <c r="B727" s="53"/>
      <c r="C727" s="303"/>
      <c r="D727" s="293"/>
      <c r="E727" s="303"/>
      <c r="F727" s="689"/>
      <c r="I727" s="311"/>
    </row>
    <row r="728" spans="1:9" s="310" customFormat="1" ht="13.5" customHeight="1" x14ac:dyDescent="0.25">
      <c r="A728" s="648" t="s">
        <v>778</v>
      </c>
      <c r="B728" s="649" t="s">
        <v>785</v>
      </c>
      <c r="C728" s="690"/>
      <c r="D728" s="692" t="s">
        <v>6</v>
      </c>
      <c r="E728" s="976">
        <v>1317</v>
      </c>
      <c r="F728" s="689"/>
      <c r="I728" s="311"/>
    </row>
    <row r="729" spans="1:9" s="310" customFormat="1" ht="13.5" customHeight="1" x14ac:dyDescent="0.3">
      <c r="A729" s="776" t="s">
        <v>808</v>
      </c>
      <c r="B729" s="711"/>
      <c r="C729" s="733"/>
      <c r="D729" s="734"/>
      <c r="E729" s="977"/>
      <c r="F729" s="689"/>
      <c r="I729" s="311"/>
    </row>
    <row r="730" spans="1:9" s="310" customFormat="1" ht="13.5" customHeight="1" thickBot="1" x14ac:dyDescent="0.3">
      <c r="A730" s="652"/>
      <c r="B730" s="653"/>
      <c r="C730" s="693"/>
      <c r="D730" s="695"/>
      <c r="E730" s="978"/>
      <c r="F730" s="689"/>
      <c r="I730" s="311"/>
    </row>
    <row r="731" spans="1:9" s="310" customFormat="1" ht="13.5" customHeight="1" x14ac:dyDescent="0.25">
      <c r="A731" s="656" t="s">
        <v>1049</v>
      </c>
      <c r="B731" s="657"/>
      <c r="C731" s="675"/>
      <c r="D731" s="979"/>
      <c r="E731" s="980"/>
      <c r="F731" s="689"/>
      <c r="I731" s="311"/>
    </row>
    <row r="732" spans="1:9" s="310" customFormat="1" ht="13.5" customHeight="1" x14ac:dyDescent="0.25">
      <c r="A732" s="268" t="s">
        <v>761</v>
      </c>
      <c r="B732" s="53"/>
      <c r="C732" s="303"/>
      <c r="D732" s="277"/>
      <c r="E732" s="305"/>
      <c r="F732" s="689"/>
      <c r="I732" s="311"/>
    </row>
    <row r="733" spans="1:9" s="310" customFormat="1" ht="13.5" customHeight="1" x14ac:dyDescent="0.25">
      <c r="A733" s="268" t="s">
        <v>1040</v>
      </c>
      <c r="B733" s="53"/>
      <c r="C733" s="303"/>
      <c r="D733" s="277"/>
      <c r="E733" s="305"/>
      <c r="F733" s="689"/>
      <c r="I733" s="311"/>
    </row>
    <row r="734" spans="1:9" s="310" customFormat="1" ht="13.5" customHeight="1" thickBot="1" x14ac:dyDescent="0.3">
      <c r="A734" s="321" t="s">
        <v>847</v>
      </c>
      <c r="B734" s="620"/>
      <c r="C734" s="330"/>
      <c r="D734" s="981"/>
      <c r="E734" s="982"/>
      <c r="F734" s="689"/>
      <c r="I734" s="311"/>
    </row>
    <row r="735" spans="1:9" s="310" customFormat="1" ht="13.5" customHeight="1" thickBot="1" x14ac:dyDescent="0.3">
      <c r="A735" s="762" t="s">
        <v>301</v>
      </c>
      <c r="B735" s="763"/>
      <c r="C735" s="764"/>
      <c r="D735" s="765"/>
      <c r="E735" s="766">
        <f>(C737)</f>
        <v>19850000</v>
      </c>
      <c r="F735" s="689"/>
      <c r="I735" s="311"/>
    </row>
    <row r="736" spans="1:9" s="310" customFormat="1" ht="13.5" customHeight="1" thickBot="1" x14ac:dyDescent="0.3">
      <c r="A736" s="12"/>
      <c r="B736" s="12"/>
      <c r="C736" s="303"/>
      <c r="D736" s="293"/>
      <c r="E736" s="303"/>
      <c r="F736" s="689"/>
      <c r="I736" s="311"/>
    </row>
    <row r="737" spans="1:9" s="310" customFormat="1" ht="13.5" customHeight="1" thickBot="1" x14ac:dyDescent="0.3">
      <c r="A737" s="1134" t="s">
        <v>302</v>
      </c>
      <c r="B737" s="1135"/>
      <c r="C737" s="775">
        <f>(C739)</f>
        <v>19850000</v>
      </c>
      <c r="D737" s="333"/>
      <c r="E737" s="303"/>
      <c r="F737" s="689"/>
      <c r="I737" s="311"/>
    </row>
    <row r="738" spans="1:9" s="310" customFormat="1" ht="13.5" customHeight="1" x14ac:dyDescent="0.25">
      <c r="A738" s="336" t="s">
        <v>316</v>
      </c>
      <c r="B738" s="564" t="s">
        <v>317</v>
      </c>
      <c r="C738" s="303"/>
      <c r="D738" s="293"/>
      <c r="E738" s="303"/>
      <c r="F738" s="689"/>
      <c r="I738" s="311"/>
    </row>
    <row r="739" spans="1:9" s="310" customFormat="1" ht="13.5" customHeight="1" x14ac:dyDescent="0.25">
      <c r="A739" s="273" t="s">
        <v>320</v>
      </c>
      <c r="B739" s="12" t="s">
        <v>321</v>
      </c>
      <c r="C739" s="303">
        <v>19850000</v>
      </c>
      <c r="D739" s="293"/>
      <c r="E739" s="303"/>
      <c r="F739" s="689"/>
      <c r="I739" s="311"/>
    </row>
    <row r="740" spans="1:9" s="310" customFormat="1" ht="13.5" customHeight="1" x14ac:dyDescent="0.25">
      <c r="A740" s="273"/>
      <c r="B740" s="53"/>
      <c r="C740" s="303"/>
      <c r="D740" s="293"/>
      <c r="E740" s="303"/>
      <c r="F740" s="689"/>
      <c r="I740" s="311"/>
    </row>
    <row r="741" spans="1:9" s="310" customFormat="1" ht="13.5" customHeight="1" thickBot="1" x14ac:dyDescent="0.3">
      <c r="A741" s="273"/>
      <c r="B741" s="53"/>
      <c r="C741" s="303"/>
      <c r="D741" s="293"/>
      <c r="E741" s="303"/>
      <c r="F741" s="689"/>
      <c r="I741" s="311"/>
    </row>
    <row r="742" spans="1:9" s="310" customFormat="1" ht="13.5" customHeight="1" x14ac:dyDescent="0.25">
      <c r="A742" s="648" t="s">
        <v>778</v>
      </c>
      <c r="B742" s="649" t="s">
        <v>1063</v>
      </c>
      <c r="C742" s="690"/>
      <c r="D742" s="692" t="s">
        <v>300</v>
      </c>
      <c r="E742" s="976">
        <v>1318</v>
      </c>
      <c r="F742" s="689"/>
      <c r="I742" s="311"/>
    </row>
    <row r="743" spans="1:9" s="310" customFormat="1" ht="13.5" customHeight="1" x14ac:dyDescent="0.3">
      <c r="A743" s="776" t="s">
        <v>1062</v>
      </c>
      <c r="B743" s="711"/>
      <c r="C743" s="733"/>
      <c r="D743" s="734"/>
      <c r="E743" s="977"/>
      <c r="F743" s="689"/>
      <c r="I743" s="311"/>
    </row>
    <row r="744" spans="1:9" s="310" customFormat="1" ht="13.5" customHeight="1" thickBot="1" x14ac:dyDescent="0.3">
      <c r="A744" s="652"/>
      <c r="B744" s="653"/>
      <c r="C744" s="693"/>
      <c r="D744" s="695"/>
      <c r="E744" s="978"/>
      <c r="F744" s="689"/>
      <c r="I744" s="311"/>
    </row>
    <row r="745" spans="1:9" s="310" customFormat="1" ht="13.5" customHeight="1" x14ac:dyDescent="0.25">
      <c r="A745" s="268" t="s">
        <v>1044</v>
      </c>
      <c r="B745" s="53"/>
      <c r="C745" s="303"/>
      <c r="D745" s="277"/>
      <c r="E745" s="305"/>
      <c r="F745" s="689"/>
      <c r="I745" s="311"/>
    </row>
    <row r="746" spans="1:9" s="310" customFormat="1" ht="13.5" customHeight="1" x14ac:dyDescent="0.25">
      <c r="A746" s="268" t="s">
        <v>761</v>
      </c>
      <c r="B746" s="53"/>
      <c r="C746" s="303"/>
      <c r="D746" s="277"/>
      <c r="E746" s="305"/>
      <c r="F746" s="689"/>
      <c r="I746" s="311"/>
    </row>
    <row r="747" spans="1:9" s="310" customFormat="1" ht="13.5" customHeight="1" x14ac:dyDescent="0.25">
      <c r="A747" s="268" t="s">
        <v>678</v>
      </c>
      <c r="B747" s="53"/>
      <c r="C747" s="303"/>
      <c r="D747" s="277"/>
      <c r="E747" s="305"/>
      <c r="F747" s="689"/>
      <c r="I747" s="311"/>
    </row>
    <row r="748" spans="1:9" s="310" customFormat="1" ht="13.5" customHeight="1" thickBot="1" x14ac:dyDescent="0.3">
      <c r="A748" s="268" t="s">
        <v>11</v>
      </c>
      <c r="B748" s="53"/>
      <c r="C748" s="330"/>
      <c r="D748" s="277"/>
      <c r="E748" s="305"/>
      <c r="F748" s="689"/>
      <c r="I748" s="311"/>
    </row>
    <row r="749" spans="1:9" s="310" customFormat="1" ht="13.5" customHeight="1" thickBot="1" x14ac:dyDescent="0.3">
      <c r="A749" s="762" t="s">
        <v>301</v>
      </c>
      <c r="B749" s="763"/>
      <c r="C749" s="764"/>
      <c r="D749" s="765"/>
      <c r="E749" s="766">
        <f>(C751)</f>
        <v>18000000</v>
      </c>
      <c r="F749" s="689"/>
      <c r="I749" s="311"/>
    </row>
    <row r="750" spans="1:9" s="310" customFormat="1" ht="13.5" customHeight="1" thickBot="1" x14ac:dyDescent="0.3">
      <c r="A750" s="12"/>
      <c r="B750" s="12"/>
      <c r="C750" s="303"/>
      <c r="D750" s="293"/>
      <c r="E750" s="303"/>
      <c r="F750" s="689"/>
      <c r="I750" s="311"/>
    </row>
    <row r="751" spans="1:9" s="310" customFormat="1" ht="13.5" customHeight="1" thickBot="1" x14ac:dyDescent="0.3">
      <c r="A751" s="1134" t="s">
        <v>302</v>
      </c>
      <c r="B751" s="1135"/>
      <c r="C751" s="775">
        <f>(C753)</f>
        <v>18000000</v>
      </c>
      <c r="D751" s="333"/>
      <c r="E751" s="303"/>
      <c r="F751" s="689"/>
      <c r="I751" s="311"/>
    </row>
    <row r="752" spans="1:9" s="310" customFormat="1" ht="13.5" customHeight="1" x14ac:dyDescent="0.25">
      <c r="A752" s="336" t="s">
        <v>316</v>
      </c>
      <c r="B752" s="564" t="s">
        <v>317</v>
      </c>
      <c r="C752" s="303"/>
      <c r="D752" s="293"/>
      <c r="E752" s="303"/>
      <c r="F752" s="689"/>
      <c r="I752" s="311"/>
    </row>
    <row r="753" spans="1:9" s="310" customFormat="1" ht="13.5" customHeight="1" x14ac:dyDescent="0.25">
      <c r="A753" s="273" t="s">
        <v>322</v>
      </c>
      <c r="B753" s="53" t="s">
        <v>323</v>
      </c>
      <c r="C753" s="303">
        <v>18000000</v>
      </c>
      <c r="D753" s="293"/>
      <c r="E753" s="303"/>
      <c r="F753" s="689"/>
      <c r="I753" s="311"/>
    </row>
    <row r="754" spans="1:9" s="310" customFormat="1" ht="13.5" customHeight="1" x14ac:dyDescent="0.25">
      <c r="A754" s="273"/>
      <c r="B754" s="53"/>
      <c r="C754" s="303"/>
      <c r="D754" s="293"/>
      <c r="E754" s="303"/>
      <c r="F754" s="689"/>
      <c r="I754" s="311"/>
    </row>
    <row r="755" spans="1:9" s="310" customFormat="1" ht="13.5" customHeight="1" thickBot="1" x14ac:dyDescent="0.3">
      <c r="A755" s="273"/>
      <c r="B755" s="53"/>
      <c r="C755" s="303"/>
      <c r="D755" s="293"/>
      <c r="E755" s="303"/>
      <c r="F755" s="689"/>
      <c r="I755" s="311"/>
    </row>
    <row r="756" spans="1:9" s="310" customFormat="1" ht="13.5" customHeight="1" x14ac:dyDescent="0.25">
      <c r="A756" s="648" t="s">
        <v>778</v>
      </c>
      <c r="B756" s="649" t="s">
        <v>786</v>
      </c>
      <c r="C756" s="690"/>
      <c r="D756" s="692" t="s">
        <v>6</v>
      </c>
      <c r="E756" s="976">
        <v>1319</v>
      </c>
      <c r="F756" s="689"/>
      <c r="I756" s="311"/>
    </row>
    <row r="757" spans="1:9" s="310" customFormat="1" ht="13.5" customHeight="1" x14ac:dyDescent="0.3">
      <c r="A757" s="776" t="s">
        <v>787</v>
      </c>
      <c r="B757" s="711"/>
      <c r="C757" s="733"/>
      <c r="D757" s="734"/>
      <c r="E757" s="977"/>
      <c r="F757" s="689"/>
      <c r="I757" s="311"/>
    </row>
    <row r="758" spans="1:9" s="310" customFormat="1" ht="13.5" customHeight="1" thickBot="1" x14ac:dyDescent="0.3">
      <c r="A758" s="652"/>
      <c r="B758" s="653"/>
      <c r="C758" s="693"/>
      <c r="D758" s="695"/>
      <c r="E758" s="978"/>
      <c r="F758" s="689"/>
      <c r="I758" s="311"/>
    </row>
    <row r="759" spans="1:9" s="310" customFormat="1" ht="13.5" customHeight="1" x14ac:dyDescent="0.25">
      <c r="A759" s="268" t="s">
        <v>1049</v>
      </c>
      <c r="B759" s="53"/>
      <c r="C759" s="303"/>
      <c r="D759" s="277"/>
      <c r="E759" s="305"/>
      <c r="F759" s="689"/>
      <c r="I759" s="311"/>
    </row>
    <row r="760" spans="1:9" s="310" customFormat="1" ht="13.5" customHeight="1" x14ac:dyDescent="0.25">
      <c r="A760" s="268" t="s">
        <v>761</v>
      </c>
      <c r="B760" s="53"/>
      <c r="C760" s="303"/>
      <c r="D760" s="277"/>
      <c r="E760" s="305"/>
      <c r="F760" s="689"/>
      <c r="I760" s="311"/>
    </row>
    <row r="761" spans="1:9" s="310" customFormat="1" ht="13.5" customHeight="1" x14ac:dyDescent="0.25">
      <c r="A761" s="268" t="s">
        <v>1040</v>
      </c>
      <c r="B761" s="53"/>
      <c r="C761" s="303"/>
      <c r="D761" s="277"/>
      <c r="E761" s="305"/>
      <c r="F761" s="689"/>
      <c r="I761" s="311"/>
    </row>
    <row r="762" spans="1:9" s="310" customFormat="1" ht="13.5" customHeight="1" thickBot="1" x14ac:dyDescent="0.3">
      <c r="A762" s="268" t="s">
        <v>11</v>
      </c>
      <c r="B762" s="53"/>
      <c r="C762" s="330"/>
      <c r="D762" s="277"/>
      <c r="E762" s="305"/>
      <c r="F762" s="689"/>
      <c r="I762" s="311"/>
    </row>
    <row r="763" spans="1:9" s="310" customFormat="1" ht="13.5" customHeight="1" thickBot="1" x14ac:dyDescent="0.3">
      <c r="A763" s="762" t="s">
        <v>301</v>
      </c>
      <c r="B763" s="763"/>
      <c r="C763" s="764"/>
      <c r="D763" s="765"/>
      <c r="E763" s="766">
        <f>(C765)</f>
        <v>9262000</v>
      </c>
      <c r="F763" s="689"/>
      <c r="I763" s="311"/>
    </row>
    <row r="764" spans="1:9" s="310" customFormat="1" ht="13.5" customHeight="1" thickBot="1" x14ac:dyDescent="0.3">
      <c r="A764" s="12"/>
      <c r="B764" s="12"/>
      <c r="C764" s="303"/>
      <c r="D764" s="293"/>
      <c r="E764" s="303"/>
      <c r="F764" s="689"/>
      <c r="I764" s="311"/>
    </row>
    <row r="765" spans="1:9" s="310" customFormat="1" ht="13.5" customHeight="1" thickBot="1" x14ac:dyDescent="0.3">
      <c r="A765" s="1134" t="s">
        <v>302</v>
      </c>
      <c r="B765" s="1135"/>
      <c r="C765" s="775">
        <f>(C767)</f>
        <v>9262000</v>
      </c>
      <c r="D765" s="333"/>
      <c r="E765" s="303"/>
      <c r="F765" s="689"/>
      <c r="I765" s="311"/>
    </row>
    <row r="766" spans="1:9" s="310" customFormat="1" ht="13.5" customHeight="1" x14ac:dyDescent="0.25">
      <c r="A766" s="336" t="s">
        <v>303</v>
      </c>
      <c r="B766" s="564" t="s">
        <v>324</v>
      </c>
      <c r="C766" s="303"/>
      <c r="D766" s="293"/>
      <c r="E766" s="303"/>
      <c r="F766" s="689"/>
      <c r="I766" s="311"/>
    </row>
    <row r="767" spans="1:9" s="310" customFormat="1" ht="13.5" customHeight="1" x14ac:dyDescent="0.25">
      <c r="A767" s="12" t="s">
        <v>306</v>
      </c>
      <c r="B767" s="43" t="s">
        <v>307</v>
      </c>
      <c r="C767" s="947">
        <v>9262000</v>
      </c>
      <c r="D767" s="293"/>
      <c r="E767" s="303"/>
      <c r="F767" s="689"/>
      <c r="I767" s="311"/>
    </row>
    <row r="768" spans="1:9" s="310" customFormat="1" ht="13.5" customHeight="1" x14ac:dyDescent="0.25">
      <c r="A768" s="273"/>
      <c r="B768" s="53"/>
      <c r="C768" s="303"/>
      <c r="D768" s="293"/>
      <c r="E768" s="303"/>
      <c r="F768" s="689"/>
      <c r="I768" s="311"/>
    </row>
    <row r="769" spans="1:9" s="310" customFormat="1" ht="13.5" customHeight="1" thickBot="1" x14ac:dyDescent="0.3">
      <c r="A769" s="273"/>
      <c r="B769" s="53"/>
      <c r="C769" s="303"/>
      <c r="D769" s="293"/>
      <c r="E769" s="303"/>
      <c r="F769" s="689"/>
      <c r="I769" s="311"/>
    </row>
    <row r="770" spans="1:9" s="310" customFormat="1" ht="13.5" customHeight="1" x14ac:dyDescent="0.25">
      <c r="A770" s="648" t="s">
        <v>778</v>
      </c>
      <c r="B770" s="649" t="s">
        <v>1053</v>
      </c>
      <c r="C770" s="690"/>
      <c r="D770" s="692" t="s">
        <v>6</v>
      </c>
      <c r="E770" s="976">
        <v>1320</v>
      </c>
      <c r="F770" s="689"/>
      <c r="I770" s="311"/>
    </row>
    <row r="771" spans="1:9" s="310" customFormat="1" ht="13.5" customHeight="1" thickBot="1" x14ac:dyDescent="0.3">
      <c r="A771" s="652"/>
      <c r="B771" s="653"/>
      <c r="C771" s="693"/>
      <c r="D771" s="695"/>
      <c r="E771" s="978"/>
      <c r="F771" s="689"/>
      <c r="I771" s="311"/>
    </row>
    <row r="772" spans="1:9" s="310" customFormat="1" ht="13.5" customHeight="1" x14ac:dyDescent="0.25">
      <c r="A772" s="268" t="s">
        <v>1049</v>
      </c>
      <c r="B772" s="53"/>
      <c r="C772" s="303"/>
      <c r="D772" s="277"/>
      <c r="E772" s="305"/>
      <c r="F772" s="689"/>
      <c r="I772" s="311"/>
    </row>
    <row r="773" spans="1:9" s="310" customFormat="1" ht="13.5" customHeight="1" x14ac:dyDescent="0.25">
      <c r="A773" s="268" t="s">
        <v>848</v>
      </c>
      <c r="B773" s="53"/>
      <c r="C773" s="303"/>
      <c r="D773" s="277"/>
      <c r="E773" s="305"/>
      <c r="F773" s="689"/>
      <c r="I773" s="311"/>
    </row>
    <row r="774" spans="1:9" s="310" customFormat="1" ht="13.5" customHeight="1" x14ac:dyDescent="0.25">
      <c r="A774" s="268" t="s">
        <v>1040</v>
      </c>
      <c r="B774" s="53"/>
      <c r="C774" s="303"/>
      <c r="D774" s="277"/>
      <c r="E774" s="305"/>
      <c r="F774" s="689"/>
      <c r="I774" s="311"/>
    </row>
    <row r="775" spans="1:9" s="310" customFormat="1" ht="13.5" customHeight="1" thickBot="1" x14ac:dyDescent="0.3">
      <c r="A775" s="268" t="s">
        <v>11</v>
      </c>
      <c r="B775" s="53"/>
      <c r="C775" s="330"/>
      <c r="D775" s="277"/>
      <c r="E775" s="305"/>
      <c r="F775" s="689"/>
      <c r="I775" s="311"/>
    </row>
    <row r="776" spans="1:9" s="310" customFormat="1" ht="13.5" customHeight="1" thickBot="1" x14ac:dyDescent="0.3">
      <c r="A776" s="762" t="s">
        <v>301</v>
      </c>
      <c r="B776" s="763"/>
      <c r="C776" s="764"/>
      <c r="D776" s="765"/>
      <c r="E776" s="766">
        <f>(C778)</f>
        <v>3345000</v>
      </c>
      <c r="F776" s="689"/>
      <c r="I776" s="311"/>
    </row>
    <row r="777" spans="1:9" s="310" customFormat="1" ht="13.5" customHeight="1" thickBot="1" x14ac:dyDescent="0.3">
      <c r="A777" s="12"/>
      <c r="B777" s="12"/>
      <c r="C777" s="303"/>
      <c r="D777" s="293"/>
      <c r="E777" s="303"/>
      <c r="F777" s="689"/>
      <c r="I777" s="311"/>
    </row>
    <row r="778" spans="1:9" s="310" customFormat="1" ht="13.5" customHeight="1" thickBot="1" x14ac:dyDescent="0.3">
      <c r="A778" s="1134" t="s">
        <v>302</v>
      </c>
      <c r="B778" s="1135"/>
      <c r="C778" s="775">
        <f>(C780)</f>
        <v>3345000</v>
      </c>
      <c r="D778" s="333"/>
      <c r="E778" s="303"/>
      <c r="F778" s="689"/>
      <c r="I778" s="311"/>
    </row>
    <row r="779" spans="1:9" s="310" customFormat="1" ht="13.5" customHeight="1" x14ac:dyDescent="0.25">
      <c r="A779" s="336" t="s">
        <v>303</v>
      </c>
      <c r="B779" s="564" t="s">
        <v>324</v>
      </c>
      <c r="C779" s="303"/>
      <c r="D779" s="293"/>
      <c r="E779" s="303"/>
      <c r="F779" s="689"/>
      <c r="I779" s="311"/>
    </row>
    <row r="780" spans="1:9" s="310" customFormat="1" ht="13.5" customHeight="1" x14ac:dyDescent="0.25">
      <c r="A780" s="12" t="s">
        <v>1054</v>
      </c>
      <c r="B780" s="43" t="s">
        <v>1048</v>
      </c>
      <c r="C780" s="947">
        <v>3345000</v>
      </c>
      <c r="D780" s="293"/>
      <c r="E780" s="303"/>
      <c r="F780" s="689"/>
      <c r="I780" s="311"/>
    </row>
    <row r="781" spans="1:9" s="310" customFormat="1" ht="13.5" customHeight="1" x14ac:dyDescent="0.25">
      <c r="A781" s="273"/>
      <c r="B781" s="53"/>
      <c r="C781" s="303"/>
      <c r="D781" s="293"/>
      <c r="E781" s="303"/>
      <c r="F781" s="689"/>
      <c r="I781" s="311"/>
    </row>
    <row r="782" spans="1:9" s="310" customFormat="1" ht="13.5" customHeight="1" thickBot="1" x14ac:dyDescent="0.3">
      <c r="A782" s="273"/>
      <c r="B782" s="53"/>
      <c r="C782" s="303"/>
      <c r="D782" s="293"/>
      <c r="E782" s="303"/>
      <c r="F782" s="689"/>
      <c r="I782" s="311"/>
    </row>
    <row r="783" spans="1:9" s="310" customFormat="1" ht="13.5" customHeight="1" x14ac:dyDescent="0.25">
      <c r="A783" s="648" t="s">
        <v>778</v>
      </c>
      <c r="B783" s="649" t="s">
        <v>788</v>
      </c>
      <c r="C783" s="690"/>
      <c r="D783" s="692" t="s">
        <v>6</v>
      </c>
      <c r="E783" s="911">
        <v>1321</v>
      </c>
      <c r="F783" s="689"/>
      <c r="I783" s="311"/>
    </row>
    <row r="784" spans="1:9" s="310" customFormat="1" ht="13.5" customHeight="1" x14ac:dyDescent="0.25">
      <c r="A784" s="707" t="s">
        <v>789</v>
      </c>
      <c r="B784" s="728"/>
      <c r="C784" s="733"/>
      <c r="D784" s="734"/>
      <c r="E784" s="738"/>
      <c r="F784" s="689"/>
      <c r="I784" s="311"/>
    </row>
    <row r="785" spans="1:9" s="310" customFormat="1" ht="13.5" customHeight="1" thickBot="1" x14ac:dyDescent="0.3">
      <c r="A785" s="652"/>
      <c r="B785" s="653"/>
      <c r="C785" s="693"/>
      <c r="D785" s="695"/>
      <c r="E785" s="696"/>
      <c r="F785" s="689"/>
      <c r="I785" s="311"/>
    </row>
    <row r="786" spans="1:9" s="310" customFormat="1" ht="13.5" customHeight="1" x14ac:dyDescent="0.25">
      <c r="A786" s="268" t="s">
        <v>1049</v>
      </c>
      <c r="B786" s="53"/>
      <c r="C786" s="303"/>
      <c r="D786" s="277"/>
      <c r="E786" s="305"/>
      <c r="F786" s="689"/>
      <c r="I786" s="311"/>
    </row>
    <row r="787" spans="1:9" s="310" customFormat="1" ht="13.5" customHeight="1" x14ac:dyDescent="0.25">
      <c r="A787" s="268" t="s">
        <v>761</v>
      </c>
      <c r="B787" s="53"/>
      <c r="C787" s="303"/>
      <c r="D787" s="277"/>
      <c r="E787" s="305"/>
      <c r="F787" s="689"/>
      <c r="I787" s="311"/>
    </row>
    <row r="788" spans="1:9" s="310" customFormat="1" ht="13.5" customHeight="1" x14ac:dyDescent="0.25">
      <c r="A788" s="268" t="s">
        <v>1040</v>
      </c>
      <c r="B788" s="53"/>
      <c r="C788" s="303"/>
      <c r="D788" s="277"/>
      <c r="E788" s="305"/>
      <c r="F788" s="689"/>
      <c r="I788" s="311"/>
    </row>
    <row r="789" spans="1:9" s="310" customFormat="1" ht="13.5" customHeight="1" thickBot="1" x14ac:dyDescent="0.3">
      <c r="A789" s="268" t="s">
        <v>11</v>
      </c>
      <c r="B789" s="53"/>
      <c r="C789" s="330"/>
      <c r="D789" s="277"/>
      <c r="E789" s="305"/>
      <c r="F789" s="689"/>
      <c r="I789" s="311"/>
    </row>
    <row r="790" spans="1:9" s="310" customFormat="1" ht="13.5" customHeight="1" thickBot="1" x14ac:dyDescent="0.3">
      <c r="A790" s="762" t="s">
        <v>301</v>
      </c>
      <c r="B790" s="763"/>
      <c r="C790" s="764"/>
      <c r="D790" s="765"/>
      <c r="E790" s="766">
        <f>(C792)</f>
        <v>6937500</v>
      </c>
      <c r="F790" s="689"/>
      <c r="I790" s="311"/>
    </row>
    <row r="791" spans="1:9" s="310" customFormat="1" ht="13.5" customHeight="1" thickBot="1" x14ac:dyDescent="0.3">
      <c r="A791" s="12"/>
      <c r="B791" s="12"/>
      <c r="C791" s="303"/>
      <c r="D791" s="293"/>
      <c r="E791" s="303"/>
      <c r="F791" s="689"/>
      <c r="I791" s="311"/>
    </row>
    <row r="792" spans="1:9" s="310" customFormat="1" ht="13.5" customHeight="1" thickBot="1" x14ac:dyDescent="0.3">
      <c r="A792" s="1134" t="s">
        <v>302</v>
      </c>
      <c r="B792" s="1135"/>
      <c r="C792" s="775">
        <f>(C794)</f>
        <v>6937500</v>
      </c>
      <c r="D792" s="333"/>
      <c r="E792" s="303"/>
      <c r="F792" s="689"/>
      <c r="I792" s="311"/>
    </row>
    <row r="793" spans="1:9" s="310" customFormat="1" ht="13.5" customHeight="1" x14ac:dyDescent="0.25">
      <c r="A793" s="336" t="s">
        <v>303</v>
      </c>
      <c r="B793" s="564" t="s">
        <v>324</v>
      </c>
      <c r="C793" s="303"/>
      <c r="D793" s="293"/>
      <c r="E793" s="303"/>
      <c r="F793" s="689"/>
      <c r="I793" s="311"/>
    </row>
    <row r="794" spans="1:9" s="310" customFormat="1" ht="13.5" customHeight="1" x14ac:dyDescent="0.25">
      <c r="A794" s="12" t="s">
        <v>308</v>
      </c>
      <c r="B794" s="12" t="s">
        <v>309</v>
      </c>
      <c r="C794" s="947">
        <v>6937500</v>
      </c>
      <c r="D794" s="293"/>
      <c r="E794" s="303"/>
      <c r="F794" s="689"/>
      <c r="I794" s="311"/>
    </row>
    <row r="795" spans="1:9" s="310" customFormat="1" ht="13.5" customHeight="1" x14ac:dyDescent="0.25">
      <c r="A795" s="273"/>
      <c r="B795" s="53"/>
      <c r="C795" s="303"/>
      <c r="D795" s="293"/>
      <c r="E795" s="303"/>
      <c r="F795" s="689"/>
      <c r="I795" s="311"/>
    </row>
    <row r="796" spans="1:9" s="310" customFormat="1" ht="13.5" customHeight="1" thickBot="1" x14ac:dyDescent="0.3">
      <c r="A796" s="273"/>
      <c r="B796" s="53"/>
      <c r="C796" s="303"/>
      <c r="D796" s="293"/>
      <c r="E796" s="303"/>
      <c r="F796" s="689"/>
      <c r="I796" s="311"/>
    </row>
    <row r="797" spans="1:9" s="310" customFormat="1" ht="13.5" customHeight="1" x14ac:dyDescent="0.25">
      <c r="A797" s="648" t="s">
        <v>778</v>
      </c>
      <c r="B797" s="649" t="s">
        <v>790</v>
      </c>
      <c r="C797" s="690"/>
      <c r="D797" s="692" t="s">
        <v>6</v>
      </c>
      <c r="E797" s="911">
        <v>1322</v>
      </c>
      <c r="F797" s="689"/>
      <c r="I797" s="311"/>
    </row>
    <row r="798" spans="1:9" s="310" customFormat="1" ht="13.5" customHeight="1" x14ac:dyDescent="0.25">
      <c r="A798" s="707" t="s">
        <v>791</v>
      </c>
      <c r="B798" s="728"/>
      <c r="C798" s="733"/>
      <c r="D798" s="734"/>
      <c r="E798" s="738"/>
      <c r="F798" s="689"/>
      <c r="I798" s="311"/>
    </row>
    <row r="799" spans="1:9" s="310" customFormat="1" ht="13.5" customHeight="1" thickBot="1" x14ac:dyDescent="0.3">
      <c r="A799" s="652"/>
      <c r="B799" s="653"/>
      <c r="C799" s="693"/>
      <c r="D799" s="695"/>
      <c r="E799" s="696"/>
      <c r="F799" s="689"/>
      <c r="I799" s="311"/>
    </row>
    <row r="800" spans="1:9" s="310" customFormat="1" ht="13.5" customHeight="1" x14ac:dyDescent="0.25">
      <c r="A800" s="268" t="s">
        <v>1049</v>
      </c>
      <c r="B800" s="53"/>
      <c r="C800" s="303"/>
      <c r="D800" s="277"/>
      <c r="E800" s="305"/>
      <c r="F800" s="689"/>
      <c r="I800" s="311"/>
    </row>
    <row r="801" spans="1:9" s="310" customFormat="1" ht="13.5" customHeight="1" x14ac:dyDescent="0.25">
      <c r="A801" s="268" t="s">
        <v>761</v>
      </c>
      <c r="B801" s="53"/>
      <c r="C801" s="303"/>
      <c r="D801" s="277"/>
      <c r="E801" s="305"/>
      <c r="F801" s="689"/>
      <c r="I801" s="311"/>
    </row>
    <row r="802" spans="1:9" s="310" customFormat="1" ht="13.5" customHeight="1" x14ac:dyDescent="0.25">
      <c r="A802" s="268" t="s">
        <v>1040</v>
      </c>
      <c r="B802" s="53"/>
      <c r="C802" s="303"/>
      <c r="D802" s="277"/>
      <c r="E802" s="305"/>
      <c r="F802" s="689"/>
      <c r="I802" s="311"/>
    </row>
    <row r="803" spans="1:9" s="310" customFormat="1" ht="13.5" customHeight="1" thickBot="1" x14ac:dyDescent="0.3">
      <c r="A803" s="268" t="s">
        <v>11</v>
      </c>
      <c r="B803" s="53"/>
      <c r="C803" s="330"/>
      <c r="D803" s="277"/>
      <c r="E803" s="305"/>
      <c r="F803" s="689"/>
      <c r="I803" s="311"/>
    </row>
    <row r="804" spans="1:9" s="310" customFormat="1" ht="13.5" customHeight="1" thickBot="1" x14ac:dyDescent="0.3">
      <c r="A804" s="762" t="s">
        <v>301</v>
      </c>
      <c r="B804" s="763"/>
      <c r="C804" s="764"/>
      <c r="D804" s="765"/>
      <c r="E804" s="766">
        <f>(C806)</f>
        <v>2717940</v>
      </c>
      <c r="F804" s="689"/>
      <c r="I804" s="311"/>
    </row>
    <row r="805" spans="1:9" s="310" customFormat="1" ht="13.5" customHeight="1" thickBot="1" x14ac:dyDescent="0.3">
      <c r="A805" s="12"/>
      <c r="B805" s="12"/>
      <c r="C805" s="303"/>
      <c r="D805" s="293"/>
      <c r="E805" s="303"/>
      <c r="F805" s="689"/>
      <c r="I805" s="311"/>
    </row>
    <row r="806" spans="1:9" s="310" customFormat="1" ht="13.5" customHeight="1" thickBot="1" x14ac:dyDescent="0.3">
      <c r="A806" s="1134" t="s">
        <v>302</v>
      </c>
      <c r="B806" s="1135"/>
      <c r="C806" s="775">
        <f>(C808)</f>
        <v>2717940</v>
      </c>
      <c r="D806" s="333"/>
      <c r="E806" s="303"/>
      <c r="F806" s="689"/>
      <c r="I806" s="311"/>
    </row>
    <row r="807" spans="1:9" s="310" customFormat="1" ht="13.5" customHeight="1" x14ac:dyDescent="0.25">
      <c r="A807" s="336" t="s">
        <v>303</v>
      </c>
      <c r="B807" s="564" t="s">
        <v>324</v>
      </c>
      <c r="C807" s="303"/>
      <c r="D807" s="293"/>
      <c r="E807" s="303"/>
      <c r="F807" s="689"/>
      <c r="I807" s="311"/>
    </row>
    <row r="808" spans="1:9" s="310" customFormat="1" ht="13.5" customHeight="1" x14ac:dyDescent="0.25">
      <c r="A808" s="12" t="s">
        <v>314</v>
      </c>
      <c r="B808" s="43" t="s">
        <v>315</v>
      </c>
      <c r="C808" s="334">
        <v>2717940</v>
      </c>
      <c r="D808" s="293"/>
      <c r="E808" s="303"/>
      <c r="F808" s="689"/>
      <c r="I808" s="311"/>
    </row>
    <row r="809" spans="1:9" s="310" customFormat="1" ht="13.5" customHeight="1" x14ac:dyDescent="0.25">
      <c r="A809" s="273"/>
      <c r="B809" s="53"/>
      <c r="C809" s="303"/>
      <c r="D809" s="293"/>
      <c r="E809" s="303"/>
      <c r="F809" s="689"/>
      <c r="I809" s="311"/>
    </row>
    <row r="810" spans="1:9" s="310" customFormat="1" ht="13.5" customHeight="1" thickBot="1" x14ac:dyDescent="0.3">
      <c r="A810" s="273"/>
      <c r="B810" s="53"/>
      <c r="C810" s="303"/>
      <c r="D810" s="293"/>
      <c r="E810" s="303"/>
      <c r="F810" s="689"/>
      <c r="I810" s="311"/>
    </row>
    <row r="811" spans="1:9" s="310" customFormat="1" ht="13.5" customHeight="1" x14ac:dyDescent="0.25">
      <c r="A811" s="648" t="s">
        <v>778</v>
      </c>
      <c r="B811" s="649" t="s">
        <v>792</v>
      </c>
      <c r="C811" s="690"/>
      <c r="D811" s="692" t="s">
        <v>6</v>
      </c>
      <c r="E811" s="911">
        <v>1323</v>
      </c>
      <c r="F811" s="689"/>
      <c r="I811" s="311"/>
    </row>
    <row r="812" spans="1:9" s="310" customFormat="1" ht="13.5" customHeight="1" x14ac:dyDescent="0.25">
      <c r="A812" s="707" t="s">
        <v>793</v>
      </c>
      <c r="B812" s="728"/>
      <c r="C812" s="733"/>
      <c r="D812" s="734"/>
      <c r="E812" s="738"/>
      <c r="F812" s="689"/>
      <c r="I812" s="311"/>
    </row>
    <row r="813" spans="1:9" s="310" customFormat="1" ht="13.5" customHeight="1" thickBot="1" x14ac:dyDescent="0.3">
      <c r="A813" s="652"/>
      <c r="B813" s="653"/>
      <c r="C813" s="693"/>
      <c r="D813" s="695"/>
      <c r="E813" s="696"/>
      <c r="F813" s="689"/>
      <c r="I813" s="311"/>
    </row>
    <row r="814" spans="1:9" s="310" customFormat="1" ht="13.5" customHeight="1" x14ac:dyDescent="0.25">
      <c r="A814" s="268" t="s">
        <v>1049</v>
      </c>
      <c r="B814" s="53"/>
      <c r="C814" s="303"/>
      <c r="D814" s="277"/>
      <c r="E814" s="305"/>
      <c r="F814" s="689"/>
      <c r="I814" s="311"/>
    </row>
    <row r="815" spans="1:9" s="310" customFormat="1" ht="13.5" customHeight="1" x14ac:dyDescent="0.25">
      <c r="A815" s="268" t="s">
        <v>761</v>
      </c>
      <c r="B815" s="53"/>
      <c r="C815" s="303"/>
      <c r="D815" s="277"/>
      <c r="E815" s="305"/>
      <c r="F815" s="689"/>
      <c r="I815" s="311"/>
    </row>
    <row r="816" spans="1:9" s="310" customFormat="1" ht="13.5" customHeight="1" x14ac:dyDescent="0.25">
      <c r="A816" s="268" t="s">
        <v>1040</v>
      </c>
      <c r="B816" s="53"/>
      <c r="C816" s="303"/>
      <c r="D816" s="277"/>
      <c r="E816" s="305"/>
      <c r="F816" s="689"/>
      <c r="I816" s="311"/>
    </row>
    <row r="817" spans="1:9" s="310" customFormat="1" ht="13.5" customHeight="1" thickBot="1" x14ac:dyDescent="0.3">
      <c r="A817" s="268" t="s">
        <v>11</v>
      </c>
      <c r="B817" s="53"/>
      <c r="C817" s="330"/>
      <c r="D817" s="277"/>
      <c r="E817" s="305"/>
      <c r="F817" s="689"/>
      <c r="I817" s="311"/>
    </row>
    <row r="818" spans="1:9" s="310" customFormat="1" ht="13.5" customHeight="1" thickBot="1" x14ac:dyDescent="0.3">
      <c r="A818" s="762" t="s">
        <v>301</v>
      </c>
      <c r="B818" s="763"/>
      <c r="C818" s="764"/>
      <c r="D818" s="765"/>
      <c r="E818" s="766">
        <f>(C820)</f>
        <v>2942500</v>
      </c>
      <c r="F818" s="689"/>
      <c r="I818" s="311"/>
    </row>
    <row r="819" spans="1:9" s="310" customFormat="1" ht="13.5" customHeight="1" thickBot="1" x14ac:dyDescent="0.3">
      <c r="A819" s="12"/>
      <c r="B819" s="12"/>
      <c r="C819" s="303"/>
      <c r="D819" s="293"/>
      <c r="E819" s="303"/>
      <c r="F819" s="689"/>
      <c r="I819" s="311"/>
    </row>
    <row r="820" spans="1:9" s="310" customFormat="1" ht="13.5" customHeight="1" thickBot="1" x14ac:dyDescent="0.3">
      <c r="A820" s="1134" t="s">
        <v>302</v>
      </c>
      <c r="B820" s="1135"/>
      <c r="C820" s="775">
        <f>(C822)</f>
        <v>2942500</v>
      </c>
      <c r="D820" s="333"/>
      <c r="E820" s="303"/>
      <c r="F820" s="689"/>
      <c r="I820" s="311"/>
    </row>
    <row r="821" spans="1:9" s="310" customFormat="1" ht="13.5" customHeight="1" x14ac:dyDescent="0.25">
      <c r="A821" s="336" t="s">
        <v>303</v>
      </c>
      <c r="B821" s="564" t="s">
        <v>324</v>
      </c>
      <c r="C821" s="303"/>
      <c r="D821" s="293"/>
      <c r="E821" s="303"/>
      <c r="F821" s="689"/>
      <c r="I821" s="311"/>
    </row>
    <row r="822" spans="1:9" s="310" customFormat="1" ht="13.5" customHeight="1" x14ac:dyDescent="0.25">
      <c r="A822" s="12" t="s">
        <v>312</v>
      </c>
      <c r="B822" s="12" t="s">
        <v>313</v>
      </c>
      <c r="C822" s="947">
        <v>2942500</v>
      </c>
      <c r="D822" s="293"/>
      <c r="E822" s="303"/>
      <c r="F822" s="689"/>
      <c r="I822" s="311"/>
    </row>
    <row r="823" spans="1:9" s="310" customFormat="1" ht="13.5" customHeight="1" x14ac:dyDescent="0.25">
      <c r="A823" s="273"/>
      <c r="B823" s="53"/>
      <c r="C823" s="303"/>
      <c r="D823" s="293"/>
      <c r="E823" s="303"/>
      <c r="F823" s="689"/>
      <c r="I823" s="311"/>
    </row>
    <row r="824" spans="1:9" s="310" customFormat="1" ht="13.5" customHeight="1" thickBot="1" x14ac:dyDescent="0.3">
      <c r="A824" s="273"/>
      <c r="B824" s="53"/>
      <c r="C824" s="303"/>
      <c r="D824" s="293"/>
      <c r="E824" s="303"/>
      <c r="F824" s="689"/>
      <c r="I824" s="311"/>
    </row>
    <row r="825" spans="1:9" s="310" customFormat="1" ht="13.5" customHeight="1" x14ac:dyDescent="0.25">
      <c r="A825" s="648" t="s">
        <v>778</v>
      </c>
      <c r="B825" s="649" t="s">
        <v>849</v>
      </c>
      <c r="C825" s="690"/>
      <c r="D825" s="692" t="s">
        <v>6</v>
      </c>
      <c r="E825" s="976">
        <v>1324</v>
      </c>
      <c r="F825" s="689"/>
      <c r="I825" s="311"/>
    </row>
    <row r="826" spans="1:9" s="310" customFormat="1" ht="13.5" customHeight="1" thickBot="1" x14ac:dyDescent="0.3">
      <c r="A826" s="652"/>
      <c r="B826" s="653"/>
      <c r="C826" s="693"/>
      <c r="D826" s="695"/>
      <c r="E826" s="882"/>
      <c r="F826" s="689"/>
      <c r="I826" s="311"/>
    </row>
    <row r="827" spans="1:9" s="310" customFormat="1" ht="13.5" customHeight="1" x14ac:dyDescent="0.25">
      <c r="A827" s="268" t="s">
        <v>1049</v>
      </c>
      <c r="B827" s="53"/>
      <c r="C827" s="303"/>
      <c r="D827" s="277"/>
      <c r="E827" s="305"/>
      <c r="F827" s="689"/>
      <c r="I827" s="311"/>
    </row>
    <row r="828" spans="1:9" s="310" customFormat="1" ht="13.5" customHeight="1" x14ac:dyDescent="0.25">
      <c r="A828" s="268" t="s">
        <v>850</v>
      </c>
      <c r="B828" s="53"/>
      <c r="C828" s="303"/>
      <c r="D828" s="277"/>
      <c r="E828" s="305"/>
      <c r="F828" s="689"/>
      <c r="I828" s="311"/>
    </row>
    <row r="829" spans="1:9" s="310" customFormat="1" ht="13.5" customHeight="1" x14ac:dyDescent="0.25">
      <c r="A829" s="268" t="s">
        <v>1040</v>
      </c>
      <c r="B829" s="53"/>
      <c r="C829" s="303"/>
      <c r="D829" s="277"/>
      <c r="E829" s="305"/>
      <c r="F829" s="689"/>
      <c r="I829" s="311"/>
    </row>
    <row r="830" spans="1:9" s="310" customFormat="1" ht="13.5" customHeight="1" thickBot="1" x14ac:dyDescent="0.3">
      <c r="A830" s="268" t="s">
        <v>11</v>
      </c>
      <c r="B830" s="53"/>
      <c r="C830" s="330"/>
      <c r="D830" s="277"/>
      <c r="E830" s="305"/>
      <c r="F830" s="689"/>
      <c r="I830" s="311"/>
    </row>
    <row r="831" spans="1:9" s="310" customFormat="1" ht="13.5" customHeight="1" thickBot="1" x14ac:dyDescent="0.3">
      <c r="A831" s="762" t="s">
        <v>301</v>
      </c>
      <c r="B831" s="763"/>
      <c r="C831" s="764"/>
      <c r="D831" s="765"/>
      <c r="E831" s="766">
        <f>(C833)</f>
        <v>4012800</v>
      </c>
      <c r="F831" s="689"/>
      <c r="I831" s="311"/>
    </row>
    <row r="832" spans="1:9" s="310" customFormat="1" ht="13.5" customHeight="1" thickBot="1" x14ac:dyDescent="0.3">
      <c r="A832" s="12"/>
      <c r="B832" s="12"/>
      <c r="C832" s="303"/>
      <c r="D832" s="293"/>
      <c r="E832" s="303"/>
      <c r="F832" s="689"/>
      <c r="I832" s="311"/>
    </row>
    <row r="833" spans="1:9" s="310" customFormat="1" ht="13.5" customHeight="1" thickBot="1" x14ac:dyDescent="0.3">
      <c r="A833" s="1134" t="s">
        <v>302</v>
      </c>
      <c r="B833" s="1135"/>
      <c r="C833" s="775">
        <f>(C835)</f>
        <v>4012800</v>
      </c>
      <c r="D833" s="333"/>
      <c r="E833" s="303"/>
      <c r="F833" s="689"/>
      <c r="I833" s="311"/>
    </row>
    <row r="834" spans="1:9" s="310" customFormat="1" ht="13.5" customHeight="1" x14ac:dyDescent="0.25">
      <c r="A834" s="336" t="s">
        <v>316</v>
      </c>
      <c r="B834" s="564" t="s">
        <v>317</v>
      </c>
      <c r="C834" s="303"/>
      <c r="D834" s="293"/>
      <c r="E834" s="303"/>
      <c r="F834" s="689"/>
      <c r="I834" s="311"/>
    </row>
    <row r="835" spans="1:9" s="310" customFormat="1" ht="13.5" customHeight="1" x14ac:dyDescent="0.25">
      <c r="A835" s="12" t="s">
        <v>851</v>
      </c>
      <c r="B835" s="12" t="s">
        <v>852</v>
      </c>
      <c r="C835" s="947">
        <v>4012800</v>
      </c>
      <c r="D835" s="293"/>
      <c r="E835" s="303"/>
      <c r="F835" s="689"/>
      <c r="I835" s="311"/>
    </row>
    <row r="836" spans="1:9" s="310" customFormat="1" ht="13.5" customHeight="1" x14ac:dyDescent="0.25">
      <c r="A836" s="273"/>
      <c r="B836" s="53"/>
      <c r="C836" s="303"/>
      <c r="D836" s="293"/>
      <c r="E836" s="303"/>
      <c r="F836" s="689"/>
      <c r="I836" s="311"/>
    </row>
    <row r="837" spans="1:9" s="310" customFormat="1" ht="13.5" customHeight="1" thickBot="1" x14ac:dyDescent="0.3">
      <c r="A837" s="273"/>
      <c r="B837" s="53"/>
      <c r="C837" s="303"/>
      <c r="D837" s="293"/>
      <c r="E837" s="303"/>
      <c r="F837" s="689"/>
      <c r="I837" s="311"/>
    </row>
    <row r="838" spans="1:9" s="310" customFormat="1" ht="13.5" customHeight="1" x14ac:dyDescent="0.25">
      <c r="A838" s="648" t="s">
        <v>778</v>
      </c>
      <c r="B838" s="649" t="s">
        <v>794</v>
      </c>
      <c r="C838" s="690"/>
      <c r="D838" s="692" t="s">
        <v>6</v>
      </c>
      <c r="E838" s="976">
        <v>1325</v>
      </c>
      <c r="F838" s="689"/>
      <c r="I838" s="311"/>
    </row>
    <row r="839" spans="1:9" s="310" customFormat="1" ht="13.5" customHeight="1" thickBot="1" x14ac:dyDescent="0.3">
      <c r="A839" s="652"/>
      <c r="B839" s="653"/>
      <c r="C839" s="693"/>
      <c r="D839" s="695"/>
      <c r="E839" s="882"/>
      <c r="F839" s="689"/>
      <c r="I839" s="311"/>
    </row>
    <row r="840" spans="1:9" s="310" customFormat="1" ht="13.5" customHeight="1" x14ac:dyDescent="0.25">
      <c r="A840" s="268" t="s">
        <v>1049</v>
      </c>
      <c r="B840" s="53"/>
      <c r="C840" s="303"/>
      <c r="D840" s="277"/>
      <c r="E840" s="305"/>
      <c r="F840" s="689"/>
      <c r="I840" s="311"/>
    </row>
    <row r="841" spans="1:9" s="310" customFormat="1" ht="13.5" customHeight="1" x14ac:dyDescent="0.25">
      <c r="A841" s="268" t="s">
        <v>761</v>
      </c>
      <c r="B841" s="53"/>
      <c r="C841" s="303"/>
      <c r="D841" s="277"/>
      <c r="E841" s="305"/>
      <c r="F841" s="689"/>
      <c r="I841" s="311"/>
    </row>
    <row r="842" spans="1:9" s="310" customFormat="1" ht="13.5" customHeight="1" x14ac:dyDescent="0.25">
      <c r="A842" s="268" t="s">
        <v>1040</v>
      </c>
      <c r="B842" s="53"/>
      <c r="C842" s="303"/>
      <c r="D842" s="277"/>
      <c r="E842" s="305"/>
      <c r="F842" s="689"/>
      <c r="I842" s="311"/>
    </row>
    <row r="843" spans="1:9" s="310" customFormat="1" ht="13.5" customHeight="1" thickBot="1" x14ac:dyDescent="0.3">
      <c r="A843" s="268" t="s">
        <v>11</v>
      </c>
      <c r="B843" s="53"/>
      <c r="C843" s="330"/>
      <c r="D843" s="277"/>
      <c r="E843" s="305"/>
      <c r="F843" s="689"/>
      <c r="I843" s="311"/>
    </row>
    <row r="844" spans="1:9" s="310" customFormat="1" ht="13.5" customHeight="1" thickBot="1" x14ac:dyDescent="0.3">
      <c r="A844" s="762" t="s">
        <v>301</v>
      </c>
      <c r="B844" s="763"/>
      <c r="C844" s="764"/>
      <c r="D844" s="765"/>
      <c r="E844" s="766">
        <f>(C846)</f>
        <v>2711500</v>
      </c>
      <c r="F844" s="689"/>
      <c r="I844" s="311"/>
    </row>
    <row r="845" spans="1:9" s="310" customFormat="1" ht="13.5" customHeight="1" thickBot="1" x14ac:dyDescent="0.3">
      <c r="A845" s="12"/>
      <c r="B845" s="12"/>
      <c r="C845" s="303"/>
      <c r="D845" s="293"/>
      <c r="E845" s="303"/>
      <c r="F845" s="689"/>
      <c r="I845" s="311"/>
    </row>
    <row r="846" spans="1:9" s="310" customFormat="1" ht="13.5" customHeight="1" thickBot="1" x14ac:dyDescent="0.3">
      <c r="A846" s="1134" t="s">
        <v>302</v>
      </c>
      <c r="B846" s="1135"/>
      <c r="C846" s="775">
        <f>(C848)</f>
        <v>2711500</v>
      </c>
      <c r="D846" s="333"/>
      <c r="E846" s="303"/>
      <c r="F846" s="689"/>
      <c r="I846" s="311"/>
    </row>
    <row r="847" spans="1:9" s="310" customFormat="1" ht="13.5" customHeight="1" x14ac:dyDescent="0.25">
      <c r="A847" s="336" t="s">
        <v>303</v>
      </c>
      <c r="B847" s="564" t="s">
        <v>324</v>
      </c>
      <c r="C847" s="303"/>
      <c r="D847" s="293"/>
      <c r="E847" s="303"/>
      <c r="F847" s="689"/>
      <c r="I847" s="311"/>
    </row>
    <row r="848" spans="1:9" s="310" customFormat="1" ht="13.5" customHeight="1" x14ac:dyDescent="0.25">
      <c r="A848" s="12" t="s">
        <v>795</v>
      </c>
      <c r="B848" s="12" t="s">
        <v>796</v>
      </c>
      <c r="C848" s="334">
        <v>2711500</v>
      </c>
      <c r="D848" s="293"/>
      <c r="E848" s="303"/>
      <c r="F848" s="689"/>
      <c r="I848" s="311"/>
    </row>
    <row r="849" spans="1:9" s="310" customFormat="1" ht="13.5" customHeight="1" x14ac:dyDescent="0.25">
      <c r="A849" s="273"/>
      <c r="B849" s="53"/>
      <c r="C849" s="303"/>
      <c r="D849" s="293"/>
      <c r="E849" s="303"/>
      <c r="F849" s="689"/>
      <c r="I849" s="311"/>
    </row>
    <row r="850" spans="1:9" s="310" customFormat="1" ht="13.5" customHeight="1" thickBot="1" x14ac:dyDescent="0.3">
      <c r="A850" s="273"/>
      <c r="B850" s="53"/>
      <c r="C850" s="303"/>
      <c r="D850" s="293"/>
      <c r="E850" s="303"/>
      <c r="F850" s="689"/>
      <c r="I850" s="311"/>
    </row>
    <row r="851" spans="1:9" s="310" customFormat="1" ht="13.5" customHeight="1" x14ac:dyDescent="0.25">
      <c r="A851" s="648" t="s">
        <v>778</v>
      </c>
      <c r="B851" s="649" t="s">
        <v>797</v>
      </c>
      <c r="C851" s="690"/>
      <c r="D851" s="692" t="s">
        <v>6</v>
      </c>
      <c r="E851" s="976">
        <v>1326</v>
      </c>
      <c r="F851" s="689"/>
      <c r="I851" s="311"/>
    </row>
    <row r="852" spans="1:9" s="310" customFormat="1" ht="13.5" customHeight="1" thickBot="1" x14ac:dyDescent="0.3">
      <c r="A852" s="652"/>
      <c r="B852" s="653"/>
      <c r="C852" s="693"/>
      <c r="D852" s="695"/>
      <c r="E852" s="882"/>
      <c r="F852" s="689"/>
      <c r="I852" s="311"/>
    </row>
    <row r="853" spans="1:9" s="310" customFormat="1" ht="13.5" customHeight="1" x14ac:dyDescent="0.25">
      <c r="A853" s="656" t="s">
        <v>1049</v>
      </c>
      <c r="B853" s="657"/>
      <c r="C853" s="675"/>
      <c r="D853" s="979"/>
      <c r="E853" s="980"/>
      <c r="F853" s="689"/>
      <c r="I853" s="311"/>
    </row>
    <row r="854" spans="1:9" s="310" customFormat="1" ht="13.5" customHeight="1" x14ac:dyDescent="0.25">
      <c r="A854" s="268" t="s">
        <v>761</v>
      </c>
      <c r="B854" s="53"/>
      <c r="C854" s="303"/>
      <c r="D854" s="277"/>
      <c r="E854" s="305"/>
      <c r="F854" s="689"/>
      <c r="I854" s="311"/>
    </row>
    <row r="855" spans="1:9" s="310" customFormat="1" ht="13.5" customHeight="1" x14ac:dyDescent="0.25">
      <c r="A855" s="268" t="s">
        <v>1040</v>
      </c>
      <c r="B855" s="53"/>
      <c r="C855" s="303"/>
      <c r="D855" s="277"/>
      <c r="E855" s="305"/>
      <c r="F855" s="689"/>
      <c r="I855" s="311"/>
    </row>
    <row r="856" spans="1:9" s="310" customFormat="1" ht="13.5" customHeight="1" thickBot="1" x14ac:dyDescent="0.3">
      <c r="A856" s="321" t="s">
        <v>11</v>
      </c>
      <c r="B856" s="620"/>
      <c r="C856" s="330"/>
      <c r="D856" s="981"/>
      <c r="E856" s="982"/>
      <c r="F856" s="689"/>
      <c r="I856" s="311"/>
    </row>
    <row r="857" spans="1:9" s="310" customFormat="1" ht="13.5" customHeight="1" thickBot="1" x14ac:dyDescent="0.3">
      <c r="A857" s="762" t="s">
        <v>301</v>
      </c>
      <c r="B857" s="763"/>
      <c r="C857" s="764"/>
      <c r="D857" s="765"/>
      <c r="E857" s="766">
        <f>(C859)</f>
        <v>2788500</v>
      </c>
      <c r="F857" s="689"/>
      <c r="I857" s="311"/>
    </row>
    <row r="858" spans="1:9" s="310" customFormat="1" ht="13.5" customHeight="1" thickBot="1" x14ac:dyDescent="0.3">
      <c r="A858" s="53"/>
      <c r="B858" s="12"/>
      <c r="C858" s="303"/>
      <c r="D858" s="333"/>
      <c r="E858" s="303"/>
      <c r="F858" s="689"/>
      <c r="I858" s="311"/>
    </row>
    <row r="859" spans="1:9" s="310" customFormat="1" ht="13.5" customHeight="1" thickBot="1" x14ac:dyDescent="0.3">
      <c r="A859" s="1134" t="s">
        <v>302</v>
      </c>
      <c r="B859" s="1135"/>
      <c r="C859" s="775">
        <f>(C861)</f>
        <v>2788500</v>
      </c>
      <c r="D859" s="333"/>
      <c r="E859" s="303"/>
      <c r="F859" s="689"/>
      <c r="I859" s="311"/>
    </row>
    <row r="860" spans="1:9" s="310" customFormat="1" ht="13.5" customHeight="1" x14ac:dyDescent="0.25">
      <c r="A860" s="336" t="s">
        <v>303</v>
      </c>
      <c r="B860" s="564" t="s">
        <v>324</v>
      </c>
      <c r="C860" s="303"/>
      <c r="D860" s="293"/>
      <c r="E860" s="303"/>
      <c r="F860" s="689"/>
      <c r="I860" s="311"/>
    </row>
    <row r="861" spans="1:9" s="310" customFormat="1" ht="13.5" customHeight="1" x14ac:dyDescent="0.25">
      <c r="A861" s="12" t="s">
        <v>304</v>
      </c>
      <c r="B861" s="12" t="s">
        <v>305</v>
      </c>
      <c r="C861" s="303">
        <v>2788500</v>
      </c>
      <c r="D861" s="293"/>
      <c r="E861" s="303"/>
      <c r="F861" s="689"/>
      <c r="I861" s="311"/>
    </row>
    <row r="862" spans="1:9" s="310" customFormat="1" ht="13.5" customHeight="1" x14ac:dyDescent="0.25">
      <c r="A862" s="273"/>
      <c r="B862" s="53"/>
      <c r="C862" s="303"/>
      <c r="D862" s="293"/>
      <c r="E862" s="303"/>
      <c r="F862" s="689"/>
      <c r="I862" s="311"/>
    </row>
    <row r="863" spans="1:9" s="310" customFormat="1" ht="13.5" customHeight="1" thickBot="1" x14ac:dyDescent="0.3">
      <c r="A863" s="273"/>
      <c r="B863" s="53"/>
      <c r="C863" s="303"/>
      <c r="D863" s="293"/>
      <c r="E863" s="303"/>
      <c r="F863" s="689"/>
      <c r="I863" s="311"/>
    </row>
    <row r="864" spans="1:9" s="310" customFormat="1" ht="13.5" customHeight="1" x14ac:dyDescent="0.25">
      <c r="A864" s="648" t="s">
        <v>778</v>
      </c>
      <c r="B864" s="649"/>
      <c r="C864" s="690"/>
      <c r="D864" s="692" t="s">
        <v>6</v>
      </c>
      <c r="E864" s="976">
        <v>1327</v>
      </c>
      <c r="F864" s="689"/>
      <c r="I864" s="311"/>
    </row>
    <row r="865" spans="1:9" s="310" customFormat="1" ht="13.5" customHeight="1" thickBot="1" x14ac:dyDescent="0.3">
      <c r="A865" s="652"/>
      <c r="B865" s="653"/>
      <c r="C865" s="693"/>
      <c r="D865" s="695"/>
      <c r="E865" s="882"/>
      <c r="F865" s="689"/>
      <c r="I865" s="311"/>
    </row>
    <row r="866" spans="1:9" s="310" customFormat="1" ht="13.5" customHeight="1" x14ac:dyDescent="0.25">
      <c r="A866" s="268" t="s">
        <v>1049</v>
      </c>
      <c r="B866" s="53"/>
      <c r="C866" s="303"/>
      <c r="D866" s="277"/>
      <c r="E866" s="305"/>
      <c r="F866" s="689"/>
      <c r="I866" s="311"/>
    </row>
    <row r="867" spans="1:9" s="310" customFormat="1" ht="13.5" customHeight="1" x14ac:dyDescent="0.25">
      <c r="A867" s="268" t="s">
        <v>761</v>
      </c>
      <c r="B867" s="53"/>
      <c r="C867" s="303"/>
      <c r="D867" s="277"/>
      <c r="E867" s="305"/>
      <c r="F867" s="689"/>
      <c r="I867" s="311"/>
    </row>
    <row r="868" spans="1:9" s="310" customFormat="1" ht="13.5" customHeight="1" x14ac:dyDescent="0.25">
      <c r="A868" s="268" t="s">
        <v>1040</v>
      </c>
      <c r="B868" s="53"/>
      <c r="C868" s="303"/>
      <c r="D868" s="277"/>
      <c r="E868" s="305"/>
      <c r="F868" s="689"/>
      <c r="I868" s="311"/>
    </row>
    <row r="869" spans="1:9" s="310" customFormat="1" ht="13.5" customHeight="1" thickBot="1" x14ac:dyDescent="0.3">
      <c r="A869" s="268" t="s">
        <v>11</v>
      </c>
      <c r="B869" s="53"/>
      <c r="C869" s="330"/>
      <c r="D869" s="277"/>
      <c r="E869" s="305"/>
      <c r="F869" s="689"/>
      <c r="I869" s="311"/>
    </row>
    <row r="870" spans="1:9" s="310" customFormat="1" ht="13.5" customHeight="1" thickBot="1" x14ac:dyDescent="0.3">
      <c r="A870" s="762" t="s">
        <v>301</v>
      </c>
      <c r="B870" s="763"/>
      <c r="C870" s="764"/>
      <c r="D870" s="765"/>
      <c r="E870" s="766">
        <f>(C872)</f>
        <v>16000000</v>
      </c>
      <c r="F870" s="689"/>
      <c r="I870" s="311"/>
    </row>
    <row r="871" spans="1:9" s="310" customFormat="1" ht="13.5" customHeight="1" thickBot="1" x14ac:dyDescent="0.3">
      <c r="A871" s="12"/>
      <c r="B871" s="12"/>
      <c r="C871" s="303"/>
      <c r="D871" s="293"/>
      <c r="E871" s="303"/>
      <c r="F871" s="689"/>
      <c r="I871" s="311"/>
    </row>
    <row r="872" spans="1:9" s="310" customFormat="1" ht="13.5" customHeight="1" thickBot="1" x14ac:dyDescent="0.3">
      <c r="A872" s="1134" t="s">
        <v>302</v>
      </c>
      <c r="B872" s="1135"/>
      <c r="C872" s="775">
        <f>(C874)</f>
        <v>16000000</v>
      </c>
      <c r="D872" s="333"/>
      <c r="E872" s="303"/>
      <c r="F872" s="689"/>
      <c r="I872" s="311"/>
    </row>
    <row r="873" spans="1:9" s="310" customFormat="1" ht="13.5" customHeight="1" x14ac:dyDescent="0.25">
      <c r="A873" s="336" t="s">
        <v>303</v>
      </c>
      <c r="B873" s="564" t="s">
        <v>324</v>
      </c>
      <c r="C873" s="303"/>
      <c r="D873" s="293"/>
      <c r="E873" s="303"/>
      <c r="F873" s="689"/>
      <c r="I873" s="311"/>
    </row>
    <row r="874" spans="1:9" s="310" customFormat="1" ht="13.5" customHeight="1" x14ac:dyDescent="0.25">
      <c r="A874" s="12" t="s">
        <v>1055</v>
      </c>
      <c r="B874" s="12" t="s">
        <v>1056</v>
      </c>
      <c r="C874" s="303">
        <v>16000000</v>
      </c>
      <c r="D874" s="293"/>
      <c r="E874" s="303"/>
      <c r="F874" s="689"/>
      <c r="I874" s="311"/>
    </row>
    <row r="876" spans="1:9" x14ac:dyDescent="0.25">
      <c r="C876" s="340">
        <f>+E870+E857+E844+E831+E818+E804+E790+E776+E763+E749+E735+E721+E707+E693+E678+E665+E652+E576+E500+E379+E326+E286+E240+E195+E149+E104+E17</f>
        <v>817538921</v>
      </c>
    </row>
  </sheetData>
  <mergeCells count="70">
    <mergeCell ref="A186:C187"/>
    <mergeCell ref="A188:E190"/>
    <mergeCell ref="A361:E374"/>
    <mergeCell ref="A442:B442"/>
    <mergeCell ref="A4:C5"/>
    <mergeCell ref="A94:C95"/>
    <mergeCell ref="A96:E99"/>
    <mergeCell ref="A197:B197"/>
    <mergeCell ref="A19:B19"/>
    <mergeCell ref="A42:B42"/>
    <mergeCell ref="A60:B60"/>
    <mergeCell ref="A80:B80"/>
    <mergeCell ref="A276:C277"/>
    <mergeCell ref="A278:E281"/>
    <mergeCell ref="A86:B86"/>
    <mergeCell ref="A106:B106"/>
    <mergeCell ref="A210:B210"/>
    <mergeCell ref="A223:B223"/>
    <mergeCell ref="A242:B242"/>
    <mergeCell ref="A253:B253"/>
    <mergeCell ref="A141:C142"/>
    <mergeCell ref="A269:B269"/>
    <mergeCell ref="A359:C360"/>
    <mergeCell ref="A288:B288"/>
    <mergeCell ref="A299:B299"/>
    <mergeCell ref="A310:B310"/>
    <mergeCell ref="A328:B328"/>
    <mergeCell ref="A317:C318"/>
    <mergeCell ref="A319:E321"/>
    <mergeCell ref="A339:B339"/>
    <mergeCell ref="A792:B792"/>
    <mergeCell ref="A230:C231"/>
    <mergeCell ref="A232:E235"/>
    <mergeCell ref="A6:E12"/>
    <mergeCell ref="A119:B119"/>
    <mergeCell ref="A133:B133"/>
    <mergeCell ref="A151:B151"/>
    <mergeCell ref="A164:B164"/>
    <mergeCell ref="A178:B178"/>
    <mergeCell ref="A143:E144"/>
    <mergeCell ref="A638:B638"/>
    <mergeCell ref="A833:B833"/>
    <mergeCell ref="A846:B846"/>
    <mergeCell ref="A859:B859"/>
    <mergeCell ref="A350:B350"/>
    <mergeCell ref="A381:B381"/>
    <mergeCell ref="A414:B414"/>
    <mergeCell ref="A446:B446"/>
    <mergeCell ref="A554:B554"/>
    <mergeCell ref="A502:B502"/>
    <mergeCell ref="A765:B765"/>
    <mergeCell ref="A806:B806"/>
    <mergeCell ref="A820:B820"/>
    <mergeCell ref="A529:B529"/>
    <mergeCell ref="A489:C490"/>
    <mergeCell ref="A491:E495"/>
    <mergeCell ref="A578:B578"/>
    <mergeCell ref="A590:B590"/>
    <mergeCell ref="A613:B613"/>
    <mergeCell ref="A625:B625"/>
    <mergeCell ref="A778:B778"/>
    <mergeCell ref="A751:B751"/>
    <mergeCell ref="A872:B872"/>
    <mergeCell ref="A654:B654"/>
    <mergeCell ref="A667:B667"/>
    <mergeCell ref="A680:B680"/>
    <mergeCell ref="A695:B695"/>
    <mergeCell ref="A709:B709"/>
    <mergeCell ref="A723:B723"/>
    <mergeCell ref="A737:B737"/>
  </mergeCells>
  <pageMargins left="0.78740157480314965" right="0.19685039370078741" top="0.78740157480314965" bottom="0.78740157480314965" header="0.39370078740157483" footer="0.19685039370078741"/>
  <pageSetup paperSize="9" scale="90" orientation="portrait" r:id="rId1"/>
  <headerFooter>
    <oddHeader>&amp;L&amp;"Arial Narrow,Normal"&amp;8Presupuesto Municipal 2020
&amp;R&amp;"Arial Narrow,Normal"&amp;8MUNICIPALIDAD DE VILLAR MARÍA
Secretaría de Economía y Finanzas</oddHeader>
  </headerFooter>
  <rowBreaks count="8" manualBreakCount="8">
    <brk id="59" max="4" man="1"/>
    <brk id="118" max="4" man="1"/>
    <brk id="177" max="4" man="1"/>
    <brk id="229" max="4" man="1"/>
    <brk id="287" max="4" man="1"/>
    <brk id="408" max="4" man="1"/>
    <brk id="465" max="4" man="1"/>
    <brk id="524"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4"/>
  <sheetViews>
    <sheetView view="pageLayout" topLeftCell="A97" zoomScaleNormal="96" zoomScaleSheetLayoutView="50" workbookViewId="0">
      <selection activeCell="C72" sqref="C72"/>
    </sheetView>
  </sheetViews>
  <sheetFormatPr baseColWidth="10" defaultColWidth="11.453125" defaultRowHeight="13" x14ac:dyDescent="0.25"/>
  <cols>
    <col min="1" max="1" width="9.7265625" style="3" customWidth="1"/>
    <col min="2" max="2" width="44.26953125" style="3" customWidth="1"/>
    <col min="3" max="3" width="14.81640625" style="18" customWidth="1"/>
    <col min="4" max="4" width="12" style="18" customWidth="1"/>
    <col min="5" max="5" width="17.54296875" style="18" bestFit="1" customWidth="1"/>
    <col min="6" max="6" width="13.81640625" style="3" customWidth="1"/>
    <col min="7" max="7" width="17.7265625" style="3" customWidth="1"/>
    <col min="8" max="16384" width="11.453125" style="3"/>
  </cols>
  <sheetData>
    <row r="1" spans="1:8" x14ac:dyDescent="0.25">
      <c r="A1" s="482" t="s">
        <v>636</v>
      </c>
      <c r="B1" s="482"/>
      <c r="G1" s="341"/>
    </row>
    <row r="2" spans="1:8" x14ac:dyDescent="0.25">
      <c r="A2" s="75"/>
      <c r="G2" s="341"/>
    </row>
    <row r="3" spans="1:8" ht="13.5" thickBot="1" x14ac:dyDescent="0.3">
      <c r="G3" s="341"/>
    </row>
    <row r="4" spans="1:8" x14ac:dyDescent="0.25">
      <c r="A4" s="1117" t="s">
        <v>914</v>
      </c>
      <c r="B4" s="1118"/>
      <c r="C4" s="1119"/>
      <c r="D4" s="692" t="s">
        <v>6</v>
      </c>
      <c r="E4" s="913" t="s">
        <v>338</v>
      </c>
      <c r="G4" s="341"/>
    </row>
    <row r="5" spans="1:8" ht="13.5" thickBot="1" x14ac:dyDescent="0.3">
      <c r="A5" s="1120"/>
      <c r="B5" s="1121"/>
      <c r="C5" s="1122"/>
      <c r="D5" s="873"/>
      <c r="E5" s="874"/>
      <c r="G5" s="341"/>
    </row>
    <row r="6" spans="1:8" x14ac:dyDescent="0.25">
      <c r="A6" s="1106" t="s">
        <v>896</v>
      </c>
      <c r="B6" s="1107"/>
      <c r="C6" s="1107"/>
      <c r="D6" s="1107"/>
      <c r="E6" s="1108"/>
      <c r="G6" s="341"/>
    </row>
    <row r="7" spans="1:8" x14ac:dyDescent="0.25">
      <c r="A7" s="1136"/>
      <c r="B7" s="1137"/>
      <c r="C7" s="1137"/>
      <c r="D7" s="1137"/>
      <c r="E7" s="1138"/>
      <c r="G7" s="645"/>
      <c r="H7" s="1"/>
    </row>
    <row r="8" spans="1:8" x14ac:dyDescent="0.25">
      <c r="A8" s="875" t="s">
        <v>339</v>
      </c>
      <c r="B8" s="147"/>
      <c r="C8" s="120"/>
      <c r="D8" s="120"/>
      <c r="E8" s="317"/>
      <c r="G8" s="645"/>
      <c r="H8" s="1"/>
    </row>
    <row r="9" spans="1:8" s="10" customFormat="1" x14ac:dyDescent="0.25">
      <c r="A9" s="875" t="s">
        <v>679</v>
      </c>
      <c r="B9" s="147"/>
      <c r="C9" s="120"/>
      <c r="D9" s="120"/>
      <c r="E9" s="317"/>
      <c r="F9" s="3"/>
      <c r="G9" s="645"/>
      <c r="H9" s="196"/>
    </row>
    <row r="10" spans="1:8" s="10" customFormat="1" x14ac:dyDescent="0.25">
      <c r="A10" s="875" t="s">
        <v>690</v>
      </c>
      <c r="B10" s="147"/>
      <c r="C10" s="120"/>
      <c r="D10" s="120"/>
      <c r="E10" s="317"/>
      <c r="F10" s="3"/>
      <c r="G10" s="645"/>
      <c r="H10" s="196"/>
    </row>
    <row r="11" spans="1:8" s="10" customFormat="1" x14ac:dyDescent="0.25">
      <c r="A11" s="875" t="s">
        <v>898</v>
      </c>
      <c r="B11" s="147"/>
      <c r="C11" s="120"/>
      <c r="D11" s="120"/>
      <c r="E11" s="317"/>
      <c r="F11" s="3"/>
      <c r="G11" s="645"/>
      <c r="H11" s="196"/>
    </row>
    <row r="12" spans="1:8" s="10" customFormat="1" x14ac:dyDescent="0.25">
      <c r="A12" s="875" t="s">
        <v>897</v>
      </c>
      <c r="B12" s="147"/>
      <c r="C12" s="120"/>
      <c r="D12" s="120"/>
      <c r="E12" s="317"/>
      <c r="F12" s="3"/>
      <c r="G12" s="349"/>
      <c r="H12" s="196"/>
    </row>
    <row r="13" spans="1:8" s="10" customFormat="1" x14ac:dyDescent="0.25">
      <c r="A13" s="875" t="s">
        <v>900</v>
      </c>
      <c r="B13" s="147"/>
      <c r="C13" s="120"/>
      <c r="D13" s="120"/>
      <c r="E13" s="317"/>
      <c r="F13" s="3"/>
      <c r="G13" s="341"/>
    </row>
    <row r="14" spans="1:8" s="10" customFormat="1" x14ac:dyDescent="0.25">
      <c r="A14" s="875" t="s">
        <v>899</v>
      </c>
      <c r="B14" s="147"/>
      <c r="C14" s="120"/>
      <c r="D14" s="120"/>
      <c r="E14" s="317"/>
      <c r="F14" s="3"/>
      <c r="G14" s="341"/>
    </row>
    <row r="15" spans="1:8" s="10" customFormat="1" x14ac:dyDescent="0.25">
      <c r="A15" s="875" t="s">
        <v>902</v>
      </c>
      <c r="B15" s="147"/>
      <c r="C15" s="120"/>
      <c r="D15" s="120"/>
      <c r="E15" s="317"/>
      <c r="F15" s="3"/>
      <c r="G15" s="341"/>
    </row>
    <row r="16" spans="1:8" s="10" customFormat="1" x14ac:dyDescent="0.25">
      <c r="A16" s="875" t="s">
        <v>901</v>
      </c>
      <c r="B16" s="147"/>
      <c r="C16" s="120"/>
      <c r="D16" s="120"/>
      <c r="E16" s="317"/>
      <c r="F16" s="3"/>
      <c r="G16" s="341"/>
    </row>
    <row r="17" spans="1:11" s="10" customFormat="1" ht="13.5" thickBot="1" x14ac:dyDescent="0.3">
      <c r="A17" s="876" t="s">
        <v>680</v>
      </c>
      <c r="B17" s="146"/>
      <c r="C17" s="82"/>
      <c r="D17" s="82"/>
      <c r="E17" s="319"/>
      <c r="F17" s="3"/>
      <c r="G17" s="341"/>
    </row>
    <row r="18" spans="1:11" s="10" customFormat="1" ht="11.5" x14ac:dyDescent="0.25">
      <c r="A18" s="41" t="s">
        <v>1029</v>
      </c>
      <c r="B18" s="12"/>
      <c r="C18" s="24"/>
      <c r="D18" s="24"/>
      <c r="E18" s="320"/>
      <c r="G18" s="342"/>
    </row>
    <row r="19" spans="1:11" s="10" customFormat="1" ht="11.5" x14ac:dyDescent="0.25">
      <c r="A19" s="41" t="s">
        <v>638</v>
      </c>
      <c r="B19" s="12"/>
      <c r="C19" s="24"/>
      <c r="D19" s="24"/>
      <c r="E19" s="320"/>
      <c r="G19" s="342"/>
    </row>
    <row r="20" spans="1:11" s="196" customFormat="1" ht="11.5" x14ac:dyDescent="0.25">
      <c r="A20" s="41" t="s">
        <v>1040</v>
      </c>
      <c r="B20" s="12"/>
      <c r="C20" s="24"/>
      <c r="D20" s="24"/>
      <c r="E20" s="320"/>
      <c r="F20" s="10"/>
      <c r="G20" s="342"/>
    </row>
    <row r="21" spans="1:11" s="196" customFormat="1" ht="12" customHeight="1" thickBot="1" x14ac:dyDescent="0.3">
      <c r="A21" s="41" t="s">
        <v>13</v>
      </c>
      <c r="B21" s="12"/>
      <c r="C21" s="24"/>
      <c r="D21" s="24"/>
      <c r="E21" s="320"/>
      <c r="F21" s="10"/>
      <c r="G21" s="342"/>
    </row>
    <row r="22" spans="1:11" s="72" customFormat="1" ht="12.75" customHeight="1" thickBot="1" x14ac:dyDescent="0.3">
      <c r="A22" s="762" t="s">
        <v>14</v>
      </c>
      <c r="B22" s="763"/>
      <c r="C22" s="764"/>
      <c r="D22" s="766"/>
      <c r="E22" s="772">
        <f>C24+C47+C69+C94</f>
        <v>100467075</v>
      </c>
      <c r="F22" s="10"/>
      <c r="G22" s="343"/>
    </row>
    <row r="23" spans="1:11" s="72" customFormat="1" ht="12.75" customHeight="1" thickBot="1" x14ac:dyDescent="0.3">
      <c r="A23" s="11"/>
      <c r="B23" s="11"/>
      <c r="C23" s="31"/>
      <c r="D23" s="31"/>
      <c r="F23" s="344"/>
      <c r="G23" s="345"/>
    </row>
    <row r="24" spans="1:11" s="130" customFormat="1" ht="12.75" customHeight="1" thickBot="1" x14ac:dyDescent="0.3">
      <c r="A24" s="1132" t="s">
        <v>1</v>
      </c>
      <c r="B24" s="1133"/>
      <c r="C24" s="666">
        <f>C25+C32+C39</f>
        <v>73529205</v>
      </c>
      <c r="D24" s="31"/>
      <c r="F24" s="344"/>
      <c r="G24" s="345"/>
    </row>
    <row r="25" spans="1:11" s="144" customFormat="1" ht="12.5" x14ac:dyDescent="0.25">
      <c r="A25" s="11" t="s">
        <v>97</v>
      </c>
      <c r="B25" s="298" t="s">
        <v>98</v>
      </c>
      <c r="C25" s="31">
        <f>SUM(C26:C31)</f>
        <v>26243547</v>
      </c>
      <c r="D25" s="31"/>
      <c r="F25" s="346"/>
      <c r="G25" s="145"/>
      <c r="H25" s="145"/>
      <c r="I25" s="145"/>
      <c r="J25" s="145"/>
      <c r="K25" s="145"/>
    </row>
    <row r="26" spans="1:11" s="72" customFormat="1" ht="12.75" customHeight="1" x14ac:dyDescent="0.25">
      <c r="A26" s="12" t="s">
        <v>23</v>
      </c>
      <c r="B26" s="24" t="s">
        <v>20</v>
      </c>
      <c r="C26" s="24">
        <f>18744024+1195684+3433779-3000000</f>
        <v>20373487</v>
      </c>
      <c r="D26" s="22"/>
      <c r="E26" s="31"/>
      <c r="F26" s="237"/>
    </row>
    <row r="27" spans="1:11" s="130" customFormat="1" ht="12.75" customHeight="1" x14ac:dyDescent="0.25">
      <c r="A27" s="12" t="s">
        <v>24</v>
      </c>
      <c r="B27" s="24" t="s">
        <v>22</v>
      </c>
      <c r="C27" s="24">
        <f>3052248+858445+3359</f>
        <v>3914052</v>
      </c>
      <c r="D27" s="22"/>
      <c r="E27" s="31"/>
      <c r="F27" s="237"/>
    </row>
    <row r="28" spans="1:11" s="130" customFormat="1" ht="12.75" customHeight="1" x14ac:dyDescent="0.25">
      <c r="A28" s="12" t="s">
        <v>25</v>
      </c>
      <c r="B28" s="24" t="s">
        <v>76</v>
      </c>
      <c r="C28" s="24">
        <f>75000+638058</f>
        <v>713058</v>
      </c>
      <c r="D28" s="22"/>
      <c r="E28" s="31"/>
      <c r="F28" s="237"/>
    </row>
    <row r="29" spans="1:11" s="130" customFormat="1" ht="12.75" customHeight="1" x14ac:dyDescent="0.25">
      <c r="A29" s="12" t="s">
        <v>26</v>
      </c>
      <c r="B29" s="24" t="s">
        <v>77</v>
      </c>
      <c r="C29" s="24">
        <v>1</v>
      </c>
      <c r="D29" s="22"/>
      <c r="E29" s="25"/>
      <c r="F29" s="111"/>
    </row>
    <row r="30" spans="1:11" s="72" customFormat="1" ht="12.75" customHeight="1" x14ac:dyDescent="0.25">
      <c r="A30" s="12" t="s">
        <v>27</v>
      </c>
      <c r="B30" s="24" t="s">
        <v>21</v>
      </c>
      <c r="C30" s="24">
        <f>344460+18711</f>
        <v>363171</v>
      </c>
      <c r="D30" s="22"/>
      <c r="E30" s="25"/>
      <c r="F30" s="111"/>
    </row>
    <row r="31" spans="1:11" s="130" customFormat="1" ht="12.75" customHeight="1" x14ac:dyDescent="0.25">
      <c r="A31" s="12" t="s">
        <v>28</v>
      </c>
      <c r="B31" s="24" t="s">
        <v>19</v>
      </c>
      <c r="C31" s="24">
        <f>264045+553856+61877</f>
        <v>879778</v>
      </c>
      <c r="D31" s="22"/>
      <c r="E31" s="25"/>
      <c r="F31" s="21"/>
    </row>
    <row r="32" spans="1:11" s="130" customFormat="1" ht="12.75" customHeight="1" x14ac:dyDescent="0.25">
      <c r="A32" s="11" t="s">
        <v>99</v>
      </c>
      <c r="B32" s="31" t="s">
        <v>100</v>
      </c>
      <c r="C32" s="31">
        <f>SUM(C33:C38)</f>
        <v>35856698</v>
      </c>
      <c r="D32" s="22"/>
      <c r="E32" s="25"/>
      <c r="F32" s="21"/>
    </row>
    <row r="33" spans="1:8" s="72" customFormat="1" ht="12.75" customHeight="1" x14ac:dyDescent="0.25">
      <c r="A33" s="12" t="s">
        <v>30</v>
      </c>
      <c r="B33" s="24" t="s">
        <v>78</v>
      </c>
      <c r="C33" s="24">
        <f>5715255+1646572+35249732+559731+157424-10000000</f>
        <v>33328714</v>
      </c>
      <c r="D33" s="22"/>
      <c r="E33" s="25"/>
      <c r="F33" s="120"/>
      <c r="G33" s="12"/>
      <c r="H33" s="12"/>
    </row>
    <row r="34" spans="1:8" s="130" customFormat="1" ht="12.75" customHeight="1" x14ac:dyDescent="0.25">
      <c r="A34" s="12" t="s">
        <v>31</v>
      </c>
      <c r="B34" s="24" t="s">
        <v>79</v>
      </c>
      <c r="C34" s="24">
        <f>629698+159236+1428813+5080226-6000000</f>
        <v>1297973</v>
      </c>
      <c r="D34" s="22"/>
      <c r="E34" s="25"/>
      <c r="F34" s="111"/>
    </row>
    <row r="35" spans="1:8" s="130" customFormat="1" ht="12.75" customHeight="1" x14ac:dyDescent="0.25">
      <c r="A35" s="12" t="s">
        <v>32</v>
      </c>
      <c r="B35" s="24" t="s">
        <v>80</v>
      </c>
      <c r="C35" s="24">
        <v>993951</v>
      </c>
      <c r="D35" s="22"/>
      <c r="E35" s="25"/>
      <c r="F35" s="111"/>
    </row>
    <row r="36" spans="1:8" s="130" customFormat="1" ht="12.75" customHeight="1" x14ac:dyDescent="0.25">
      <c r="A36" s="12" t="s">
        <v>33</v>
      </c>
      <c r="B36" s="24" t="s">
        <v>81</v>
      </c>
      <c r="C36" s="24">
        <v>1</v>
      </c>
      <c r="D36" s="22"/>
      <c r="E36" s="25"/>
      <c r="F36" s="111"/>
    </row>
    <row r="37" spans="1:8" s="72" customFormat="1" ht="12.75" customHeight="1" x14ac:dyDescent="0.25">
      <c r="A37" s="12" t="s">
        <v>34</v>
      </c>
      <c r="B37" s="24" t="s">
        <v>259</v>
      </c>
      <c r="C37" s="24">
        <f>225852+10206</f>
        <v>236058</v>
      </c>
      <c r="D37" s="22"/>
      <c r="E37" s="25"/>
      <c r="F37" s="111"/>
    </row>
    <row r="38" spans="1:8" s="130" customFormat="1" ht="12.75" customHeight="1" x14ac:dyDescent="0.25">
      <c r="A38" s="12" t="s">
        <v>83</v>
      </c>
      <c r="B38" s="24" t="s">
        <v>82</v>
      </c>
      <c r="C38" s="24">
        <v>1</v>
      </c>
      <c r="D38" s="22"/>
      <c r="E38" s="25"/>
      <c r="F38" s="21"/>
    </row>
    <row r="39" spans="1:8" s="130" customFormat="1" ht="12.75" customHeight="1" x14ac:dyDescent="0.25">
      <c r="A39" s="11" t="s">
        <v>101</v>
      </c>
      <c r="B39" s="31" t="s">
        <v>102</v>
      </c>
      <c r="C39" s="31">
        <f>SUM(C40:C45)</f>
        <v>11428960</v>
      </c>
      <c r="D39" s="22"/>
      <c r="E39" s="25"/>
      <c r="F39" s="21"/>
    </row>
    <row r="40" spans="1:8" s="72" customFormat="1" ht="12.75" customHeight="1" x14ac:dyDescent="0.25">
      <c r="A40" s="12" t="s">
        <v>39</v>
      </c>
      <c r="B40" s="24" t="s">
        <v>35</v>
      </c>
      <c r="C40" s="24">
        <f>1192608+327806+7633511+161265+45356</f>
        <v>9360546</v>
      </c>
      <c r="D40" s="22"/>
      <c r="E40" s="25"/>
      <c r="F40" s="347"/>
      <c r="G40" s="347"/>
    </row>
    <row r="41" spans="1:8" s="130" customFormat="1" ht="12.75" customHeight="1" x14ac:dyDescent="0.25">
      <c r="A41" s="12" t="s">
        <v>40</v>
      </c>
      <c r="B41" s="24" t="s">
        <v>37</v>
      </c>
      <c r="C41" s="24">
        <f>181424+46564+1060096+298152</f>
        <v>1586236</v>
      </c>
      <c r="D41" s="22"/>
      <c r="E41" s="25"/>
      <c r="G41" s="347"/>
    </row>
    <row r="42" spans="1:8" s="130" customFormat="1" ht="12.75" customHeight="1" x14ac:dyDescent="0.25">
      <c r="A42" s="12" t="s">
        <v>41</v>
      </c>
      <c r="B42" s="24" t="s">
        <v>84</v>
      </c>
      <c r="C42" s="24">
        <v>311560</v>
      </c>
      <c r="D42" s="22"/>
      <c r="E42" s="25"/>
      <c r="F42" s="231"/>
      <c r="G42" s="231"/>
    </row>
    <row r="43" spans="1:8" s="130" customFormat="1" ht="12.75" customHeight="1" x14ac:dyDescent="0.25">
      <c r="A43" s="12" t="s">
        <v>42</v>
      </c>
      <c r="B43" s="24" t="s">
        <v>85</v>
      </c>
      <c r="C43" s="24">
        <v>1</v>
      </c>
      <c r="D43" s="22"/>
      <c r="E43" s="25"/>
      <c r="F43" s="231"/>
      <c r="G43" s="231"/>
    </row>
    <row r="44" spans="1:8" s="130" customFormat="1" ht="12.75" customHeight="1" x14ac:dyDescent="0.25">
      <c r="A44" s="12" t="s">
        <v>43</v>
      </c>
      <c r="B44" s="24" t="s">
        <v>36</v>
      </c>
      <c r="C44" s="24">
        <f>6804+163812</f>
        <v>170616</v>
      </c>
      <c r="D44" s="22"/>
      <c r="E44" s="25"/>
      <c r="F44" s="347"/>
      <c r="G44" s="347"/>
    </row>
    <row r="45" spans="1:8" s="130" customFormat="1" ht="12.75" customHeight="1" x14ac:dyDescent="0.25">
      <c r="A45" s="12" t="s">
        <v>44</v>
      </c>
      <c r="B45" s="24" t="s">
        <v>38</v>
      </c>
      <c r="C45" s="24">
        <v>1</v>
      </c>
      <c r="D45" s="22"/>
      <c r="E45" s="25"/>
      <c r="F45" s="347"/>
      <c r="G45" s="347"/>
    </row>
    <row r="46" spans="1:8" s="12" customFormat="1" ht="13.5" customHeight="1" thickBot="1" x14ac:dyDescent="0.3">
      <c r="B46" s="24"/>
      <c r="C46" s="24"/>
      <c r="D46" s="22"/>
      <c r="E46" s="25"/>
      <c r="F46" s="130"/>
      <c r="G46" s="347"/>
    </row>
    <row r="47" spans="1:8" s="12" customFormat="1" ht="13.5" customHeight="1" thickBot="1" x14ac:dyDescent="0.3">
      <c r="A47" s="1104" t="s">
        <v>2</v>
      </c>
      <c r="B47" s="1105"/>
      <c r="C47" s="667">
        <f>C48+C50+C53+C55+C61+C64</f>
        <v>592290</v>
      </c>
      <c r="D47" s="18"/>
      <c r="E47" s="18"/>
      <c r="F47" s="3"/>
      <c r="G47" s="341"/>
    </row>
    <row r="48" spans="1:8" s="101" customFormat="1" ht="13.5" customHeight="1" x14ac:dyDescent="0.25">
      <c r="A48" s="11" t="s">
        <v>103</v>
      </c>
      <c r="B48" s="298" t="s">
        <v>104</v>
      </c>
      <c r="C48" s="32">
        <f>SUM(C49)</f>
        <v>80430</v>
      </c>
      <c r="D48" s="348"/>
      <c r="E48" s="348"/>
      <c r="F48" s="349"/>
      <c r="G48" s="349"/>
    </row>
    <row r="49" spans="1:8" s="72" customFormat="1" ht="13.5" customHeight="1" x14ac:dyDescent="0.25">
      <c r="A49" s="12" t="s">
        <v>46</v>
      </c>
      <c r="B49" s="72" t="s">
        <v>45</v>
      </c>
      <c r="C49" s="24">
        <v>80430</v>
      </c>
      <c r="D49" s="96"/>
      <c r="E49" s="31"/>
      <c r="F49" s="96"/>
      <c r="G49" s="96"/>
      <c r="H49" s="12"/>
    </row>
    <row r="50" spans="1:8" s="72" customFormat="1" ht="13.5" customHeight="1" x14ac:dyDescent="0.25">
      <c r="A50" s="11" t="s">
        <v>105</v>
      </c>
      <c r="B50" s="265" t="s">
        <v>106</v>
      </c>
      <c r="C50" s="31">
        <f>SUM(C51:C52)</f>
        <v>25560</v>
      </c>
      <c r="D50" s="22"/>
      <c r="E50" s="31"/>
      <c r="F50" s="12"/>
      <c r="G50" s="96"/>
      <c r="H50" s="12"/>
    </row>
    <row r="51" spans="1:8" s="5" customFormat="1" hidden="1" x14ac:dyDescent="0.25">
      <c r="A51" s="12" t="s">
        <v>67</v>
      </c>
      <c r="B51" s="72" t="s">
        <v>68</v>
      </c>
      <c r="C51" s="24"/>
      <c r="D51" s="96"/>
      <c r="E51" s="31"/>
      <c r="F51" s="12"/>
      <c r="G51" s="96"/>
    </row>
    <row r="52" spans="1:8" s="72" customFormat="1" ht="13.5" customHeight="1" x14ac:dyDescent="0.25">
      <c r="A52" s="12" t="s">
        <v>86</v>
      </c>
      <c r="B52" s="72" t="s">
        <v>66</v>
      </c>
      <c r="C52" s="24">
        <v>25560</v>
      </c>
      <c r="D52" s="22"/>
      <c r="E52" s="31"/>
      <c r="F52" s="12"/>
      <c r="G52" s="96"/>
      <c r="H52" s="12"/>
    </row>
    <row r="53" spans="1:8" s="72" customFormat="1" ht="13.5" customHeight="1" x14ac:dyDescent="0.25">
      <c r="A53" s="11" t="s">
        <v>107</v>
      </c>
      <c r="B53" s="265" t="s">
        <v>108</v>
      </c>
      <c r="C53" s="31">
        <f>SUM(C54)</f>
        <v>259450</v>
      </c>
      <c r="D53" s="22"/>
      <c r="E53" s="31"/>
      <c r="F53" s="12"/>
      <c r="G53" s="96"/>
      <c r="H53" s="12"/>
    </row>
    <row r="54" spans="1:8" s="72" customFormat="1" ht="13.5" customHeight="1" x14ac:dyDescent="0.25">
      <c r="A54" s="12" t="s">
        <v>47</v>
      </c>
      <c r="B54" s="23" t="s">
        <v>48</v>
      </c>
      <c r="C54" s="24">
        <v>259450</v>
      </c>
      <c r="D54" s="79"/>
      <c r="E54" s="25"/>
      <c r="F54" s="101"/>
      <c r="G54" s="96"/>
      <c r="H54" s="12"/>
    </row>
    <row r="55" spans="1:8" s="72" customFormat="1" ht="13.5" customHeight="1" x14ac:dyDescent="0.25">
      <c r="A55" s="265" t="s">
        <v>119</v>
      </c>
      <c r="B55" s="25" t="s">
        <v>109</v>
      </c>
      <c r="C55" s="31">
        <f>SUM(C56:C60)</f>
        <v>127230</v>
      </c>
      <c r="D55" s="78"/>
      <c r="E55" s="25"/>
      <c r="F55" s="101"/>
      <c r="G55" s="96"/>
      <c r="H55" s="12"/>
    </row>
    <row r="56" spans="1:8" s="72" customFormat="1" ht="13.5" customHeight="1" x14ac:dyDescent="0.25">
      <c r="A56" s="72" t="s">
        <v>150</v>
      </c>
      <c r="B56" s="23" t="s">
        <v>340</v>
      </c>
      <c r="C56" s="24">
        <v>15900</v>
      </c>
      <c r="D56" s="21"/>
      <c r="E56" s="21"/>
      <c r="F56" s="5"/>
      <c r="G56" s="350"/>
      <c r="H56" s="122"/>
    </row>
    <row r="57" spans="1:8" s="72" customFormat="1" ht="13.5" customHeight="1" x14ac:dyDescent="0.25">
      <c r="A57" s="72" t="s">
        <v>697</v>
      </c>
      <c r="B57" s="43" t="s">
        <v>696</v>
      </c>
      <c r="C57" s="24">
        <v>13730</v>
      </c>
      <c r="D57" s="21"/>
      <c r="E57" s="21"/>
      <c r="F57" s="5"/>
      <c r="G57" s="350"/>
      <c r="H57" s="122"/>
    </row>
    <row r="58" spans="1:8" s="66" customFormat="1" x14ac:dyDescent="0.3">
      <c r="A58" s="72" t="s">
        <v>816</v>
      </c>
      <c r="B58" s="24" t="s">
        <v>810</v>
      </c>
      <c r="C58" s="24">
        <v>27600</v>
      </c>
      <c r="D58" s="78"/>
      <c r="E58" s="25"/>
    </row>
    <row r="59" spans="1:8" s="66" customFormat="1" x14ac:dyDescent="0.3">
      <c r="A59" s="72" t="s">
        <v>820</v>
      </c>
      <c r="B59" s="24" t="s">
        <v>821</v>
      </c>
      <c r="C59" s="24">
        <v>55000</v>
      </c>
      <c r="D59" s="78"/>
      <c r="E59" s="25"/>
    </row>
    <row r="60" spans="1:8" s="66" customFormat="1" x14ac:dyDescent="0.3">
      <c r="A60" s="72" t="s">
        <v>811</v>
      </c>
      <c r="B60" s="24" t="s">
        <v>812</v>
      </c>
      <c r="C60" s="24">
        <v>15000</v>
      </c>
      <c r="D60" s="78"/>
      <c r="E60" s="25"/>
    </row>
    <row r="61" spans="1:8" s="72" customFormat="1" ht="13.5" customHeight="1" x14ac:dyDescent="0.25">
      <c r="A61" s="265" t="s">
        <v>124</v>
      </c>
      <c r="B61" s="25" t="s">
        <v>123</v>
      </c>
      <c r="C61" s="31">
        <f>SUM(C62:C63)</f>
        <v>59100</v>
      </c>
      <c r="D61" s="21"/>
      <c r="E61" s="21"/>
      <c r="F61" s="5"/>
      <c r="G61" s="350"/>
      <c r="H61" s="122"/>
    </row>
    <row r="62" spans="1:8" s="66" customFormat="1" x14ac:dyDescent="0.3">
      <c r="A62" s="12" t="s">
        <v>230</v>
      </c>
      <c r="B62" s="43" t="s">
        <v>229</v>
      </c>
      <c r="C62" s="24">
        <v>34000</v>
      </c>
      <c r="D62" s="57"/>
      <c r="E62" s="57"/>
    </row>
    <row r="63" spans="1:8" s="72" customFormat="1" ht="13.5" customHeight="1" x14ac:dyDescent="0.25">
      <c r="A63" s="72" t="s">
        <v>93</v>
      </c>
      <c r="B63" s="23" t="s">
        <v>72</v>
      </c>
      <c r="C63" s="24">
        <v>25100</v>
      </c>
      <c r="D63" s="21"/>
      <c r="E63" s="21"/>
      <c r="F63" s="5"/>
      <c r="G63" s="350"/>
      <c r="H63" s="122"/>
    </row>
    <row r="64" spans="1:8" s="72" customFormat="1" ht="13.5" customHeight="1" x14ac:dyDescent="0.25">
      <c r="A64" s="265" t="s">
        <v>151</v>
      </c>
      <c r="B64" s="25" t="s">
        <v>125</v>
      </c>
      <c r="C64" s="31">
        <f>SUM(C65:C67)</f>
        <v>40520</v>
      </c>
      <c r="D64" s="21"/>
      <c r="E64" s="21"/>
      <c r="F64" s="5"/>
      <c r="G64" s="350"/>
      <c r="H64" s="122"/>
    </row>
    <row r="65" spans="1:12" s="5" customFormat="1" x14ac:dyDescent="0.25">
      <c r="A65" s="72" t="s">
        <v>152</v>
      </c>
      <c r="B65" s="23" t="s">
        <v>65</v>
      </c>
      <c r="C65" s="24">
        <v>10120</v>
      </c>
      <c r="D65" s="96"/>
      <c r="E65" s="25"/>
      <c r="F65" s="101"/>
      <c r="G65" s="96"/>
    </row>
    <row r="66" spans="1:12" s="5" customFormat="1" x14ac:dyDescent="0.25">
      <c r="A66" s="72" t="s">
        <v>153</v>
      </c>
      <c r="B66" s="23" t="s">
        <v>70</v>
      </c>
      <c r="C66" s="24">
        <v>10800</v>
      </c>
      <c r="D66" s="78"/>
      <c r="E66" s="25"/>
      <c r="F66" s="101"/>
      <c r="G66" s="96"/>
    </row>
    <row r="67" spans="1:12" s="5" customFormat="1" x14ac:dyDescent="0.25">
      <c r="A67" s="72" t="s">
        <v>155</v>
      </c>
      <c r="B67" s="23" t="s">
        <v>125</v>
      </c>
      <c r="C67" s="24">
        <v>19600</v>
      </c>
      <c r="D67" s="78"/>
      <c r="E67" s="25"/>
      <c r="F67" s="298"/>
      <c r="G67" s="96"/>
    </row>
    <row r="68" spans="1:12" s="5" customFormat="1" ht="13.5" thickBot="1" x14ac:dyDescent="0.3">
      <c r="A68" s="72"/>
      <c r="B68" s="23"/>
      <c r="C68" s="23"/>
      <c r="D68" s="78"/>
      <c r="E68" s="25"/>
      <c r="F68" s="298"/>
      <c r="G68" s="96"/>
    </row>
    <row r="69" spans="1:12" s="72" customFormat="1" ht="13.5" customHeight="1" thickBot="1" x14ac:dyDescent="0.3">
      <c r="A69" s="1096" t="s">
        <v>3</v>
      </c>
      <c r="B69" s="1097"/>
      <c r="C69" s="668">
        <f>+C70+C76+C78+C81+C84+C87+C89</f>
        <v>26178250</v>
      </c>
      <c r="D69" s="21"/>
      <c r="E69" s="21"/>
      <c r="F69" s="5"/>
      <c r="G69" s="350"/>
      <c r="H69" s="24"/>
    </row>
    <row r="70" spans="1:12" s="101" customFormat="1" ht="13.5" customHeight="1" x14ac:dyDescent="0.25">
      <c r="A70" s="11" t="s">
        <v>341</v>
      </c>
      <c r="B70" s="298" t="s">
        <v>342</v>
      </c>
      <c r="C70" s="32">
        <f>SUM(C71:C75)</f>
        <v>24792910</v>
      </c>
      <c r="D70" s="237"/>
      <c r="E70" s="237"/>
      <c r="F70" s="351"/>
      <c r="G70" s="351"/>
      <c r="H70" s="96"/>
    </row>
    <row r="71" spans="1:12" s="101" customFormat="1" ht="13.5" customHeight="1" x14ac:dyDescent="0.25">
      <c r="A71" s="12" t="s">
        <v>343</v>
      </c>
      <c r="B71" s="101" t="s">
        <v>344</v>
      </c>
      <c r="C71" s="22">
        <v>15252540</v>
      </c>
      <c r="G71" s="237"/>
      <c r="H71" s="237"/>
      <c r="I71" s="351"/>
    </row>
    <row r="72" spans="1:12" s="101" customFormat="1" ht="13.5" customHeight="1" x14ac:dyDescent="0.25">
      <c r="A72" s="12" t="s">
        <v>345</v>
      </c>
      <c r="B72" s="101" t="s">
        <v>346</v>
      </c>
      <c r="C72" s="22">
        <v>15500</v>
      </c>
      <c r="G72" s="237"/>
      <c r="H72" s="237"/>
      <c r="I72" s="351"/>
    </row>
    <row r="73" spans="1:12" s="72" customFormat="1" ht="13.5" customHeight="1" x14ac:dyDescent="0.25">
      <c r="A73" s="12" t="s">
        <v>347</v>
      </c>
      <c r="B73" s="12" t="s">
        <v>348</v>
      </c>
      <c r="C73" s="22">
        <v>2899570</v>
      </c>
      <c r="G73" s="344"/>
      <c r="H73" s="25"/>
      <c r="I73" s="231"/>
    </row>
    <row r="74" spans="1:12" s="72" customFormat="1" ht="13.5" customHeight="1" x14ac:dyDescent="0.25">
      <c r="A74" s="12" t="s">
        <v>349</v>
      </c>
      <c r="B74" s="12" t="s">
        <v>350</v>
      </c>
      <c r="C74" s="22">
        <v>6565000</v>
      </c>
      <c r="F74" s="101"/>
      <c r="G74" s="96"/>
      <c r="H74" s="25"/>
      <c r="I74" s="101"/>
    </row>
    <row r="75" spans="1:12" s="72" customFormat="1" ht="13.5" customHeight="1" x14ac:dyDescent="0.25">
      <c r="A75" s="12" t="s">
        <v>351</v>
      </c>
      <c r="B75" s="12" t="s">
        <v>352</v>
      </c>
      <c r="C75" s="22">
        <v>60300</v>
      </c>
      <c r="G75" s="22"/>
      <c r="H75" s="25"/>
      <c r="I75" s="101"/>
    </row>
    <row r="76" spans="1:12" s="72" customFormat="1" ht="13.5" customHeight="1" x14ac:dyDescent="0.25">
      <c r="A76" s="11" t="s">
        <v>110</v>
      </c>
      <c r="B76" s="11" t="s">
        <v>111</v>
      </c>
      <c r="C76" s="31">
        <f>SUM(C77)</f>
        <v>71760</v>
      </c>
      <c r="G76" s="78"/>
      <c r="H76" s="25"/>
      <c r="I76" s="101"/>
    </row>
    <row r="77" spans="1:12" s="72" customFormat="1" ht="13.5" customHeight="1" x14ac:dyDescent="0.25">
      <c r="A77" s="12" t="s">
        <v>52</v>
      </c>
      <c r="B77" s="12" t="s">
        <v>15</v>
      </c>
      <c r="C77" s="24">
        <v>71760</v>
      </c>
      <c r="D77" s="79"/>
      <c r="E77" s="31"/>
      <c r="F77" s="101"/>
      <c r="G77" s="96"/>
      <c r="H77" s="12"/>
    </row>
    <row r="78" spans="1:12" s="5" customFormat="1" x14ac:dyDescent="0.25">
      <c r="A78" s="11" t="s">
        <v>120</v>
      </c>
      <c r="B78" s="25" t="s">
        <v>121</v>
      </c>
      <c r="C78" s="31">
        <f>SUM(C79:C80)</f>
        <v>61150</v>
      </c>
      <c r="D78" s="25"/>
      <c r="E78" s="38"/>
      <c r="F78" s="120"/>
      <c r="G78" s="351"/>
      <c r="H78" s="147"/>
      <c r="I78" s="147"/>
      <c r="J78" s="147"/>
      <c r="K78" s="147"/>
      <c r="L78" s="147"/>
    </row>
    <row r="79" spans="1:12" s="66" customFormat="1" ht="13.5" customHeight="1" x14ac:dyDescent="0.3">
      <c r="A79" s="59" t="s">
        <v>140</v>
      </c>
      <c r="B79" s="43" t="s">
        <v>141</v>
      </c>
      <c r="C79" s="60">
        <v>40000</v>
      </c>
      <c r="G79" s="60"/>
      <c r="H79" s="57"/>
      <c r="I79" s="57"/>
    </row>
    <row r="80" spans="1:12" s="72" customFormat="1" ht="13.5" customHeight="1" x14ac:dyDescent="0.25">
      <c r="A80" s="12" t="s">
        <v>136</v>
      </c>
      <c r="B80" s="12" t="s">
        <v>71</v>
      </c>
      <c r="C80" s="24">
        <v>21150</v>
      </c>
      <c r="D80" s="78"/>
      <c r="E80" s="25"/>
      <c r="F80" s="231"/>
      <c r="G80" s="96"/>
      <c r="H80" s="24"/>
    </row>
    <row r="81" spans="1:12" s="72" customFormat="1" ht="13.5" customHeight="1" x14ac:dyDescent="0.25">
      <c r="A81" s="265" t="s">
        <v>112</v>
      </c>
      <c r="B81" s="11" t="s">
        <v>157</v>
      </c>
      <c r="C81" s="31">
        <f>SUM(C82:C83)</f>
        <v>490000</v>
      </c>
      <c r="D81" s="79"/>
      <c r="E81" s="25"/>
      <c r="F81" s="101"/>
      <c r="G81" s="96"/>
      <c r="H81" s="12"/>
    </row>
    <row r="82" spans="1:12" s="147" customFormat="1" x14ac:dyDescent="0.25">
      <c r="A82" s="72" t="s">
        <v>138</v>
      </c>
      <c r="B82" s="59" t="s">
        <v>878</v>
      </c>
      <c r="C82" s="24">
        <v>10000</v>
      </c>
      <c r="D82" s="31"/>
      <c r="F82" s="120"/>
      <c r="G82" s="351"/>
    </row>
    <row r="83" spans="1:12" s="147" customFormat="1" x14ac:dyDescent="0.25">
      <c r="A83" s="12" t="s">
        <v>49</v>
      </c>
      <c r="B83" s="24" t="s">
        <v>87</v>
      </c>
      <c r="C83" s="24">
        <v>480000</v>
      </c>
      <c r="D83" s="24"/>
      <c r="G83" s="351"/>
    </row>
    <row r="84" spans="1:12" s="147" customFormat="1" x14ac:dyDescent="0.25">
      <c r="A84" s="265" t="s">
        <v>113</v>
      </c>
      <c r="B84" s="25" t="s">
        <v>114</v>
      </c>
      <c r="C84" s="31">
        <f>SUM(C85:C86)</f>
        <v>25500</v>
      </c>
      <c r="D84" s="24"/>
      <c r="E84" s="120"/>
      <c r="F84" s="120"/>
      <c r="G84" s="120"/>
    </row>
    <row r="85" spans="1:12" s="147" customFormat="1" x14ac:dyDescent="0.25">
      <c r="A85" s="72" t="s">
        <v>75</v>
      </c>
      <c r="B85" s="12" t="s">
        <v>73</v>
      </c>
      <c r="C85" s="24">
        <v>12000</v>
      </c>
      <c r="D85" s="24"/>
      <c r="E85" s="120"/>
      <c r="F85" s="120"/>
      <c r="G85" s="351"/>
    </row>
    <row r="86" spans="1:12" s="147" customFormat="1" x14ac:dyDescent="0.25">
      <c r="A86" s="72" t="s">
        <v>88</v>
      </c>
      <c r="B86" s="23" t="s">
        <v>64</v>
      </c>
      <c r="C86" s="24">
        <v>13500</v>
      </c>
      <c r="D86" s="24"/>
      <c r="E86" s="120"/>
      <c r="F86" s="120"/>
      <c r="G86" s="351"/>
    </row>
    <row r="87" spans="1:12" s="147" customFormat="1" x14ac:dyDescent="0.25">
      <c r="A87" s="265" t="s">
        <v>132</v>
      </c>
      <c r="B87" s="25" t="s">
        <v>56</v>
      </c>
      <c r="C87" s="31">
        <f>SUM(C88)</f>
        <v>26250</v>
      </c>
      <c r="D87" s="24"/>
      <c r="E87" s="120"/>
      <c r="F87" s="120"/>
      <c r="G87" s="351"/>
    </row>
    <row r="88" spans="1:12" s="147" customFormat="1" x14ac:dyDescent="0.25">
      <c r="A88" s="72" t="s">
        <v>55</v>
      </c>
      <c r="B88" s="72" t="s">
        <v>56</v>
      </c>
      <c r="C88" s="24">
        <v>26250</v>
      </c>
      <c r="D88" s="24"/>
      <c r="E88" s="120"/>
      <c r="F88" s="120"/>
      <c r="G88" s="351"/>
    </row>
    <row r="89" spans="1:12" s="147" customFormat="1" x14ac:dyDescent="0.25">
      <c r="A89" s="265" t="s">
        <v>115</v>
      </c>
      <c r="B89" s="25" t="s">
        <v>8</v>
      </c>
      <c r="C89" s="31">
        <f>SUM(C90:C92)</f>
        <v>710680</v>
      </c>
      <c r="D89" s="24"/>
      <c r="E89" s="120"/>
      <c r="F89" s="120"/>
      <c r="G89" s="351"/>
    </row>
    <row r="90" spans="1:12" s="147" customFormat="1" x14ac:dyDescent="0.25">
      <c r="A90" s="72" t="s">
        <v>89</v>
      </c>
      <c r="B90" s="23" t="s">
        <v>8</v>
      </c>
      <c r="C90" s="24">
        <v>317500</v>
      </c>
      <c r="D90" s="24"/>
      <c r="E90" s="120"/>
      <c r="F90" s="120"/>
      <c r="G90" s="350"/>
      <c r="H90" s="5"/>
      <c r="I90" s="5"/>
      <c r="J90" s="5"/>
      <c r="K90" s="5"/>
      <c r="L90" s="5"/>
    </row>
    <row r="91" spans="1:12" s="147" customFormat="1" x14ac:dyDescent="0.25">
      <c r="A91" s="72" t="s">
        <v>181</v>
      </c>
      <c r="B91" s="23" t="s">
        <v>50</v>
      </c>
      <c r="C91" s="24">
        <v>42180</v>
      </c>
      <c r="D91" s="31"/>
      <c r="E91" s="120"/>
      <c r="F91" s="120"/>
      <c r="G91" s="351"/>
    </row>
    <row r="92" spans="1:12" s="5" customFormat="1" x14ac:dyDescent="0.25">
      <c r="A92" s="72" t="s">
        <v>90</v>
      </c>
      <c r="B92" s="23" t="s">
        <v>7</v>
      </c>
      <c r="C92" s="24">
        <v>351000</v>
      </c>
      <c r="D92" s="31"/>
      <c r="E92" s="38"/>
      <c r="F92" s="120"/>
      <c r="G92" s="351"/>
      <c r="H92" s="147"/>
      <c r="I92" s="147"/>
      <c r="J92" s="147"/>
      <c r="K92" s="147"/>
      <c r="L92" s="147"/>
    </row>
    <row r="93" spans="1:12" s="72" customFormat="1" ht="13.5" customHeight="1" thickBot="1" x14ac:dyDescent="0.3">
      <c r="A93" s="12"/>
      <c r="B93" s="12"/>
      <c r="C93" s="24"/>
      <c r="D93" s="78"/>
      <c r="E93" s="25"/>
      <c r="F93" s="231"/>
      <c r="G93" s="96"/>
      <c r="H93" s="24"/>
    </row>
    <row r="94" spans="1:12" s="5" customFormat="1" ht="13.5" thickBot="1" x14ac:dyDescent="0.3">
      <c r="A94" s="1100" t="s">
        <v>4</v>
      </c>
      <c r="B94" s="1101"/>
      <c r="C94" s="670">
        <f>+C95+C99</f>
        <v>167330</v>
      </c>
      <c r="D94" s="21"/>
      <c r="E94" s="21"/>
      <c r="G94" s="350"/>
    </row>
    <row r="95" spans="1:12" s="5" customFormat="1" x14ac:dyDescent="0.25">
      <c r="A95" s="265" t="s">
        <v>116</v>
      </c>
      <c r="B95" s="265" t="s">
        <v>117</v>
      </c>
      <c r="C95" s="31">
        <f>SUM(C96:C98)</f>
        <v>149930</v>
      </c>
      <c r="D95" s="23"/>
      <c r="E95" s="21"/>
      <c r="G95" s="350"/>
    </row>
    <row r="96" spans="1:12" s="5" customFormat="1" x14ac:dyDescent="0.25">
      <c r="A96" s="72" t="s">
        <v>91</v>
      </c>
      <c r="B96" s="72" t="s">
        <v>139</v>
      </c>
      <c r="C96" s="24">
        <v>94930</v>
      </c>
      <c r="D96" s="21"/>
      <c r="E96" s="21"/>
      <c r="G96" s="350"/>
    </row>
    <row r="97" spans="1:8" s="5" customFormat="1" x14ac:dyDescent="0.25">
      <c r="A97" s="72" t="s">
        <v>57</v>
      </c>
      <c r="B97" s="72" t="s">
        <v>58</v>
      </c>
      <c r="C97" s="24">
        <v>25000</v>
      </c>
      <c r="D97" s="21"/>
      <c r="E97" s="21"/>
      <c r="G97" s="350"/>
    </row>
    <row r="98" spans="1:8" s="8" customFormat="1" ht="13.5" customHeight="1" x14ac:dyDescent="0.25">
      <c r="A98" s="72" t="s">
        <v>814</v>
      </c>
      <c r="B98" s="23" t="s">
        <v>815</v>
      </c>
      <c r="C98" s="24">
        <v>30000</v>
      </c>
      <c r="D98" s="78"/>
      <c r="E98" s="25"/>
      <c r="F98" s="99"/>
      <c r="G98" s="55"/>
      <c r="H98" s="43"/>
    </row>
    <row r="99" spans="1:8" s="5" customFormat="1" x14ac:dyDescent="0.25">
      <c r="A99" s="265" t="s">
        <v>166</v>
      </c>
      <c r="B99" s="25" t="s">
        <v>135</v>
      </c>
      <c r="C99" s="31">
        <f>SUM(C100)</f>
        <v>17400</v>
      </c>
      <c r="D99" s="21"/>
      <c r="E99" s="21"/>
      <c r="G99" s="350"/>
    </row>
    <row r="100" spans="1:8" s="5" customFormat="1" x14ac:dyDescent="0.25">
      <c r="A100" s="72" t="s">
        <v>167</v>
      </c>
      <c r="B100" s="23" t="s">
        <v>51</v>
      </c>
      <c r="C100" s="24">
        <v>17400</v>
      </c>
      <c r="D100" s="23"/>
      <c r="E100" s="21"/>
      <c r="G100" s="350"/>
    </row>
    <row r="101" spans="1:8" s="5" customFormat="1" x14ac:dyDescent="0.25">
      <c r="A101" s="72"/>
      <c r="B101" s="23"/>
      <c r="C101" s="24"/>
      <c r="D101" s="23"/>
      <c r="E101" s="21"/>
      <c r="G101" s="350"/>
    </row>
    <row r="102" spans="1:8" s="5" customFormat="1" ht="13.5" thickBot="1" x14ac:dyDescent="0.3">
      <c r="A102" s="72"/>
      <c r="B102" s="23"/>
      <c r="C102" s="24"/>
      <c r="D102" s="23"/>
      <c r="E102" s="21"/>
      <c r="G102" s="350"/>
    </row>
    <row r="103" spans="1:8" ht="13.5" customHeight="1" x14ac:dyDescent="0.25">
      <c r="A103" s="1117" t="s">
        <v>716</v>
      </c>
      <c r="B103" s="1118"/>
      <c r="C103" s="1119"/>
      <c r="D103" s="692" t="s">
        <v>6</v>
      </c>
      <c r="E103" s="913" t="s">
        <v>361</v>
      </c>
      <c r="G103" s="341"/>
    </row>
    <row r="104" spans="1:8" ht="13.5" thickBot="1" x14ac:dyDescent="0.3">
      <c r="A104" s="1120"/>
      <c r="B104" s="1121"/>
      <c r="C104" s="1122"/>
      <c r="D104" s="873"/>
      <c r="E104" s="718"/>
      <c r="G104" s="341"/>
    </row>
    <row r="105" spans="1:8" x14ac:dyDescent="0.25">
      <c r="A105" s="1106" t="s">
        <v>903</v>
      </c>
      <c r="B105" s="1107"/>
      <c r="C105" s="1107"/>
      <c r="D105" s="1107"/>
      <c r="E105" s="1108"/>
      <c r="G105" s="341"/>
    </row>
    <row r="106" spans="1:8" x14ac:dyDescent="0.25">
      <c r="A106" s="1136"/>
      <c r="B106" s="1137"/>
      <c r="C106" s="1137"/>
      <c r="D106" s="1137"/>
      <c r="E106" s="1138"/>
      <c r="G106" s="645"/>
      <c r="H106" s="1"/>
    </row>
    <row r="107" spans="1:8" x14ac:dyDescent="0.25">
      <c r="A107" s="1136"/>
      <c r="B107" s="1137"/>
      <c r="C107" s="1137"/>
      <c r="D107" s="1137"/>
      <c r="E107" s="1138"/>
      <c r="G107" s="645"/>
      <c r="H107" s="1"/>
    </row>
    <row r="108" spans="1:8" s="10" customFormat="1" x14ac:dyDescent="0.25">
      <c r="A108" s="1136"/>
      <c r="B108" s="1137"/>
      <c r="C108" s="1137"/>
      <c r="D108" s="1137"/>
      <c r="E108" s="1138"/>
      <c r="F108" s="3"/>
      <c r="G108" s="645"/>
      <c r="H108" s="196"/>
    </row>
    <row r="109" spans="1:8" s="10" customFormat="1" ht="13.5" thickBot="1" x14ac:dyDescent="0.3">
      <c r="A109" s="1136"/>
      <c r="B109" s="1137"/>
      <c r="C109" s="1137"/>
      <c r="D109" s="1137"/>
      <c r="E109" s="1138"/>
      <c r="F109" s="3"/>
      <c r="G109" s="645"/>
      <c r="H109" s="196"/>
    </row>
    <row r="110" spans="1:8" s="10" customFormat="1" ht="11.5" x14ac:dyDescent="0.25">
      <c r="A110" s="119" t="s">
        <v>1029</v>
      </c>
      <c r="B110" s="174"/>
      <c r="C110" s="420"/>
      <c r="D110" s="420"/>
      <c r="E110" s="422"/>
      <c r="G110" s="342"/>
    </row>
    <row r="111" spans="1:8" s="10" customFormat="1" ht="11.5" x14ac:dyDescent="0.25">
      <c r="A111" s="41" t="s">
        <v>638</v>
      </c>
      <c r="B111" s="12"/>
      <c r="C111" s="24"/>
      <c r="D111" s="24"/>
      <c r="E111" s="320"/>
      <c r="G111" s="342"/>
    </row>
    <row r="112" spans="1:8" s="196" customFormat="1" ht="11.5" x14ac:dyDescent="0.25">
      <c r="A112" s="41" t="s">
        <v>1040</v>
      </c>
      <c r="B112" s="12"/>
      <c r="C112" s="24"/>
      <c r="D112" s="24"/>
      <c r="E112" s="320"/>
      <c r="F112" s="10"/>
      <c r="G112" s="342"/>
    </row>
    <row r="113" spans="1:8" s="196" customFormat="1" ht="12" thickBot="1" x14ac:dyDescent="0.3">
      <c r="A113" s="76" t="s">
        <v>13</v>
      </c>
      <c r="B113" s="140"/>
      <c r="C113" s="377"/>
      <c r="D113" s="377"/>
      <c r="E113" s="378"/>
      <c r="F113" s="10"/>
      <c r="G113" s="342"/>
    </row>
    <row r="114" spans="1:8" s="72" customFormat="1" ht="12.75" customHeight="1" thickBot="1" x14ac:dyDescent="0.3">
      <c r="A114" s="762" t="s">
        <v>14</v>
      </c>
      <c r="B114" s="763"/>
      <c r="C114" s="764"/>
      <c r="D114" s="766"/>
      <c r="E114" s="772">
        <f>+C116+C136+C150</f>
        <v>4184340</v>
      </c>
      <c r="F114" s="10"/>
      <c r="G114" s="343"/>
    </row>
    <row r="115" spans="1:8" s="72" customFormat="1" ht="12.75" customHeight="1" thickBot="1" x14ac:dyDescent="0.3">
      <c r="A115" s="11"/>
      <c r="B115" s="11"/>
      <c r="C115" s="31"/>
      <c r="D115" s="31"/>
      <c r="E115" s="31"/>
      <c r="F115" s="10"/>
      <c r="G115" s="343"/>
    </row>
    <row r="116" spans="1:8" s="12" customFormat="1" ht="13.5" customHeight="1" thickBot="1" x14ac:dyDescent="0.3">
      <c r="A116" s="1104" t="s">
        <v>2</v>
      </c>
      <c r="B116" s="1105"/>
      <c r="C116" s="667">
        <f>C117+C119+C122+C124+C130+C133</f>
        <v>1302440</v>
      </c>
      <c r="D116" s="18"/>
      <c r="E116" s="18"/>
      <c r="F116" s="3"/>
      <c r="G116" s="341"/>
    </row>
    <row r="117" spans="1:8" s="101" customFormat="1" ht="13.5" customHeight="1" x14ac:dyDescent="0.25">
      <c r="A117" s="11" t="s">
        <v>103</v>
      </c>
      <c r="B117" s="298" t="s">
        <v>104</v>
      </c>
      <c r="C117" s="32">
        <f>SUM(C118)</f>
        <v>31200</v>
      </c>
      <c r="D117" s="348"/>
      <c r="E117" s="348"/>
      <c r="F117" s="349"/>
      <c r="G117" s="349"/>
    </row>
    <row r="118" spans="1:8" s="72" customFormat="1" ht="13.5" customHeight="1" x14ac:dyDescent="0.25">
      <c r="A118" s="12" t="s">
        <v>46</v>
      </c>
      <c r="B118" s="72" t="s">
        <v>45</v>
      </c>
      <c r="C118" s="24">
        <v>31200</v>
      </c>
      <c r="D118" s="96"/>
      <c r="E118" s="31"/>
      <c r="F118" s="96"/>
      <c r="G118" s="96"/>
      <c r="H118" s="12"/>
    </row>
    <row r="119" spans="1:8" s="72" customFormat="1" ht="13.5" customHeight="1" x14ac:dyDescent="0.25">
      <c r="A119" s="11" t="s">
        <v>105</v>
      </c>
      <c r="B119" s="265" t="s">
        <v>106</v>
      </c>
      <c r="C119" s="31">
        <f>SUM(C120:C121)</f>
        <v>869320</v>
      </c>
      <c r="D119" s="22"/>
      <c r="E119" s="31"/>
      <c r="F119" s="12"/>
      <c r="G119" s="96"/>
      <c r="H119" s="12"/>
    </row>
    <row r="120" spans="1:8" s="5" customFormat="1" hidden="1" x14ac:dyDescent="0.25">
      <c r="A120" s="12" t="s">
        <v>67</v>
      </c>
      <c r="B120" s="72" t="s">
        <v>68</v>
      </c>
      <c r="C120" s="24"/>
      <c r="D120" s="96"/>
      <c r="E120" s="31"/>
      <c r="F120" s="12"/>
      <c r="G120" s="96"/>
    </row>
    <row r="121" spans="1:8" s="72" customFormat="1" ht="13.5" customHeight="1" x14ac:dyDescent="0.25">
      <c r="A121" s="12" t="s">
        <v>86</v>
      </c>
      <c r="B121" s="72" t="s">
        <v>66</v>
      </c>
      <c r="C121" s="24">
        <v>869320</v>
      </c>
      <c r="D121" s="22"/>
      <c r="E121" s="31"/>
      <c r="F121" s="12"/>
      <c r="G121" s="96"/>
      <c r="H121" s="12"/>
    </row>
    <row r="122" spans="1:8" s="72" customFormat="1" ht="13.5" customHeight="1" x14ac:dyDescent="0.25">
      <c r="A122" s="11" t="s">
        <v>107</v>
      </c>
      <c r="B122" s="265" t="s">
        <v>108</v>
      </c>
      <c r="C122" s="31">
        <f>SUM(C123)</f>
        <v>203120</v>
      </c>
      <c r="D122" s="22"/>
      <c r="E122" s="31"/>
      <c r="F122" s="12"/>
      <c r="G122" s="96"/>
      <c r="H122" s="12"/>
    </row>
    <row r="123" spans="1:8" s="72" customFormat="1" ht="13.5" customHeight="1" x14ac:dyDescent="0.25">
      <c r="A123" s="12" t="s">
        <v>47</v>
      </c>
      <c r="B123" s="23" t="s">
        <v>48</v>
      </c>
      <c r="C123" s="24">
        <v>203120</v>
      </c>
      <c r="D123" s="79"/>
      <c r="E123" s="25"/>
      <c r="F123" s="101"/>
      <c r="G123" s="96"/>
      <c r="H123" s="12"/>
    </row>
    <row r="124" spans="1:8" s="72" customFormat="1" ht="13.5" customHeight="1" x14ac:dyDescent="0.25">
      <c r="A124" s="265" t="s">
        <v>119</v>
      </c>
      <c r="B124" s="25" t="s">
        <v>109</v>
      </c>
      <c r="C124" s="31">
        <f>SUM(C125:C129)</f>
        <v>121800</v>
      </c>
      <c r="D124" s="78"/>
      <c r="E124" s="25"/>
      <c r="F124" s="101"/>
      <c r="G124" s="96"/>
      <c r="H124" s="12"/>
    </row>
    <row r="125" spans="1:8" s="72" customFormat="1" ht="13.5" customHeight="1" x14ac:dyDescent="0.25">
      <c r="A125" s="72" t="s">
        <v>150</v>
      </c>
      <c r="B125" s="23" t="s">
        <v>340</v>
      </c>
      <c r="C125" s="24">
        <v>18800</v>
      </c>
      <c r="D125" s="21"/>
      <c r="E125" s="21"/>
      <c r="F125" s="5"/>
      <c r="G125" s="350"/>
      <c r="H125" s="122"/>
    </row>
    <row r="126" spans="1:8" s="72" customFormat="1" ht="13.5" customHeight="1" x14ac:dyDescent="0.25">
      <c r="A126" s="72" t="s">
        <v>697</v>
      </c>
      <c r="B126" s="43" t="s">
        <v>696</v>
      </c>
      <c r="C126" s="24">
        <v>10000</v>
      </c>
      <c r="D126" s="21"/>
      <c r="E126" s="21"/>
      <c r="F126" s="5"/>
      <c r="G126" s="350"/>
      <c r="H126" s="122"/>
    </row>
    <row r="127" spans="1:8" s="66" customFormat="1" x14ac:dyDescent="0.3">
      <c r="A127" s="72" t="s">
        <v>816</v>
      </c>
      <c r="B127" s="24" t="s">
        <v>810</v>
      </c>
      <c r="C127" s="24">
        <v>23000</v>
      </c>
      <c r="D127" s="78"/>
      <c r="E127" s="25"/>
    </row>
    <row r="128" spans="1:8" s="66" customFormat="1" x14ac:dyDescent="0.3">
      <c r="A128" s="72" t="s">
        <v>820</v>
      </c>
      <c r="B128" s="24" t="s">
        <v>821</v>
      </c>
      <c r="C128" s="24">
        <v>55000</v>
      </c>
      <c r="D128" s="78"/>
      <c r="E128" s="25"/>
    </row>
    <row r="129" spans="1:12" s="66" customFormat="1" x14ac:dyDescent="0.3">
      <c r="A129" s="72" t="s">
        <v>811</v>
      </c>
      <c r="B129" s="24" t="s">
        <v>812</v>
      </c>
      <c r="C129" s="24">
        <v>15000</v>
      </c>
      <c r="D129" s="78"/>
      <c r="E129" s="25"/>
    </row>
    <row r="130" spans="1:12" s="72" customFormat="1" ht="13.5" customHeight="1" x14ac:dyDescent="0.25">
      <c r="A130" s="265" t="s">
        <v>124</v>
      </c>
      <c r="B130" s="25" t="s">
        <v>123</v>
      </c>
      <c r="C130" s="31">
        <f>SUM(C131:C132)</f>
        <v>54700</v>
      </c>
      <c r="D130" s="21"/>
      <c r="E130" s="21"/>
      <c r="F130" s="5"/>
      <c r="G130" s="350"/>
      <c r="H130" s="122"/>
    </row>
    <row r="131" spans="1:12" s="66" customFormat="1" x14ac:dyDescent="0.3">
      <c r="A131" s="12" t="s">
        <v>230</v>
      </c>
      <c r="B131" s="43" t="s">
        <v>229</v>
      </c>
      <c r="C131" s="24">
        <v>34000</v>
      </c>
      <c r="D131" s="57"/>
      <c r="E131" s="57"/>
    </row>
    <row r="132" spans="1:12" s="72" customFormat="1" ht="13.5" customHeight="1" x14ac:dyDescent="0.25">
      <c r="A132" s="72" t="s">
        <v>93</v>
      </c>
      <c r="B132" s="23" t="s">
        <v>72</v>
      </c>
      <c r="C132" s="24">
        <v>20700</v>
      </c>
      <c r="D132" s="21"/>
      <c r="E132" s="21"/>
      <c r="F132" s="5"/>
      <c r="G132" s="350"/>
      <c r="H132" s="122"/>
    </row>
    <row r="133" spans="1:12" s="72" customFormat="1" ht="13.5" customHeight="1" x14ac:dyDescent="0.25">
      <c r="A133" s="265" t="s">
        <v>151</v>
      </c>
      <c r="B133" s="25" t="s">
        <v>125</v>
      </c>
      <c r="C133" s="31">
        <f>SUM(C134:C134)</f>
        <v>22300</v>
      </c>
      <c r="D133" s="21"/>
      <c r="E133" s="21"/>
      <c r="F133" s="5"/>
      <c r="G133" s="350"/>
      <c r="H133" s="122"/>
    </row>
    <row r="134" spans="1:12" s="5" customFormat="1" x14ac:dyDescent="0.25">
      <c r="A134" s="72" t="s">
        <v>155</v>
      </c>
      <c r="B134" s="23" t="s">
        <v>125</v>
      </c>
      <c r="C134" s="24">
        <v>22300</v>
      </c>
      <c r="D134" s="78"/>
      <c r="E134" s="25"/>
      <c r="F134" s="298"/>
      <c r="G134" s="96"/>
    </row>
    <row r="135" spans="1:12" s="5" customFormat="1" ht="13.5" thickBot="1" x14ac:dyDescent="0.3">
      <c r="A135" s="72"/>
      <c r="B135" s="23"/>
      <c r="C135" s="23"/>
      <c r="D135" s="78"/>
      <c r="E135" s="25"/>
      <c r="F135" s="298"/>
      <c r="G135" s="96"/>
    </row>
    <row r="136" spans="1:12" s="72" customFormat="1" ht="13.5" customHeight="1" thickBot="1" x14ac:dyDescent="0.3">
      <c r="A136" s="1096" t="s">
        <v>3</v>
      </c>
      <c r="B136" s="1097"/>
      <c r="C136" s="668">
        <f>+C137+C139+C142+C144+C146</f>
        <v>2694500</v>
      </c>
      <c r="D136" s="21"/>
      <c r="E136" s="21"/>
      <c r="F136" s="5"/>
      <c r="G136" s="350"/>
      <c r="H136" s="24"/>
    </row>
    <row r="137" spans="1:12" s="72" customFormat="1" ht="13.5" customHeight="1" x14ac:dyDescent="0.25">
      <c r="A137" s="11" t="s">
        <v>110</v>
      </c>
      <c r="B137" s="11" t="s">
        <v>111</v>
      </c>
      <c r="C137" s="31">
        <f>SUM(C138)</f>
        <v>30000</v>
      </c>
      <c r="G137" s="78"/>
      <c r="H137" s="25"/>
      <c r="I137" s="101"/>
    </row>
    <row r="138" spans="1:12" s="72" customFormat="1" ht="13.5" customHeight="1" x14ac:dyDescent="0.25">
      <c r="A138" s="12" t="s">
        <v>52</v>
      </c>
      <c r="B138" s="12" t="s">
        <v>15</v>
      </c>
      <c r="C138" s="24">
        <v>30000</v>
      </c>
      <c r="D138" s="79"/>
      <c r="E138" s="31"/>
      <c r="F138" s="101"/>
      <c r="G138" s="96"/>
      <c r="H138" s="12"/>
    </row>
    <row r="139" spans="1:12" s="5" customFormat="1" x14ac:dyDescent="0.25">
      <c r="A139" s="11" t="s">
        <v>120</v>
      </c>
      <c r="B139" s="25" t="s">
        <v>121</v>
      </c>
      <c r="C139" s="31">
        <f>SUM(C140:C141)</f>
        <v>62800</v>
      </c>
      <c r="D139" s="25"/>
      <c r="E139" s="38"/>
      <c r="F139" s="120"/>
      <c r="G139" s="351"/>
      <c r="H139" s="147"/>
      <c r="I139" s="147"/>
      <c r="J139" s="147"/>
      <c r="K139" s="147"/>
      <c r="L139" s="147"/>
    </row>
    <row r="140" spans="1:12" s="66" customFormat="1" ht="13.5" customHeight="1" x14ac:dyDescent="0.3">
      <c r="A140" s="59" t="s">
        <v>140</v>
      </c>
      <c r="B140" s="43" t="s">
        <v>141</v>
      </c>
      <c r="C140" s="60">
        <v>40000</v>
      </c>
      <c r="G140" s="60"/>
      <c r="H140" s="57"/>
      <c r="I140" s="57"/>
    </row>
    <row r="141" spans="1:12" s="72" customFormat="1" ht="13.5" customHeight="1" x14ac:dyDescent="0.25">
      <c r="A141" s="12" t="s">
        <v>136</v>
      </c>
      <c r="B141" s="12" t="s">
        <v>71</v>
      </c>
      <c r="C141" s="24">
        <v>22800</v>
      </c>
      <c r="D141" s="78"/>
      <c r="E141" s="25"/>
      <c r="F141" s="231"/>
      <c r="G141" s="96"/>
      <c r="H141" s="24"/>
    </row>
    <row r="142" spans="1:12" s="72" customFormat="1" ht="13.5" customHeight="1" x14ac:dyDescent="0.25">
      <c r="A142" s="265" t="s">
        <v>112</v>
      </c>
      <c r="B142" s="11" t="s">
        <v>157</v>
      </c>
      <c r="C142" s="31">
        <f>SUM(C143:C143)</f>
        <v>890000</v>
      </c>
      <c r="D142" s="79"/>
      <c r="E142" s="25"/>
      <c r="F142" s="101"/>
      <c r="G142" s="96"/>
      <c r="H142" s="12"/>
    </row>
    <row r="143" spans="1:12" s="147" customFormat="1" x14ac:dyDescent="0.25">
      <c r="A143" s="72" t="s">
        <v>49</v>
      </c>
      <c r="B143" s="23" t="s">
        <v>87</v>
      </c>
      <c r="C143" s="24">
        <v>890000</v>
      </c>
      <c r="D143" s="24"/>
      <c r="G143" s="351"/>
    </row>
    <row r="144" spans="1:12" s="147" customFormat="1" x14ac:dyDescent="0.25">
      <c r="A144" s="265" t="s">
        <v>132</v>
      </c>
      <c r="B144" s="25" t="s">
        <v>56</v>
      </c>
      <c r="C144" s="31">
        <f>SUM(C145)</f>
        <v>47500</v>
      </c>
      <c r="D144" s="24"/>
      <c r="E144" s="120"/>
      <c r="F144" s="120"/>
      <c r="G144" s="351"/>
    </row>
    <row r="145" spans="1:12" s="147" customFormat="1" x14ac:dyDescent="0.25">
      <c r="A145" s="72" t="s">
        <v>55</v>
      </c>
      <c r="B145" s="72" t="s">
        <v>56</v>
      </c>
      <c r="C145" s="24">
        <v>47500</v>
      </c>
      <c r="D145" s="24"/>
      <c r="E145" s="120"/>
      <c r="F145" s="120"/>
      <c r="G145" s="351"/>
    </row>
    <row r="146" spans="1:12" s="147" customFormat="1" x14ac:dyDescent="0.25">
      <c r="A146" s="265" t="s">
        <v>115</v>
      </c>
      <c r="B146" s="25" t="s">
        <v>8</v>
      </c>
      <c r="C146" s="31">
        <f>SUM(C147:C148)</f>
        <v>1664200</v>
      </c>
      <c r="D146" s="24"/>
      <c r="E146" s="120"/>
      <c r="F146" s="120"/>
      <c r="G146" s="351"/>
    </row>
    <row r="147" spans="1:12" s="147" customFormat="1" x14ac:dyDescent="0.25">
      <c r="A147" s="72" t="s">
        <v>89</v>
      </c>
      <c r="B147" s="23" t="s">
        <v>8</v>
      </c>
      <c r="C147" s="24">
        <v>911300</v>
      </c>
      <c r="D147" s="24"/>
      <c r="E147" s="120"/>
      <c r="F147" s="120"/>
      <c r="G147" s="350"/>
      <c r="H147" s="5"/>
      <c r="I147" s="5"/>
      <c r="J147" s="5"/>
      <c r="K147" s="5"/>
      <c r="L147" s="5"/>
    </row>
    <row r="148" spans="1:12" s="5" customFormat="1" x14ac:dyDescent="0.25">
      <c r="A148" s="72" t="s">
        <v>90</v>
      </c>
      <c r="B148" s="23" t="s">
        <v>7</v>
      </c>
      <c r="C148" s="24">
        <v>752900</v>
      </c>
      <c r="D148" s="31"/>
      <c r="E148" s="38"/>
      <c r="F148" s="120"/>
      <c r="G148" s="351"/>
      <c r="H148" s="147"/>
      <c r="I148" s="147"/>
      <c r="J148" s="147"/>
      <c r="K148" s="147"/>
      <c r="L148" s="147"/>
    </row>
    <row r="149" spans="1:12" s="72" customFormat="1" ht="13.5" customHeight="1" thickBot="1" x14ac:dyDescent="0.3">
      <c r="A149" s="12"/>
      <c r="B149" s="12"/>
      <c r="C149" s="24"/>
      <c r="D149" s="78"/>
      <c r="E149" s="25"/>
      <c r="F149" s="231"/>
      <c r="G149" s="96"/>
      <c r="H149" s="24"/>
    </row>
    <row r="150" spans="1:12" s="5" customFormat="1" ht="13.5" thickBot="1" x14ac:dyDescent="0.3">
      <c r="A150" s="1100" t="s">
        <v>4</v>
      </c>
      <c r="B150" s="1101"/>
      <c r="C150" s="670">
        <f>(C151+C155)</f>
        <v>187400</v>
      </c>
      <c r="D150" s="21"/>
      <c r="E150" s="21"/>
      <c r="G150" s="350"/>
    </row>
    <row r="151" spans="1:12" s="5" customFormat="1" x14ac:dyDescent="0.25">
      <c r="A151" s="265" t="s">
        <v>116</v>
      </c>
      <c r="B151" s="265" t="s">
        <v>117</v>
      </c>
      <c r="C151" s="31">
        <f>SUM(C152:C154)</f>
        <v>170000</v>
      </c>
      <c r="D151" s="23"/>
      <c r="E151" s="21"/>
      <c r="G151" s="350"/>
    </row>
    <row r="152" spans="1:12" s="5" customFormat="1" x14ac:dyDescent="0.25">
      <c r="A152" s="72" t="s">
        <v>91</v>
      </c>
      <c r="B152" s="72" t="s">
        <v>139</v>
      </c>
      <c r="C152" s="24">
        <v>75000</v>
      </c>
      <c r="D152" s="21"/>
      <c r="E152" s="21"/>
      <c r="G152" s="350"/>
    </row>
    <row r="153" spans="1:12" s="5" customFormat="1" x14ac:dyDescent="0.25">
      <c r="A153" s="72" t="s">
        <v>57</v>
      </c>
      <c r="B153" s="72" t="s">
        <v>58</v>
      </c>
      <c r="C153" s="24">
        <v>60000</v>
      </c>
      <c r="D153" s="21"/>
      <c r="E153" s="21"/>
      <c r="G153" s="350"/>
    </row>
    <row r="154" spans="1:12" s="8" customFormat="1" ht="13.5" customHeight="1" x14ac:dyDescent="0.25">
      <c r="A154" s="72" t="s">
        <v>814</v>
      </c>
      <c r="B154" s="23" t="s">
        <v>815</v>
      </c>
      <c r="C154" s="24">
        <v>35000</v>
      </c>
      <c r="D154" s="78"/>
      <c r="E154" s="25"/>
      <c r="F154" s="99"/>
      <c r="G154" s="55"/>
      <c r="H154" s="43"/>
    </row>
    <row r="155" spans="1:12" s="5" customFormat="1" x14ac:dyDescent="0.25">
      <c r="A155" s="265" t="s">
        <v>166</v>
      </c>
      <c r="B155" s="25" t="s">
        <v>135</v>
      </c>
      <c r="C155" s="31">
        <f>SUM(C156)</f>
        <v>17400</v>
      </c>
      <c r="D155" s="21"/>
      <c r="E155" s="21"/>
      <c r="G155" s="350"/>
    </row>
    <row r="156" spans="1:12" s="5" customFormat="1" x14ac:dyDescent="0.25">
      <c r="A156" s="72" t="s">
        <v>167</v>
      </c>
      <c r="B156" s="23" t="s">
        <v>51</v>
      </c>
      <c r="C156" s="24">
        <v>17400</v>
      </c>
      <c r="D156" s="23"/>
      <c r="E156" s="21"/>
      <c r="G156" s="350"/>
    </row>
    <row r="157" spans="1:12" s="5" customFormat="1" x14ac:dyDescent="0.25">
      <c r="A157" s="72"/>
      <c r="B157" s="23"/>
      <c r="C157" s="24"/>
      <c r="D157" s="23"/>
      <c r="E157" s="21"/>
      <c r="G157" s="350"/>
    </row>
    <row r="158" spans="1:12" s="72" customFormat="1" ht="12.75" customHeight="1" thickBot="1" x14ac:dyDescent="0.3">
      <c r="A158" s="11"/>
      <c r="B158" s="11"/>
      <c r="C158" s="31"/>
      <c r="D158" s="31"/>
      <c r="E158" s="31"/>
      <c r="F158" s="10"/>
      <c r="G158" s="343"/>
    </row>
    <row r="159" spans="1:12" x14ac:dyDescent="0.25">
      <c r="A159" s="1117" t="s">
        <v>717</v>
      </c>
      <c r="B159" s="1118"/>
      <c r="C159" s="1119"/>
      <c r="D159" s="692" t="s">
        <v>6</v>
      </c>
      <c r="E159" s="913" t="s">
        <v>373</v>
      </c>
      <c r="G159" s="341"/>
    </row>
    <row r="160" spans="1:12" ht="13.5" thickBot="1" x14ac:dyDescent="0.3">
      <c r="A160" s="1120"/>
      <c r="B160" s="1121"/>
      <c r="C160" s="1122"/>
      <c r="D160" s="873"/>
      <c r="E160" s="718"/>
      <c r="G160" s="341"/>
    </row>
    <row r="161" spans="1:8" x14ac:dyDescent="0.25">
      <c r="A161" s="1106" t="s">
        <v>904</v>
      </c>
      <c r="B161" s="1107"/>
      <c r="C161" s="1107"/>
      <c r="D161" s="1107"/>
      <c r="E161" s="1108"/>
      <c r="G161" s="341"/>
    </row>
    <row r="162" spans="1:8" x14ac:dyDescent="0.25">
      <c r="A162" s="1136"/>
      <c r="B162" s="1137"/>
      <c r="C162" s="1137"/>
      <c r="D162" s="1137"/>
      <c r="E162" s="1138"/>
      <c r="G162" s="645"/>
      <c r="H162" s="1"/>
    </row>
    <row r="163" spans="1:8" x14ac:dyDescent="0.25">
      <c r="A163" s="1136"/>
      <c r="B163" s="1137"/>
      <c r="C163" s="1137"/>
      <c r="D163" s="1137"/>
      <c r="E163" s="1138"/>
      <c r="G163" s="645"/>
      <c r="H163" s="1"/>
    </row>
    <row r="164" spans="1:8" s="10" customFormat="1" ht="13.5" thickBot="1" x14ac:dyDescent="0.3">
      <c r="A164" s="1136"/>
      <c r="B164" s="1137"/>
      <c r="C164" s="1137"/>
      <c r="D164" s="1137"/>
      <c r="E164" s="1138"/>
      <c r="F164" s="3"/>
      <c r="G164" s="645"/>
      <c r="H164" s="196"/>
    </row>
    <row r="165" spans="1:8" s="10" customFormat="1" ht="11.5" x14ac:dyDescent="0.25">
      <c r="A165" s="119" t="s">
        <v>1029</v>
      </c>
      <c r="B165" s="174"/>
      <c r="C165" s="420"/>
      <c r="D165" s="420"/>
      <c r="E165" s="422"/>
      <c r="G165" s="342"/>
    </row>
    <row r="166" spans="1:8" s="10" customFormat="1" ht="11.5" x14ac:dyDescent="0.25">
      <c r="A166" s="41" t="s">
        <v>638</v>
      </c>
      <c r="B166" s="12"/>
      <c r="C166" s="24"/>
      <c r="D166" s="24"/>
      <c r="E166" s="320"/>
      <c r="G166" s="342"/>
    </row>
    <row r="167" spans="1:8" s="196" customFormat="1" ht="11.5" x14ac:dyDescent="0.25">
      <c r="A167" s="41" t="s">
        <v>1040</v>
      </c>
      <c r="B167" s="12"/>
      <c r="C167" s="24"/>
      <c r="D167" s="24"/>
      <c r="E167" s="320"/>
      <c r="F167" s="10"/>
      <c r="G167" s="342"/>
    </row>
    <row r="168" spans="1:8" s="196" customFormat="1" ht="12" thickBot="1" x14ac:dyDescent="0.3">
      <c r="A168" s="76" t="s">
        <v>13</v>
      </c>
      <c r="B168" s="140"/>
      <c r="C168" s="377"/>
      <c r="D168" s="377"/>
      <c r="E168" s="378"/>
      <c r="F168" s="10"/>
      <c r="G168" s="342"/>
    </row>
    <row r="169" spans="1:8" s="72" customFormat="1" ht="12.75" customHeight="1" thickBot="1" x14ac:dyDescent="0.3">
      <c r="A169" s="762" t="s">
        <v>14</v>
      </c>
      <c r="B169" s="763"/>
      <c r="C169" s="764"/>
      <c r="D169" s="766"/>
      <c r="E169" s="772">
        <f>+C171+C182</f>
        <v>6889940</v>
      </c>
      <c r="F169" s="10"/>
      <c r="G169" s="343"/>
    </row>
    <row r="170" spans="1:8" s="72" customFormat="1" ht="12.75" customHeight="1" thickBot="1" x14ac:dyDescent="0.3">
      <c r="A170" s="11"/>
      <c r="B170" s="11"/>
      <c r="C170" s="31"/>
      <c r="D170" s="31"/>
      <c r="E170" s="31"/>
      <c r="F170" s="10"/>
      <c r="G170" s="343"/>
    </row>
    <row r="171" spans="1:8" s="12" customFormat="1" ht="13.5" customHeight="1" thickBot="1" x14ac:dyDescent="0.3">
      <c r="A171" s="1104" t="s">
        <v>2</v>
      </c>
      <c r="B171" s="1105"/>
      <c r="C171" s="667">
        <f>+C172+C175+C177+C179</f>
        <v>244940</v>
      </c>
      <c r="D171" s="18"/>
      <c r="E171" s="18"/>
      <c r="F171" s="3"/>
      <c r="G171" s="341"/>
    </row>
    <row r="172" spans="1:8" s="72" customFormat="1" ht="13.5" customHeight="1" x14ac:dyDescent="0.25">
      <c r="A172" s="11" t="s">
        <v>105</v>
      </c>
      <c r="B172" s="265" t="s">
        <v>106</v>
      </c>
      <c r="C172" s="31">
        <f>SUM(C173:C174)</f>
        <v>112440</v>
      </c>
      <c r="D172" s="22"/>
      <c r="E172" s="31"/>
      <c r="F172" s="12"/>
      <c r="G172" s="96"/>
      <c r="H172" s="12"/>
    </row>
    <row r="173" spans="1:8" s="5" customFormat="1" hidden="1" x14ac:dyDescent="0.25">
      <c r="A173" s="12" t="s">
        <v>67</v>
      </c>
      <c r="B173" s="72" t="s">
        <v>68</v>
      </c>
      <c r="C173" s="24"/>
      <c r="D173" s="96"/>
      <c r="E173" s="31"/>
      <c r="F173" s="12"/>
      <c r="G173" s="96"/>
    </row>
    <row r="174" spans="1:8" s="72" customFormat="1" ht="13.5" customHeight="1" x14ac:dyDescent="0.25">
      <c r="A174" s="12" t="s">
        <v>86</v>
      </c>
      <c r="B174" s="72" t="s">
        <v>66</v>
      </c>
      <c r="C174" s="24">
        <v>112440</v>
      </c>
      <c r="D174" s="22"/>
      <c r="E174" s="31"/>
      <c r="F174" s="12"/>
      <c r="G174" s="96"/>
      <c r="H174" s="12"/>
    </row>
    <row r="175" spans="1:8" s="72" customFormat="1" ht="13.5" customHeight="1" x14ac:dyDescent="0.25">
      <c r="A175" s="11" t="s">
        <v>107</v>
      </c>
      <c r="B175" s="265" t="s">
        <v>108</v>
      </c>
      <c r="C175" s="31">
        <f>SUM(C176)</f>
        <v>105000</v>
      </c>
      <c r="D175" s="22"/>
      <c r="E175" s="31"/>
      <c r="F175" s="12"/>
      <c r="G175" s="96"/>
      <c r="H175" s="12"/>
    </row>
    <row r="176" spans="1:8" s="72" customFormat="1" ht="13.5" customHeight="1" x14ac:dyDescent="0.25">
      <c r="A176" s="12" t="s">
        <v>47</v>
      </c>
      <c r="B176" s="23" t="s">
        <v>48</v>
      </c>
      <c r="C176" s="24">
        <v>105000</v>
      </c>
      <c r="D176" s="79"/>
      <c r="E176" s="25"/>
      <c r="F176" s="101"/>
      <c r="G176" s="96"/>
      <c r="H176" s="12"/>
    </row>
    <row r="177" spans="1:25" s="72" customFormat="1" ht="13.5" customHeight="1" x14ac:dyDescent="0.25">
      <c r="A177" s="265" t="s">
        <v>124</v>
      </c>
      <c r="B177" s="25" t="s">
        <v>123</v>
      </c>
      <c r="C177" s="31">
        <f>SUM(C178)</f>
        <v>15000</v>
      </c>
      <c r="D177" s="21"/>
      <c r="E177" s="21"/>
      <c r="F177" s="5"/>
      <c r="G177" s="350"/>
      <c r="H177" s="122"/>
    </row>
    <row r="178" spans="1:25" s="72" customFormat="1" ht="13.5" customHeight="1" x14ac:dyDescent="0.25">
      <c r="A178" s="72" t="s">
        <v>93</v>
      </c>
      <c r="B178" s="23" t="s">
        <v>72</v>
      </c>
      <c r="C178" s="24">
        <v>15000</v>
      </c>
      <c r="D178" s="21"/>
      <c r="E178" s="21"/>
      <c r="F178" s="5"/>
      <c r="G178" s="350"/>
      <c r="H178" s="122"/>
    </row>
    <row r="179" spans="1:25" s="72" customFormat="1" ht="13.5" customHeight="1" x14ac:dyDescent="0.25">
      <c r="A179" s="265" t="s">
        <v>151</v>
      </c>
      <c r="B179" s="25" t="s">
        <v>125</v>
      </c>
      <c r="C179" s="31">
        <f>SUM(C180:C180)</f>
        <v>12500</v>
      </c>
      <c r="D179" s="21"/>
      <c r="E179" s="21"/>
      <c r="F179" s="5"/>
      <c r="G179" s="350"/>
      <c r="H179" s="122"/>
    </row>
    <row r="180" spans="1:25" s="5" customFormat="1" x14ac:dyDescent="0.25">
      <c r="A180" s="72" t="s">
        <v>155</v>
      </c>
      <c r="B180" s="23" t="s">
        <v>125</v>
      </c>
      <c r="C180" s="24">
        <v>12500</v>
      </c>
      <c r="D180" s="78"/>
      <c r="E180" s="25"/>
      <c r="F180" s="298"/>
      <c r="G180" s="96"/>
    </row>
    <row r="181" spans="1:25" s="5" customFormat="1" ht="13.5" thickBot="1" x14ac:dyDescent="0.3">
      <c r="A181" s="72"/>
      <c r="B181" s="23"/>
      <c r="C181" s="23"/>
      <c r="D181" s="78"/>
      <c r="E181" s="25"/>
      <c r="F181" s="298"/>
      <c r="G181" s="96"/>
    </row>
    <row r="182" spans="1:25" s="72" customFormat="1" ht="13.5" customHeight="1" thickBot="1" x14ac:dyDescent="0.3">
      <c r="A182" s="1096" t="s">
        <v>3</v>
      </c>
      <c r="B182" s="1097"/>
      <c r="C182" s="668">
        <f>+C183+C186+C188</f>
        <v>6645000</v>
      </c>
      <c r="D182" s="21"/>
      <c r="E182" s="21"/>
      <c r="F182" s="5"/>
      <c r="G182" s="350"/>
      <c r="H182" s="24"/>
    </row>
    <row r="183" spans="1:25" s="72" customFormat="1" ht="13.5" customHeight="1" x14ac:dyDescent="0.25">
      <c r="A183" s="265" t="s">
        <v>112</v>
      </c>
      <c r="B183" s="11" t="s">
        <v>157</v>
      </c>
      <c r="C183" s="31">
        <f>SUM(C184:C185)</f>
        <v>5388000</v>
      </c>
      <c r="D183" s="79"/>
      <c r="E183" s="25"/>
      <c r="F183" s="101"/>
      <c r="G183" s="96"/>
      <c r="H183" s="12"/>
    </row>
    <row r="184" spans="1:25" s="147" customFormat="1" x14ac:dyDescent="0.25">
      <c r="A184" s="72" t="s">
        <v>49</v>
      </c>
      <c r="B184" s="23" t="s">
        <v>87</v>
      </c>
      <c r="C184" s="24">
        <v>1100000</v>
      </c>
      <c r="D184" s="24"/>
      <c r="G184" s="351"/>
    </row>
    <row r="185" spans="1:25" s="212" customFormat="1" x14ac:dyDescent="0.3">
      <c r="A185" s="72" t="s">
        <v>694</v>
      </c>
      <c r="B185" s="43" t="s">
        <v>693</v>
      </c>
      <c r="C185" s="55">
        <v>4288000</v>
      </c>
      <c r="E185" s="635"/>
      <c r="F185" s="120"/>
      <c r="L185" s="636"/>
      <c r="M185" s="636"/>
      <c r="N185" s="636"/>
      <c r="O185" s="637"/>
      <c r="P185" s="636"/>
      <c r="Q185" s="636"/>
      <c r="R185" s="638"/>
      <c r="S185" s="638"/>
      <c r="T185" s="638"/>
      <c r="U185" s="638"/>
      <c r="V185" s="638"/>
      <c r="W185" s="638"/>
      <c r="X185" s="638"/>
      <c r="Y185" s="638"/>
    </row>
    <row r="186" spans="1:25" s="147" customFormat="1" x14ac:dyDescent="0.25">
      <c r="A186" s="265" t="s">
        <v>132</v>
      </c>
      <c r="B186" s="25" t="s">
        <v>56</v>
      </c>
      <c r="C186" s="31">
        <f>SUM(C187)</f>
        <v>57000</v>
      </c>
      <c r="D186" s="24"/>
      <c r="E186" s="120"/>
      <c r="F186" s="120"/>
      <c r="G186" s="351"/>
    </row>
    <row r="187" spans="1:25" s="147" customFormat="1" x14ac:dyDescent="0.25">
      <c r="A187" s="72" t="s">
        <v>55</v>
      </c>
      <c r="B187" s="72" t="s">
        <v>56</v>
      </c>
      <c r="C187" s="24">
        <v>57000</v>
      </c>
      <c r="D187" s="24"/>
      <c r="E187" s="120"/>
      <c r="F187" s="120"/>
      <c r="G187" s="351"/>
    </row>
    <row r="188" spans="1:25" s="147" customFormat="1" x14ac:dyDescent="0.25">
      <c r="A188" s="265" t="s">
        <v>115</v>
      </c>
      <c r="B188" s="25" t="s">
        <v>8</v>
      </c>
      <c r="C188" s="31">
        <f>SUM(C189:C189)</f>
        <v>1200000</v>
      </c>
      <c r="D188" s="24"/>
      <c r="E188" s="120"/>
      <c r="F188" s="120"/>
      <c r="G188" s="351"/>
    </row>
    <row r="189" spans="1:25" s="147" customFormat="1" x14ac:dyDescent="0.25">
      <c r="A189" s="72" t="s">
        <v>89</v>
      </c>
      <c r="B189" s="23" t="s">
        <v>8</v>
      </c>
      <c r="C189" s="24">
        <v>1200000</v>
      </c>
      <c r="D189" s="24"/>
      <c r="E189" s="120"/>
      <c r="F189" s="120"/>
      <c r="G189" s="350"/>
      <c r="H189" s="5"/>
      <c r="I189" s="5"/>
      <c r="J189" s="5"/>
      <c r="K189" s="5"/>
      <c r="L189" s="5"/>
    </row>
    <row r="190" spans="1:25" s="147" customFormat="1" x14ac:dyDescent="0.25">
      <c r="A190" s="72"/>
      <c r="B190" s="23"/>
      <c r="C190" s="24"/>
      <c r="D190" s="24"/>
      <c r="E190" s="120"/>
      <c r="F190" s="120"/>
      <c r="G190" s="350"/>
      <c r="H190" s="5"/>
      <c r="I190" s="5"/>
      <c r="J190" s="5"/>
      <c r="K190" s="5"/>
      <c r="L190" s="5"/>
    </row>
    <row r="191" spans="1:25" s="5" customFormat="1" ht="13.5" thickBot="1" x14ac:dyDescent="0.3">
      <c r="A191" s="72"/>
      <c r="B191" s="23"/>
      <c r="C191" s="24"/>
      <c r="D191" s="23"/>
      <c r="E191" s="21"/>
      <c r="G191" s="350"/>
    </row>
    <row r="192" spans="1:25" ht="12.75" customHeight="1" x14ac:dyDescent="0.25">
      <c r="A192" s="1117" t="s">
        <v>906</v>
      </c>
      <c r="B192" s="1119"/>
      <c r="C192" s="692" t="s">
        <v>6</v>
      </c>
      <c r="D192" s="913" t="s">
        <v>718</v>
      </c>
      <c r="G192" s="341"/>
    </row>
    <row r="193" spans="1:8" ht="13.5" thickBot="1" x14ac:dyDescent="0.3">
      <c r="A193" s="1120"/>
      <c r="B193" s="1122"/>
      <c r="C193" s="873"/>
      <c r="D193" s="718"/>
      <c r="E193" s="120"/>
      <c r="G193" s="341"/>
    </row>
    <row r="194" spans="1:8" x14ac:dyDescent="0.25">
      <c r="A194" s="1123" t="s">
        <v>905</v>
      </c>
      <c r="B194" s="1124"/>
      <c r="C194" s="1124"/>
      <c r="D194" s="1125"/>
      <c r="E194" s="120"/>
      <c r="G194" s="341"/>
    </row>
    <row r="195" spans="1:8" x14ac:dyDescent="0.25">
      <c r="A195" s="1126"/>
      <c r="B195" s="1127"/>
      <c r="C195" s="1127"/>
      <c r="D195" s="1128"/>
      <c r="E195" s="120"/>
      <c r="G195" s="645"/>
      <c r="H195" s="1"/>
    </row>
    <row r="196" spans="1:8" x14ac:dyDescent="0.25">
      <c r="A196" s="1126"/>
      <c r="B196" s="1127"/>
      <c r="C196" s="1127"/>
      <c r="D196" s="1128"/>
      <c r="E196" s="120"/>
      <c r="G196" s="645"/>
      <c r="H196" s="1"/>
    </row>
    <row r="197" spans="1:8" s="10" customFormat="1" x14ac:dyDescent="0.25">
      <c r="A197" s="1126"/>
      <c r="B197" s="1127"/>
      <c r="C197" s="1127"/>
      <c r="D197" s="1128"/>
      <c r="E197" s="120"/>
      <c r="F197" s="3"/>
      <c r="G197" s="645"/>
      <c r="H197" s="196"/>
    </row>
    <row r="198" spans="1:8" s="10" customFormat="1" ht="13.5" thickBot="1" x14ac:dyDescent="0.3">
      <c r="A198" s="1126"/>
      <c r="B198" s="1127"/>
      <c r="C198" s="1127"/>
      <c r="D198" s="1128"/>
      <c r="E198" s="120"/>
      <c r="F198" s="3"/>
      <c r="G198" s="645"/>
      <c r="H198" s="196"/>
    </row>
    <row r="199" spans="1:8" s="10" customFormat="1" ht="11.5" x14ac:dyDescent="0.25">
      <c r="A199" s="119" t="s">
        <v>1029</v>
      </c>
      <c r="B199" s="174"/>
      <c r="C199" s="420"/>
      <c r="D199" s="422"/>
      <c r="E199" s="24"/>
      <c r="G199" s="342"/>
    </row>
    <row r="200" spans="1:8" s="10" customFormat="1" ht="11.5" x14ac:dyDescent="0.25">
      <c r="A200" s="41" t="s">
        <v>638</v>
      </c>
      <c r="B200" s="12"/>
      <c r="C200" s="24"/>
      <c r="D200" s="320"/>
      <c r="E200" s="24"/>
      <c r="G200" s="342"/>
    </row>
    <row r="201" spans="1:8" s="196" customFormat="1" ht="11.5" x14ac:dyDescent="0.25">
      <c r="A201" s="41" t="s">
        <v>1040</v>
      </c>
      <c r="B201" s="12"/>
      <c r="C201" s="24"/>
      <c r="D201" s="320"/>
      <c r="E201" s="24"/>
      <c r="F201" s="10"/>
      <c r="G201" s="342"/>
    </row>
    <row r="202" spans="1:8" s="196" customFormat="1" ht="12" thickBot="1" x14ac:dyDescent="0.3">
      <c r="A202" s="76" t="s">
        <v>13</v>
      </c>
      <c r="B202" s="140"/>
      <c r="C202" s="377"/>
      <c r="D202" s="378"/>
      <c r="E202" s="24"/>
      <c r="F202" s="10"/>
      <c r="G202" s="342"/>
    </row>
    <row r="203" spans="1:8" s="72" customFormat="1" ht="12.75" customHeight="1" thickBot="1" x14ac:dyDescent="0.3">
      <c r="A203" s="762" t="s">
        <v>805</v>
      </c>
      <c r="B203" s="763"/>
      <c r="C203" s="764"/>
      <c r="D203" s="766"/>
      <c r="E203" s="31"/>
      <c r="F203" s="10"/>
      <c r="G203" s="343"/>
    </row>
    <row r="204" spans="1:8" s="72" customFormat="1" ht="12.75" customHeight="1" thickBot="1" x14ac:dyDescent="0.3">
      <c r="A204" s="11"/>
      <c r="B204" s="11"/>
      <c r="C204" s="31"/>
      <c r="D204" s="31"/>
      <c r="E204" s="31"/>
      <c r="G204" s="79"/>
    </row>
    <row r="205" spans="1:8" ht="12.75" customHeight="1" x14ac:dyDescent="0.25">
      <c r="A205" s="1117" t="s">
        <v>907</v>
      </c>
      <c r="B205" s="1119"/>
      <c r="C205" s="692" t="s">
        <v>6</v>
      </c>
      <c r="D205" s="913" t="s">
        <v>719</v>
      </c>
      <c r="G205" s="341"/>
    </row>
    <row r="206" spans="1:8" ht="13.5" thickBot="1" x14ac:dyDescent="0.3">
      <c r="A206" s="1120"/>
      <c r="B206" s="1122"/>
      <c r="C206" s="695"/>
      <c r="D206" s="718"/>
      <c r="E206" s="120"/>
      <c r="G206" s="341"/>
    </row>
    <row r="207" spans="1:8" x14ac:dyDescent="0.25">
      <c r="A207" s="1123" t="s">
        <v>908</v>
      </c>
      <c r="B207" s="1124"/>
      <c r="C207" s="1124"/>
      <c r="D207" s="1125"/>
      <c r="E207" s="120"/>
      <c r="G207" s="341"/>
    </row>
    <row r="208" spans="1:8" x14ac:dyDescent="0.25">
      <c r="A208" s="1126"/>
      <c r="B208" s="1127"/>
      <c r="C208" s="1127"/>
      <c r="D208" s="1128"/>
      <c r="E208" s="120"/>
      <c r="G208" s="645"/>
      <c r="H208" s="1"/>
    </row>
    <row r="209" spans="1:8" x14ac:dyDescent="0.25">
      <c r="A209" s="1126"/>
      <c r="B209" s="1127"/>
      <c r="C209" s="1127"/>
      <c r="D209" s="1128"/>
      <c r="E209" s="120"/>
      <c r="G209" s="645"/>
      <c r="H209" s="1"/>
    </row>
    <row r="210" spans="1:8" s="10" customFormat="1" x14ac:dyDescent="0.25">
      <c r="A210" s="1126"/>
      <c r="B210" s="1127"/>
      <c r="C210" s="1127"/>
      <c r="D210" s="1128"/>
      <c r="E210" s="120"/>
      <c r="F210" s="3"/>
      <c r="G210" s="645"/>
      <c r="H210" s="196"/>
    </row>
    <row r="211" spans="1:8" s="10" customFormat="1" ht="13.5" thickBot="1" x14ac:dyDescent="0.3">
      <c r="A211" s="1129"/>
      <c r="B211" s="1130"/>
      <c r="C211" s="1130"/>
      <c r="D211" s="1131"/>
      <c r="E211" s="120"/>
      <c r="F211" s="3"/>
      <c r="G211" s="645"/>
      <c r="H211" s="196"/>
    </row>
    <row r="212" spans="1:8" s="10" customFormat="1" ht="11.5" x14ac:dyDescent="0.25">
      <c r="A212" s="119" t="s">
        <v>1029</v>
      </c>
      <c r="B212" s="174"/>
      <c r="C212" s="420"/>
      <c r="D212" s="422"/>
      <c r="E212" s="24"/>
      <c r="G212" s="342"/>
    </row>
    <row r="213" spans="1:8" s="10" customFormat="1" ht="11.5" x14ac:dyDescent="0.25">
      <c r="A213" s="41" t="s">
        <v>638</v>
      </c>
      <c r="B213" s="12"/>
      <c r="C213" s="24"/>
      <c r="D213" s="320"/>
      <c r="E213" s="24"/>
      <c r="G213" s="342"/>
    </row>
    <row r="214" spans="1:8" s="196" customFormat="1" ht="11.5" x14ac:dyDescent="0.25">
      <c r="A214" s="41" t="s">
        <v>1040</v>
      </c>
      <c r="B214" s="12"/>
      <c r="C214" s="24"/>
      <c r="D214" s="320"/>
      <c r="E214" s="24"/>
      <c r="F214" s="10"/>
      <c r="G214" s="342"/>
    </row>
    <row r="215" spans="1:8" s="196" customFormat="1" ht="12" thickBot="1" x14ac:dyDescent="0.3">
      <c r="A215" s="76" t="s">
        <v>13</v>
      </c>
      <c r="B215" s="140"/>
      <c r="C215" s="377"/>
      <c r="D215" s="378"/>
      <c r="E215" s="24"/>
      <c r="F215" s="10"/>
      <c r="G215" s="342"/>
    </row>
    <row r="216" spans="1:8" s="72" customFormat="1" ht="12.75" customHeight="1" thickBot="1" x14ac:dyDescent="0.3">
      <c r="A216" s="762" t="s">
        <v>805</v>
      </c>
      <c r="B216" s="763"/>
      <c r="C216" s="764"/>
      <c r="D216" s="766"/>
      <c r="E216" s="31"/>
      <c r="F216" s="10"/>
      <c r="G216" s="343"/>
    </row>
    <row r="217" spans="1:8" s="72" customFormat="1" ht="12.75" customHeight="1" thickBot="1" x14ac:dyDescent="0.3">
      <c r="A217" s="11"/>
      <c r="B217" s="11"/>
      <c r="C217" s="31"/>
      <c r="D217" s="31"/>
      <c r="E217" s="31"/>
      <c r="G217" s="79"/>
    </row>
    <row r="218" spans="1:8" ht="12.75" customHeight="1" x14ac:dyDescent="0.25">
      <c r="A218" s="1117" t="s">
        <v>910</v>
      </c>
      <c r="B218" s="1119"/>
      <c r="C218" s="692" t="s">
        <v>6</v>
      </c>
      <c r="D218" s="913" t="s">
        <v>720</v>
      </c>
      <c r="E218" s="646"/>
      <c r="G218" s="341"/>
    </row>
    <row r="219" spans="1:8" ht="13.5" thickBot="1" x14ac:dyDescent="0.3">
      <c r="A219" s="1120"/>
      <c r="B219" s="1122"/>
      <c r="C219" s="873"/>
      <c r="D219" s="718"/>
      <c r="E219" s="646"/>
      <c r="G219" s="341"/>
    </row>
    <row r="220" spans="1:8" x14ac:dyDescent="0.25">
      <c r="A220" s="1106" t="s">
        <v>909</v>
      </c>
      <c r="B220" s="1107"/>
      <c r="C220" s="1107"/>
      <c r="D220" s="1108"/>
      <c r="E220" s="120"/>
      <c r="G220" s="341"/>
    </row>
    <row r="221" spans="1:8" ht="13.5" thickBot="1" x14ac:dyDescent="0.3">
      <c r="A221" s="1136"/>
      <c r="B221" s="1137"/>
      <c r="C221" s="1137"/>
      <c r="D221" s="1138"/>
      <c r="E221" s="120"/>
      <c r="G221" s="645"/>
      <c r="H221" s="1"/>
    </row>
    <row r="222" spans="1:8" s="10" customFormat="1" ht="11.5" x14ac:dyDescent="0.25">
      <c r="A222" s="119" t="s">
        <v>1029</v>
      </c>
      <c r="B222" s="174"/>
      <c r="C222" s="420"/>
      <c r="D222" s="422"/>
      <c r="E222" s="24"/>
      <c r="G222" s="342"/>
    </row>
    <row r="223" spans="1:8" s="10" customFormat="1" ht="11.5" x14ac:dyDescent="0.25">
      <c r="A223" s="41" t="s">
        <v>638</v>
      </c>
      <c r="B223" s="12"/>
      <c r="C223" s="24"/>
      <c r="D223" s="320"/>
      <c r="E223" s="24"/>
      <c r="G223" s="342"/>
    </row>
    <row r="224" spans="1:8" s="196" customFormat="1" ht="11.5" x14ac:dyDescent="0.25">
      <c r="A224" s="41" t="s">
        <v>1040</v>
      </c>
      <c r="B224" s="12"/>
      <c r="C224" s="24"/>
      <c r="D224" s="320"/>
      <c r="E224" s="24"/>
      <c r="F224" s="10"/>
      <c r="G224" s="342"/>
    </row>
    <row r="225" spans="1:7" s="196" customFormat="1" ht="12" thickBot="1" x14ac:dyDescent="0.3">
      <c r="A225" s="76" t="s">
        <v>13</v>
      </c>
      <c r="B225" s="140"/>
      <c r="C225" s="377"/>
      <c r="D225" s="378"/>
      <c r="E225" s="24"/>
      <c r="F225" s="10"/>
      <c r="G225" s="342"/>
    </row>
    <row r="226" spans="1:7" s="72" customFormat="1" ht="12.75" customHeight="1" thickBot="1" x14ac:dyDescent="0.3">
      <c r="A226" s="762" t="s">
        <v>805</v>
      </c>
      <c r="B226" s="763"/>
      <c r="C226" s="764"/>
      <c r="D226" s="766"/>
      <c r="E226" s="31"/>
      <c r="F226" s="10"/>
      <c r="G226" s="343"/>
    </row>
    <row r="227" spans="1:7" s="12" customFormat="1" ht="12.75" customHeight="1" x14ac:dyDescent="0.25">
      <c r="A227" s="11"/>
      <c r="B227" s="11"/>
      <c r="C227" s="31"/>
      <c r="D227" s="31"/>
      <c r="E227" s="31"/>
      <c r="G227" s="96"/>
    </row>
    <row r="228" spans="1:7" s="72" customFormat="1" ht="12.75" customHeight="1" thickBot="1" x14ac:dyDescent="0.3">
      <c r="A228" s="11"/>
      <c r="B228" s="11"/>
      <c r="C228" s="31"/>
      <c r="D228" s="31"/>
      <c r="E228" s="31"/>
      <c r="G228" s="79"/>
    </row>
    <row r="229" spans="1:7" s="5" customFormat="1" ht="13.5" customHeight="1" x14ac:dyDescent="0.25">
      <c r="A229" s="1117" t="s">
        <v>688</v>
      </c>
      <c r="B229" s="1118"/>
      <c r="C229" s="1119"/>
      <c r="D229" s="692" t="s">
        <v>6</v>
      </c>
      <c r="E229" s="913" t="s">
        <v>375</v>
      </c>
      <c r="F229" s="3"/>
      <c r="G229" s="341"/>
    </row>
    <row r="230" spans="1:7" ht="13.5" thickBot="1" x14ac:dyDescent="0.3">
      <c r="A230" s="1120"/>
      <c r="B230" s="1121"/>
      <c r="C230" s="1122"/>
      <c r="D230" s="695"/>
      <c r="E230" s="718"/>
      <c r="G230" s="341"/>
    </row>
    <row r="231" spans="1:7" ht="12.75" customHeight="1" x14ac:dyDescent="0.25">
      <c r="A231" s="1123" t="s">
        <v>911</v>
      </c>
      <c r="B231" s="1124"/>
      <c r="C231" s="1124"/>
      <c r="D231" s="1124"/>
      <c r="E231" s="1125"/>
      <c r="G231" s="341"/>
    </row>
    <row r="232" spans="1:7" x14ac:dyDescent="0.25">
      <c r="A232" s="1126"/>
      <c r="B232" s="1127"/>
      <c r="C232" s="1127"/>
      <c r="D232" s="1127"/>
      <c r="E232" s="1128"/>
    </row>
    <row r="233" spans="1:7" x14ac:dyDescent="0.25">
      <c r="A233" s="1126"/>
      <c r="B233" s="1127"/>
      <c r="C233" s="1127"/>
      <c r="D233" s="1127"/>
      <c r="E233" s="1128"/>
    </row>
    <row r="234" spans="1:7" x14ac:dyDescent="0.25">
      <c r="A234" s="1126"/>
      <c r="B234" s="1127"/>
      <c r="C234" s="1127"/>
      <c r="D234" s="1127"/>
      <c r="E234" s="1128"/>
    </row>
    <row r="235" spans="1:7" x14ac:dyDescent="0.25">
      <c r="A235" s="1126"/>
      <c r="B235" s="1127"/>
      <c r="C235" s="1127"/>
      <c r="D235" s="1127"/>
      <c r="E235" s="1128"/>
      <c r="G235" s="341"/>
    </row>
    <row r="236" spans="1:7" x14ac:dyDescent="0.25">
      <c r="A236" s="1126"/>
      <c r="B236" s="1127"/>
      <c r="C236" s="1127"/>
      <c r="D236" s="1127"/>
      <c r="E236" s="1128"/>
      <c r="G236" s="341"/>
    </row>
    <row r="237" spans="1:7" x14ac:dyDescent="0.25">
      <c r="A237" s="1126"/>
      <c r="B237" s="1127"/>
      <c r="C237" s="1127"/>
      <c r="D237" s="1127"/>
      <c r="E237" s="1128"/>
      <c r="G237" s="341"/>
    </row>
    <row r="238" spans="1:7" x14ac:dyDescent="0.25">
      <c r="A238" s="1126"/>
      <c r="B238" s="1127"/>
      <c r="C238" s="1127"/>
      <c r="D238" s="1127"/>
      <c r="E238" s="1128"/>
      <c r="G238" s="341"/>
    </row>
    <row r="239" spans="1:7" ht="13.5" thickBot="1" x14ac:dyDescent="0.3">
      <c r="A239" s="1126"/>
      <c r="B239" s="1127"/>
      <c r="C239" s="1127"/>
      <c r="D239" s="1127"/>
      <c r="E239" s="1128"/>
      <c r="G239" s="341"/>
    </row>
    <row r="240" spans="1:7" x14ac:dyDescent="0.25">
      <c r="A240" s="119" t="s">
        <v>1029</v>
      </c>
      <c r="B240" s="174"/>
      <c r="C240" s="420"/>
      <c r="D240" s="420"/>
      <c r="E240" s="422"/>
      <c r="G240" s="341"/>
    </row>
    <row r="241" spans="1:9" x14ac:dyDescent="0.25">
      <c r="A241" s="41" t="s">
        <v>362</v>
      </c>
      <c r="B241" s="12"/>
      <c r="C241" s="24"/>
      <c r="D241" s="24"/>
      <c r="E241" s="320"/>
      <c r="G241" s="341"/>
    </row>
    <row r="242" spans="1:9" x14ac:dyDescent="0.25">
      <c r="A242" s="41" t="s">
        <v>1040</v>
      </c>
      <c r="B242" s="12"/>
      <c r="C242" s="24"/>
      <c r="D242" s="24"/>
      <c r="E242" s="320"/>
      <c r="G242" s="341"/>
    </row>
    <row r="243" spans="1:9" ht="13.5" thickBot="1" x14ac:dyDescent="0.3">
      <c r="A243" s="76" t="s">
        <v>13</v>
      </c>
      <c r="B243" s="140"/>
      <c r="C243" s="377"/>
      <c r="D243" s="377"/>
      <c r="E243" s="378"/>
      <c r="G243" s="341"/>
    </row>
    <row r="244" spans="1:9" ht="13.5" thickBot="1" x14ac:dyDescent="0.3">
      <c r="A244" s="762" t="s">
        <v>14</v>
      </c>
      <c r="B244" s="763"/>
      <c r="C244" s="764"/>
      <c r="D244" s="766"/>
      <c r="E244" s="772">
        <f>+C246+C270+C293</f>
        <v>9290770</v>
      </c>
      <c r="G244" s="88"/>
    </row>
    <row r="245" spans="1:9" ht="13.5" thickBot="1" x14ac:dyDescent="0.3">
      <c r="A245" s="11"/>
      <c r="B245" s="11"/>
      <c r="C245" s="31"/>
      <c r="D245" s="31"/>
      <c r="F245" s="344"/>
      <c r="G245" s="341"/>
    </row>
    <row r="246" spans="1:9" ht="13.5" thickBot="1" x14ac:dyDescent="0.3">
      <c r="A246" s="877" t="s">
        <v>806</v>
      </c>
      <c r="B246" s="878"/>
      <c r="C246" s="667">
        <f>+C249+C256+C252+C254+C262+C265+C247</f>
        <v>1039280</v>
      </c>
      <c r="E246" s="3"/>
      <c r="F246" s="344"/>
      <c r="G246" s="341"/>
    </row>
    <row r="247" spans="1:9" s="101" customFormat="1" ht="13.5" customHeight="1" x14ac:dyDescent="0.25">
      <c r="A247" s="11" t="s">
        <v>103</v>
      </c>
      <c r="B247" s="298" t="s">
        <v>104</v>
      </c>
      <c r="C247" s="32">
        <f>SUM(C248)</f>
        <v>91500</v>
      </c>
      <c r="D247" s="348"/>
      <c r="F247" s="346"/>
      <c r="G247" s="96"/>
    </row>
    <row r="248" spans="1:9" s="72" customFormat="1" ht="13.5" customHeight="1" x14ac:dyDescent="0.25">
      <c r="A248" s="12" t="s">
        <v>46</v>
      </c>
      <c r="B248" s="72" t="s">
        <v>45</v>
      </c>
      <c r="C248" s="24">
        <v>91500</v>
      </c>
      <c r="E248" s="31"/>
      <c r="F248" s="96"/>
      <c r="G248" s="96"/>
      <c r="H248" s="12"/>
    </row>
    <row r="249" spans="1:9" x14ac:dyDescent="0.25">
      <c r="A249" s="11" t="s">
        <v>105</v>
      </c>
      <c r="B249" s="265" t="s">
        <v>106</v>
      </c>
      <c r="C249" s="32">
        <f>SUM(C250:C251)</f>
        <v>158700</v>
      </c>
      <c r="E249" s="3"/>
      <c r="G249" s="341"/>
    </row>
    <row r="250" spans="1:9" s="5" customFormat="1" hidden="1" x14ac:dyDescent="0.25">
      <c r="A250" s="12" t="s">
        <v>67</v>
      </c>
      <c r="B250" s="72" t="s">
        <v>68</v>
      </c>
      <c r="C250" s="24"/>
      <c r="D250" s="96"/>
      <c r="E250" s="31"/>
      <c r="F250" s="12"/>
      <c r="G250" s="364"/>
    </row>
    <row r="251" spans="1:9" x14ac:dyDescent="0.25">
      <c r="A251" s="12" t="s">
        <v>86</v>
      </c>
      <c r="B251" s="72" t="s">
        <v>66</v>
      </c>
      <c r="C251" s="24">
        <v>158700</v>
      </c>
      <c r="E251" s="14"/>
      <c r="G251" s="96"/>
    </row>
    <row r="252" spans="1:9" x14ac:dyDescent="0.25">
      <c r="A252" s="11" t="s">
        <v>107</v>
      </c>
      <c r="B252" s="265" t="s">
        <v>108</v>
      </c>
      <c r="C252" s="31">
        <f>SUM(C253)</f>
        <v>259630</v>
      </c>
      <c r="D252" s="14"/>
      <c r="E252" s="14"/>
      <c r="G252" s="341"/>
    </row>
    <row r="253" spans="1:9" x14ac:dyDescent="0.25">
      <c r="A253" s="12" t="s">
        <v>47</v>
      </c>
      <c r="B253" s="23" t="s">
        <v>48</v>
      </c>
      <c r="C253" s="24">
        <v>259630</v>
      </c>
      <c r="G253" s="96"/>
    </row>
    <row r="254" spans="1:9" x14ac:dyDescent="0.25">
      <c r="A254" s="11" t="s">
        <v>195</v>
      </c>
      <c r="B254" s="25" t="s">
        <v>363</v>
      </c>
      <c r="C254" s="31">
        <f>SUM(C255)</f>
        <v>123500</v>
      </c>
      <c r="G254" s="341"/>
    </row>
    <row r="255" spans="1:9" x14ac:dyDescent="0.25">
      <c r="A255" s="12" t="s">
        <v>193</v>
      </c>
      <c r="B255" s="72" t="s">
        <v>215</v>
      </c>
      <c r="C255" s="24">
        <v>123500</v>
      </c>
      <c r="G255" s="96"/>
    </row>
    <row r="256" spans="1:9" s="72" customFormat="1" ht="13.5" customHeight="1" x14ac:dyDescent="0.25">
      <c r="A256" s="265" t="s">
        <v>119</v>
      </c>
      <c r="B256" s="559" t="s">
        <v>191</v>
      </c>
      <c r="C256" s="31">
        <f>SUM(C257:C261)</f>
        <v>96020</v>
      </c>
      <c r="D256" s="78"/>
      <c r="E256" s="25"/>
      <c r="F256" s="101"/>
      <c r="G256" s="24"/>
      <c r="H256" s="12"/>
      <c r="I256" s="282"/>
    </row>
    <row r="257" spans="1:9" s="72" customFormat="1" ht="13.5" customHeight="1" x14ac:dyDescent="0.25">
      <c r="A257" s="12" t="s">
        <v>150</v>
      </c>
      <c r="B257" s="43" t="s">
        <v>695</v>
      </c>
      <c r="C257" s="24">
        <v>11520</v>
      </c>
      <c r="D257" s="78"/>
      <c r="E257" s="25"/>
      <c r="F257" s="101"/>
      <c r="G257" s="24"/>
      <c r="H257" s="12"/>
      <c r="I257" s="282"/>
    </row>
    <row r="258" spans="1:9" s="72" customFormat="1" ht="13.5" customHeight="1" x14ac:dyDescent="0.25">
      <c r="A258" s="72" t="s">
        <v>697</v>
      </c>
      <c r="B258" s="43" t="s">
        <v>696</v>
      </c>
      <c r="C258" s="24">
        <v>10000</v>
      </c>
      <c r="D258" s="21"/>
      <c r="E258" s="21"/>
      <c r="F258" s="5"/>
      <c r="G258" s="350"/>
      <c r="H258" s="122"/>
    </row>
    <row r="259" spans="1:9" s="66" customFormat="1" x14ac:dyDescent="0.3">
      <c r="A259" s="72" t="s">
        <v>816</v>
      </c>
      <c r="B259" s="24" t="s">
        <v>810</v>
      </c>
      <c r="C259" s="24">
        <v>17000</v>
      </c>
      <c r="D259" s="78"/>
      <c r="E259" s="25"/>
    </row>
    <row r="260" spans="1:9" s="66" customFormat="1" x14ac:dyDescent="0.3">
      <c r="A260" s="72" t="s">
        <v>820</v>
      </c>
      <c r="B260" s="24" t="s">
        <v>821</v>
      </c>
      <c r="C260" s="24">
        <v>35000</v>
      </c>
      <c r="D260" s="78"/>
      <c r="E260" s="25"/>
    </row>
    <row r="261" spans="1:9" s="66" customFormat="1" x14ac:dyDescent="0.3">
      <c r="A261" s="72" t="s">
        <v>811</v>
      </c>
      <c r="B261" s="24" t="s">
        <v>812</v>
      </c>
      <c r="C261" s="24">
        <v>22500</v>
      </c>
      <c r="D261" s="78"/>
      <c r="E261" s="25"/>
    </row>
    <row r="262" spans="1:9" ht="14.25" customHeight="1" x14ac:dyDescent="0.25">
      <c r="A262" s="265" t="s">
        <v>124</v>
      </c>
      <c r="B262" s="25" t="s">
        <v>123</v>
      </c>
      <c r="C262" s="31">
        <f>SUM(C263:C264)</f>
        <v>43260</v>
      </c>
      <c r="G262" s="341"/>
    </row>
    <row r="263" spans="1:9" s="66" customFormat="1" x14ac:dyDescent="0.3">
      <c r="A263" s="12" t="s">
        <v>230</v>
      </c>
      <c r="B263" s="43" t="s">
        <v>229</v>
      </c>
      <c r="C263" s="24">
        <v>27000</v>
      </c>
      <c r="D263" s="57"/>
      <c r="E263" s="57"/>
    </row>
    <row r="264" spans="1:9" s="72" customFormat="1" ht="12.75" customHeight="1" x14ac:dyDescent="0.25">
      <c r="A264" s="72" t="s">
        <v>93</v>
      </c>
      <c r="B264" s="23" t="s">
        <v>72</v>
      </c>
      <c r="C264" s="24">
        <v>16260</v>
      </c>
      <c r="D264" s="365"/>
      <c r="E264" s="18"/>
      <c r="F264" s="3"/>
      <c r="G264" s="341"/>
    </row>
    <row r="265" spans="1:9" s="72" customFormat="1" ht="12.75" customHeight="1" x14ac:dyDescent="0.25">
      <c r="A265" s="265" t="s">
        <v>151</v>
      </c>
      <c r="B265" s="25" t="s">
        <v>364</v>
      </c>
      <c r="C265" s="31">
        <f>SUM(C266:C268)</f>
        <v>266670</v>
      </c>
      <c r="D265" s="365"/>
      <c r="E265" s="18"/>
      <c r="F265" s="3"/>
      <c r="G265" s="341"/>
    </row>
    <row r="266" spans="1:9" s="72" customFormat="1" ht="12.75" customHeight="1" x14ac:dyDescent="0.25">
      <c r="A266" s="72" t="s">
        <v>152</v>
      </c>
      <c r="B266" s="23" t="s">
        <v>65</v>
      </c>
      <c r="C266" s="24">
        <v>14670</v>
      </c>
      <c r="D266" s="365"/>
      <c r="E266" s="18"/>
      <c r="F266" s="3"/>
      <c r="G266" s="341"/>
    </row>
    <row r="267" spans="1:9" s="72" customFormat="1" ht="12.75" customHeight="1" x14ac:dyDescent="0.25">
      <c r="A267" s="72" t="s">
        <v>155</v>
      </c>
      <c r="B267" s="23" t="s">
        <v>364</v>
      </c>
      <c r="C267" s="24">
        <v>22000</v>
      </c>
      <c r="D267" s="366"/>
      <c r="E267" s="18"/>
      <c r="F267" s="3"/>
      <c r="G267" s="341"/>
    </row>
    <row r="268" spans="1:9" s="72" customFormat="1" ht="12.75" customHeight="1" x14ac:dyDescent="0.25">
      <c r="A268" s="72" t="s">
        <v>699</v>
      </c>
      <c r="B268" s="43" t="s">
        <v>698</v>
      </c>
      <c r="C268" s="24">
        <v>230000</v>
      </c>
      <c r="D268" s="366"/>
      <c r="E268" s="18"/>
      <c r="F268" s="3"/>
      <c r="G268" s="341"/>
    </row>
    <row r="269" spans="1:9" s="72" customFormat="1" ht="12.75" customHeight="1" thickBot="1" x14ac:dyDescent="0.3">
      <c r="B269" s="23"/>
      <c r="C269" s="23"/>
      <c r="D269" s="366"/>
      <c r="E269" s="18"/>
      <c r="F269" s="3"/>
      <c r="G269" s="341"/>
    </row>
    <row r="270" spans="1:9" s="130" customFormat="1" ht="12.75" customHeight="1" thickBot="1" x14ac:dyDescent="0.3">
      <c r="A270" s="1096" t="s">
        <v>3</v>
      </c>
      <c r="B270" s="1097"/>
      <c r="C270" s="668">
        <f>C271+C273+C276+C279+C283+C285+C287</f>
        <v>8093730</v>
      </c>
      <c r="D270" s="365"/>
      <c r="E270" s="18"/>
      <c r="F270" s="3"/>
      <c r="G270" s="341"/>
    </row>
    <row r="271" spans="1:9" s="126" customFormat="1" ht="12.75" customHeight="1" x14ac:dyDescent="0.25">
      <c r="A271" s="11" t="s">
        <v>110</v>
      </c>
      <c r="B271" s="11" t="s">
        <v>111</v>
      </c>
      <c r="C271" s="32">
        <f>SUM(C272)</f>
        <v>2252100</v>
      </c>
      <c r="D271" s="367"/>
      <c r="E271" s="348"/>
      <c r="F271" s="349"/>
      <c r="G271" s="349"/>
    </row>
    <row r="272" spans="1:9" s="130" customFormat="1" ht="12.75" customHeight="1" x14ac:dyDescent="0.25">
      <c r="A272" s="12" t="s">
        <v>52</v>
      </c>
      <c r="B272" s="12" t="s">
        <v>15</v>
      </c>
      <c r="C272" s="24">
        <v>2252100</v>
      </c>
      <c r="E272" s="27"/>
      <c r="F272" s="366"/>
      <c r="G272" s="366"/>
    </row>
    <row r="273" spans="1:9" s="130" customFormat="1" ht="12.75" customHeight="1" x14ac:dyDescent="0.25">
      <c r="A273" s="11" t="s">
        <v>120</v>
      </c>
      <c r="B273" s="559" t="s">
        <v>121</v>
      </c>
      <c r="C273" s="31">
        <f>SUM(C274:C275)</f>
        <v>125500</v>
      </c>
      <c r="E273" s="27"/>
      <c r="F273" s="101"/>
      <c r="G273" s="366"/>
    </row>
    <row r="274" spans="1:9" s="66" customFormat="1" ht="13.5" customHeight="1" x14ac:dyDescent="0.3">
      <c r="A274" s="59" t="s">
        <v>140</v>
      </c>
      <c r="B274" s="43" t="s">
        <v>141</v>
      </c>
      <c r="C274" s="60">
        <v>40000</v>
      </c>
      <c r="G274" s="60"/>
      <c r="H274" s="57"/>
      <c r="I274" s="57"/>
    </row>
    <row r="275" spans="1:9" s="130" customFormat="1" ht="12.75" customHeight="1" x14ac:dyDescent="0.25">
      <c r="A275" s="12" t="s">
        <v>136</v>
      </c>
      <c r="B275" s="43" t="s">
        <v>206</v>
      </c>
      <c r="C275" s="24">
        <v>85500</v>
      </c>
      <c r="E275" s="27"/>
      <c r="F275" s="101"/>
      <c r="G275" s="366"/>
    </row>
    <row r="276" spans="1:9" s="130" customFormat="1" ht="12.75" customHeight="1" x14ac:dyDescent="0.25">
      <c r="A276" s="265" t="s">
        <v>112</v>
      </c>
      <c r="B276" s="11" t="s">
        <v>157</v>
      </c>
      <c r="C276" s="31">
        <f>SUM(C277:C278)</f>
        <v>791240</v>
      </c>
      <c r="E276" s="27"/>
      <c r="F276" s="101"/>
      <c r="G276" s="366"/>
    </row>
    <row r="277" spans="1:9" s="130" customFormat="1" ht="12.75" customHeight="1" x14ac:dyDescent="0.25">
      <c r="A277" s="72" t="s">
        <v>138</v>
      </c>
      <c r="B277" s="59" t="s">
        <v>878</v>
      </c>
      <c r="C277" s="24">
        <v>20000</v>
      </c>
      <c r="E277" s="14"/>
      <c r="F277" s="14"/>
      <c r="G277" s="368"/>
    </row>
    <row r="278" spans="1:9" s="130" customFormat="1" ht="12.75" customHeight="1" x14ac:dyDescent="0.25">
      <c r="A278" s="72" t="s">
        <v>49</v>
      </c>
      <c r="B278" s="23" t="s">
        <v>87</v>
      </c>
      <c r="C278" s="24">
        <v>771240</v>
      </c>
      <c r="E278" s="14"/>
      <c r="F278" s="14"/>
      <c r="G278" s="369"/>
    </row>
    <row r="279" spans="1:9" s="130" customFormat="1" ht="12.75" customHeight="1" x14ac:dyDescent="0.25">
      <c r="A279" s="265" t="s">
        <v>113</v>
      </c>
      <c r="B279" s="25" t="s">
        <v>114</v>
      </c>
      <c r="C279" s="31">
        <f>SUM(C280:C282)</f>
        <v>257870</v>
      </c>
      <c r="E279" s="14"/>
      <c r="F279" s="14"/>
      <c r="G279" s="361"/>
    </row>
    <row r="280" spans="1:9" s="72" customFormat="1" ht="12.75" customHeight="1" x14ac:dyDescent="0.25">
      <c r="A280" s="72" t="s">
        <v>75</v>
      </c>
      <c r="B280" s="72" t="s">
        <v>73</v>
      </c>
      <c r="C280" s="24">
        <v>32000</v>
      </c>
      <c r="G280" s="370"/>
      <c r="H280" s="12"/>
    </row>
    <row r="281" spans="1:9" s="72" customFormat="1" ht="12.75" customHeight="1" x14ac:dyDescent="0.25">
      <c r="A281" s="72" t="s">
        <v>88</v>
      </c>
      <c r="B281" s="23" t="s">
        <v>64</v>
      </c>
      <c r="C281" s="24">
        <v>34000</v>
      </c>
      <c r="G281" s="370"/>
    </row>
    <row r="282" spans="1:9" s="72" customFormat="1" ht="12.75" customHeight="1" x14ac:dyDescent="0.25">
      <c r="A282" s="72" t="s">
        <v>365</v>
      </c>
      <c r="B282" s="24" t="s">
        <v>366</v>
      </c>
      <c r="C282" s="24">
        <v>191870</v>
      </c>
      <c r="G282" s="370"/>
    </row>
    <row r="283" spans="1:9" s="72" customFormat="1" ht="12.75" customHeight="1" x14ac:dyDescent="0.25">
      <c r="A283" s="265" t="s">
        <v>132</v>
      </c>
      <c r="B283" s="25" t="s">
        <v>56</v>
      </c>
      <c r="C283" s="31">
        <f>SUM(C284)</f>
        <v>230400</v>
      </c>
      <c r="G283" s="370"/>
    </row>
    <row r="284" spans="1:9" s="130" customFormat="1" ht="12.75" customHeight="1" x14ac:dyDescent="0.25">
      <c r="A284" s="72" t="s">
        <v>55</v>
      </c>
      <c r="B284" s="72" t="s">
        <v>56</v>
      </c>
      <c r="C284" s="24">
        <v>230400</v>
      </c>
      <c r="E284" s="364"/>
      <c r="F284" s="147"/>
      <c r="G284" s="370"/>
    </row>
    <row r="285" spans="1:9" ht="14.25" customHeight="1" x14ac:dyDescent="0.25">
      <c r="A285" s="265" t="s">
        <v>367</v>
      </c>
      <c r="B285" s="25" t="s">
        <v>368</v>
      </c>
      <c r="C285" s="31">
        <f>SUM(C286:C286)</f>
        <v>24400</v>
      </c>
      <c r="E285" s="14"/>
      <c r="F285" s="14"/>
      <c r="G285" s="24"/>
    </row>
    <row r="286" spans="1:9" ht="13.5" customHeight="1" x14ac:dyDescent="0.25">
      <c r="A286" s="72" t="s">
        <v>369</v>
      </c>
      <c r="B286" s="12" t="s">
        <v>370</v>
      </c>
      <c r="C286" s="24">
        <v>24400</v>
      </c>
      <c r="E286" s="14"/>
      <c r="F286" s="14"/>
      <c r="G286" s="24"/>
    </row>
    <row r="287" spans="1:9" s="130" customFormat="1" ht="12.75" customHeight="1" x14ac:dyDescent="0.25">
      <c r="A287" s="265" t="s">
        <v>115</v>
      </c>
      <c r="B287" s="25" t="s">
        <v>8</v>
      </c>
      <c r="C287" s="31">
        <f>SUM(C288:C291)</f>
        <v>4412220</v>
      </c>
      <c r="E287" s="71"/>
      <c r="F287" s="371"/>
      <c r="G287" s="364"/>
    </row>
    <row r="288" spans="1:9" s="72" customFormat="1" ht="12.75" customHeight="1" x14ac:dyDescent="0.25">
      <c r="A288" s="72" t="s">
        <v>92</v>
      </c>
      <c r="B288" s="23" t="s">
        <v>8</v>
      </c>
      <c r="C288" s="24">
        <v>2134400</v>
      </c>
      <c r="E288" s="12"/>
      <c r="F288" s="1"/>
      <c r="G288" s="369"/>
    </row>
    <row r="289" spans="1:8" s="72" customFormat="1" ht="12.75" customHeight="1" x14ac:dyDescent="0.25">
      <c r="A289" s="72" t="s">
        <v>181</v>
      </c>
      <c r="B289" s="23" t="s">
        <v>50</v>
      </c>
      <c r="C289" s="24">
        <v>18000</v>
      </c>
      <c r="E289" s="364"/>
      <c r="F289" s="372"/>
      <c r="G289" s="361"/>
    </row>
    <row r="290" spans="1:8" s="5" customFormat="1" x14ac:dyDescent="0.25">
      <c r="A290" s="72" t="s">
        <v>222</v>
      </c>
      <c r="B290" s="12" t="s">
        <v>221</v>
      </c>
      <c r="C290" s="24">
        <v>117000</v>
      </c>
      <c r="E290" s="120"/>
      <c r="F290" s="120"/>
      <c r="G290" s="24"/>
    </row>
    <row r="291" spans="1:8" s="130" customFormat="1" ht="12.75" customHeight="1" x14ac:dyDescent="0.25">
      <c r="A291" s="72" t="s">
        <v>90</v>
      </c>
      <c r="B291" s="23" t="s">
        <v>7</v>
      </c>
      <c r="C291" s="22">
        <v>2142820</v>
      </c>
      <c r="E291" s="364"/>
      <c r="F291" s="372"/>
      <c r="G291" s="373"/>
    </row>
    <row r="292" spans="1:8" s="130" customFormat="1" ht="12.75" customHeight="1" thickBot="1" x14ac:dyDescent="0.3">
      <c r="A292" s="72"/>
      <c r="B292" s="72"/>
      <c r="C292" s="96"/>
      <c r="D292" s="14"/>
      <c r="E292" s="364"/>
      <c r="F292" s="372"/>
      <c r="G292" s="341"/>
    </row>
    <row r="293" spans="1:8" s="130" customFormat="1" ht="12.75" customHeight="1" thickBot="1" x14ac:dyDescent="0.3">
      <c r="A293" s="1100" t="s">
        <v>4</v>
      </c>
      <c r="B293" s="1101"/>
      <c r="C293" s="670">
        <f>+C294+C298</f>
        <v>157760</v>
      </c>
      <c r="D293" s="14"/>
      <c r="E293" s="364"/>
      <c r="F293" s="374"/>
      <c r="G293" s="341"/>
    </row>
    <row r="294" spans="1:8" s="72" customFormat="1" ht="11.5" x14ac:dyDescent="0.25">
      <c r="A294" s="265" t="s">
        <v>116</v>
      </c>
      <c r="B294" s="265" t="s">
        <v>117</v>
      </c>
      <c r="C294" s="31">
        <f>SUM(C295:C297)</f>
        <v>148400</v>
      </c>
      <c r="D294" s="28"/>
      <c r="E294" s="345"/>
      <c r="F294" s="196"/>
      <c r="G294" s="342"/>
    </row>
    <row r="295" spans="1:8" s="130" customFormat="1" ht="12.75" customHeight="1" x14ac:dyDescent="0.25">
      <c r="A295" s="72" t="s">
        <v>91</v>
      </c>
      <c r="B295" s="72" t="s">
        <v>139</v>
      </c>
      <c r="C295" s="24">
        <v>93400</v>
      </c>
      <c r="E295" s="345"/>
      <c r="F295" s="196"/>
      <c r="G295" s="28"/>
    </row>
    <row r="296" spans="1:8" s="5" customFormat="1" x14ac:dyDescent="0.25">
      <c r="A296" s="72" t="s">
        <v>57</v>
      </c>
      <c r="B296" s="72" t="s">
        <v>58</v>
      </c>
      <c r="C296" s="24">
        <v>25000</v>
      </c>
      <c r="D296" s="21"/>
      <c r="E296" s="21"/>
      <c r="G296" s="350"/>
    </row>
    <row r="297" spans="1:8" s="8" customFormat="1" ht="13.5" customHeight="1" x14ac:dyDescent="0.25">
      <c r="A297" s="72" t="s">
        <v>814</v>
      </c>
      <c r="B297" s="23" t="s">
        <v>815</v>
      </c>
      <c r="C297" s="24">
        <v>30000</v>
      </c>
      <c r="D297" s="78"/>
      <c r="E297" s="25"/>
      <c r="F297" s="99"/>
      <c r="G297" s="55"/>
      <c r="H297" s="43"/>
    </row>
    <row r="298" spans="1:8" s="130" customFormat="1" ht="12.75" customHeight="1" x14ac:dyDescent="0.25">
      <c r="A298" s="265" t="s">
        <v>166</v>
      </c>
      <c r="B298" s="25" t="s">
        <v>135</v>
      </c>
      <c r="C298" s="31">
        <f>SUM(C299)</f>
        <v>9360</v>
      </c>
      <c r="D298" s="28"/>
      <c r="E298" s="345"/>
      <c r="F298" s="196"/>
      <c r="G298" s="342"/>
    </row>
    <row r="299" spans="1:8" s="5" customFormat="1" x14ac:dyDescent="0.25">
      <c r="A299" s="72" t="s">
        <v>167</v>
      </c>
      <c r="B299" s="23" t="s">
        <v>51</v>
      </c>
      <c r="C299" s="24">
        <v>9360</v>
      </c>
      <c r="D299" s="18"/>
      <c r="E299" s="349"/>
      <c r="F299" s="1"/>
      <c r="G299" s="341"/>
    </row>
    <row r="300" spans="1:8" s="5" customFormat="1" x14ac:dyDescent="0.25">
      <c r="A300" s="72"/>
      <c r="B300" s="23"/>
      <c r="C300" s="24"/>
      <c r="D300" s="18"/>
      <c r="E300" s="349"/>
      <c r="F300" s="1"/>
      <c r="G300" s="341"/>
    </row>
    <row r="301" spans="1:8" s="5" customFormat="1" ht="13.5" thickBot="1" x14ac:dyDescent="0.3">
      <c r="A301" s="72"/>
      <c r="B301" s="23"/>
      <c r="C301" s="23"/>
      <c r="D301" s="18"/>
      <c r="E301" s="349"/>
      <c r="F301" s="1"/>
      <c r="G301" s="341"/>
    </row>
    <row r="302" spans="1:8" s="5" customFormat="1" x14ac:dyDescent="0.25">
      <c r="A302" s="1117" t="s">
        <v>913</v>
      </c>
      <c r="B302" s="1118"/>
      <c r="C302" s="1119"/>
      <c r="D302" s="692" t="s">
        <v>6</v>
      </c>
      <c r="E302" s="913" t="s">
        <v>382</v>
      </c>
      <c r="F302" s="3"/>
      <c r="G302" s="341"/>
    </row>
    <row r="303" spans="1:8" s="5" customFormat="1" ht="13.5" thickBot="1" x14ac:dyDescent="0.3">
      <c r="A303" s="1120"/>
      <c r="B303" s="1121"/>
      <c r="C303" s="1122"/>
      <c r="D303" s="734"/>
      <c r="E303" s="914"/>
      <c r="F303" s="3"/>
      <c r="G303" s="341"/>
    </row>
    <row r="304" spans="1:8" s="5" customFormat="1" x14ac:dyDescent="0.25">
      <c r="A304" s="1123" t="s">
        <v>912</v>
      </c>
      <c r="B304" s="1124"/>
      <c r="C304" s="1124"/>
      <c r="D304" s="1124"/>
      <c r="E304" s="1125"/>
      <c r="F304" s="3"/>
      <c r="G304" s="341"/>
    </row>
    <row r="305" spans="1:8" s="5" customFormat="1" x14ac:dyDescent="0.25">
      <c r="A305" s="1126"/>
      <c r="B305" s="1127"/>
      <c r="C305" s="1127"/>
      <c r="D305" s="1127"/>
      <c r="E305" s="1128"/>
      <c r="F305" s="3"/>
      <c r="G305" s="341"/>
    </row>
    <row r="306" spans="1:8" s="5" customFormat="1" x14ac:dyDescent="0.25">
      <c r="A306" s="1126"/>
      <c r="B306" s="1127"/>
      <c r="C306" s="1127"/>
      <c r="D306" s="1127"/>
      <c r="E306" s="1128"/>
      <c r="F306" s="3"/>
      <c r="G306" s="341"/>
    </row>
    <row r="307" spans="1:8" s="5" customFormat="1" x14ac:dyDescent="0.25">
      <c r="A307" s="1126"/>
      <c r="B307" s="1127"/>
      <c r="C307" s="1127"/>
      <c r="D307" s="1127"/>
      <c r="E307" s="1128"/>
      <c r="F307" s="3"/>
      <c r="G307" s="341"/>
    </row>
    <row r="308" spans="1:8" s="5" customFormat="1" ht="13.5" thickBot="1" x14ac:dyDescent="0.3">
      <c r="A308" s="1129"/>
      <c r="B308" s="1130"/>
      <c r="C308" s="1130"/>
      <c r="D308" s="1130"/>
      <c r="E308" s="1131"/>
      <c r="F308" s="3"/>
      <c r="G308" s="341"/>
    </row>
    <row r="309" spans="1:8" s="5" customFormat="1" x14ac:dyDescent="0.25">
      <c r="A309" s="41" t="s">
        <v>1029</v>
      </c>
      <c r="B309" s="12"/>
      <c r="C309" s="24"/>
      <c r="D309" s="24"/>
      <c r="E309" s="320"/>
      <c r="F309" s="3"/>
      <c r="G309" s="341"/>
    </row>
    <row r="310" spans="1:8" s="5" customFormat="1" x14ac:dyDescent="0.25">
      <c r="A310" s="41" t="s">
        <v>681</v>
      </c>
      <c r="B310" s="12"/>
      <c r="C310" s="24"/>
      <c r="D310" s="24"/>
      <c r="E310" s="320"/>
      <c r="F310" s="3"/>
      <c r="G310" s="341"/>
    </row>
    <row r="311" spans="1:8" s="72" customFormat="1" ht="13.5" customHeight="1" x14ac:dyDescent="0.25">
      <c r="A311" s="41" t="s">
        <v>1040</v>
      </c>
      <c r="B311" s="12"/>
      <c r="C311" s="24"/>
      <c r="D311" s="24"/>
      <c r="E311" s="320"/>
      <c r="F311" s="3"/>
      <c r="G311" s="341"/>
      <c r="H311" s="12"/>
    </row>
    <row r="312" spans="1:8" s="147" customFormat="1" ht="13.5" thickBot="1" x14ac:dyDescent="0.3">
      <c r="A312" s="41" t="s">
        <v>13</v>
      </c>
      <c r="B312" s="12"/>
      <c r="C312" s="24"/>
      <c r="D312" s="24"/>
      <c r="E312" s="320"/>
      <c r="F312" s="3"/>
      <c r="G312" s="611"/>
    </row>
    <row r="313" spans="1:8" s="147" customFormat="1" ht="13.5" thickBot="1" x14ac:dyDescent="0.3">
      <c r="A313" s="762" t="s">
        <v>14</v>
      </c>
      <c r="B313" s="763"/>
      <c r="C313" s="764"/>
      <c r="D313" s="766"/>
      <c r="E313" s="879">
        <f>(C315+C335+C351)</f>
        <v>2050830</v>
      </c>
      <c r="F313" s="599"/>
      <c r="G313" s="15"/>
    </row>
    <row r="314" spans="1:8" s="147" customFormat="1" ht="13.5" thickBot="1" x14ac:dyDescent="0.3">
      <c r="A314" s="11"/>
      <c r="B314" s="11"/>
      <c r="C314" s="31"/>
      <c r="D314" s="31"/>
      <c r="E314" s="592"/>
      <c r="F314" s="344"/>
      <c r="G314" s="349"/>
    </row>
    <row r="315" spans="1:8" s="147" customFormat="1" ht="13.5" thickBot="1" x14ac:dyDescent="0.3">
      <c r="A315" s="1104" t="s">
        <v>2</v>
      </c>
      <c r="B315" s="1105"/>
      <c r="C315" s="667">
        <f>+C318+C320+C322+C328+C331+C316</f>
        <v>477570</v>
      </c>
      <c r="D315" s="18"/>
      <c r="E315" s="592"/>
      <c r="F315" s="344"/>
      <c r="G315" s="341"/>
    </row>
    <row r="316" spans="1:8" s="101" customFormat="1" ht="13.5" customHeight="1" x14ac:dyDescent="0.25">
      <c r="A316" s="11" t="s">
        <v>103</v>
      </c>
      <c r="B316" s="298" t="s">
        <v>104</v>
      </c>
      <c r="C316" s="32">
        <f>SUM(C317)</f>
        <v>65300</v>
      </c>
      <c r="D316" s="348"/>
      <c r="E316" s="593"/>
      <c r="F316" s="344"/>
      <c r="G316" s="349"/>
    </row>
    <row r="317" spans="1:8" s="72" customFormat="1" ht="13.5" customHeight="1" x14ac:dyDescent="0.25">
      <c r="A317" s="12" t="s">
        <v>46</v>
      </c>
      <c r="B317" s="72" t="s">
        <v>45</v>
      </c>
      <c r="C317" s="24">
        <v>65300</v>
      </c>
      <c r="E317" s="31"/>
      <c r="F317" s="96"/>
      <c r="G317" s="96"/>
      <c r="H317" s="12"/>
    </row>
    <row r="318" spans="1:8" s="147" customFormat="1" x14ac:dyDescent="0.25">
      <c r="A318" s="11" t="s">
        <v>105</v>
      </c>
      <c r="B318" s="265" t="s">
        <v>106</v>
      </c>
      <c r="C318" s="31">
        <f>SUM(C319)</f>
        <v>38640</v>
      </c>
      <c r="F318" s="346"/>
      <c r="G318" s="18"/>
    </row>
    <row r="319" spans="1:8" s="147" customFormat="1" x14ac:dyDescent="0.25">
      <c r="A319" s="12" t="s">
        <v>86</v>
      </c>
      <c r="B319" s="72" t="s">
        <v>66</v>
      </c>
      <c r="C319" s="24">
        <v>38640</v>
      </c>
      <c r="E319" s="18"/>
      <c r="F319" s="3"/>
      <c r="G319" s="18"/>
    </row>
    <row r="320" spans="1:8" s="147" customFormat="1" x14ac:dyDescent="0.25">
      <c r="A320" s="11" t="s">
        <v>107</v>
      </c>
      <c r="B320" s="265" t="s">
        <v>108</v>
      </c>
      <c r="C320" s="31">
        <f>SUM(C321)</f>
        <v>178400</v>
      </c>
      <c r="E320" s="18"/>
      <c r="F320" s="3"/>
      <c r="G320" s="18"/>
    </row>
    <row r="321" spans="1:12" s="147" customFormat="1" x14ac:dyDescent="0.25">
      <c r="A321" s="12" t="s">
        <v>47</v>
      </c>
      <c r="B321" s="23" t="s">
        <v>48</v>
      </c>
      <c r="C321" s="24">
        <v>178400</v>
      </c>
      <c r="E321" s="18"/>
      <c r="F321" s="3"/>
      <c r="G321" s="18"/>
    </row>
    <row r="322" spans="1:12" s="147" customFormat="1" x14ac:dyDescent="0.25">
      <c r="A322" s="265" t="s">
        <v>119</v>
      </c>
      <c r="B322" s="25" t="s">
        <v>109</v>
      </c>
      <c r="C322" s="31">
        <f>SUM(C323:C327)</f>
        <v>100240</v>
      </c>
      <c r="E322" s="18"/>
      <c r="F322" s="3"/>
      <c r="G322" s="18"/>
    </row>
    <row r="323" spans="1:12" s="147" customFormat="1" x14ac:dyDescent="0.25">
      <c r="A323" s="72" t="s">
        <v>150</v>
      </c>
      <c r="B323" s="79" t="s">
        <v>69</v>
      </c>
      <c r="C323" s="24">
        <v>15840</v>
      </c>
      <c r="D323" s="18"/>
      <c r="E323" s="18"/>
      <c r="F323" s="3"/>
      <c r="G323" s="341"/>
    </row>
    <row r="324" spans="1:12" s="147" customFormat="1" x14ac:dyDescent="0.25">
      <c r="A324" s="72" t="s">
        <v>697</v>
      </c>
      <c r="B324" s="43" t="s">
        <v>696</v>
      </c>
      <c r="C324" s="24">
        <v>14400</v>
      </c>
      <c r="D324" s="18"/>
      <c r="E324" s="18"/>
      <c r="F324" s="3"/>
      <c r="G324" s="341"/>
    </row>
    <row r="325" spans="1:12" s="66" customFormat="1" x14ac:dyDescent="0.3">
      <c r="A325" s="72" t="s">
        <v>816</v>
      </c>
      <c r="B325" s="24" t="s">
        <v>810</v>
      </c>
      <c r="C325" s="24">
        <v>17000</v>
      </c>
      <c r="D325" s="78"/>
      <c r="E325" s="25"/>
    </row>
    <row r="326" spans="1:12" s="66" customFormat="1" x14ac:dyDescent="0.3">
      <c r="A326" s="72" t="s">
        <v>820</v>
      </c>
      <c r="B326" s="24" t="s">
        <v>821</v>
      </c>
      <c r="C326" s="24">
        <v>35000</v>
      </c>
      <c r="D326" s="78"/>
      <c r="E326" s="25"/>
    </row>
    <row r="327" spans="1:12" s="66" customFormat="1" x14ac:dyDescent="0.3">
      <c r="A327" s="72" t="s">
        <v>811</v>
      </c>
      <c r="B327" s="24" t="s">
        <v>812</v>
      </c>
      <c r="C327" s="24">
        <v>18000</v>
      </c>
      <c r="D327" s="78"/>
      <c r="E327" s="25"/>
    </row>
    <row r="328" spans="1:12" s="147" customFormat="1" x14ac:dyDescent="0.25">
      <c r="A328" s="265" t="s">
        <v>124</v>
      </c>
      <c r="B328" s="25" t="s">
        <v>123</v>
      </c>
      <c r="C328" s="31">
        <f>SUM(C329:C330)</f>
        <v>47690</v>
      </c>
      <c r="D328" s="18"/>
      <c r="E328" s="18"/>
      <c r="F328" s="3"/>
      <c r="G328" s="341"/>
    </row>
    <row r="329" spans="1:12" s="66" customFormat="1" x14ac:dyDescent="0.3">
      <c r="A329" s="12" t="s">
        <v>230</v>
      </c>
      <c r="B329" s="43" t="s">
        <v>229</v>
      </c>
      <c r="C329" s="24">
        <v>32400</v>
      </c>
      <c r="D329" s="57"/>
      <c r="E329" s="57"/>
    </row>
    <row r="330" spans="1:12" s="147" customFormat="1" x14ac:dyDescent="0.25">
      <c r="A330" s="72" t="s">
        <v>93</v>
      </c>
      <c r="B330" s="23" t="s">
        <v>72</v>
      </c>
      <c r="C330" s="24">
        <v>15290</v>
      </c>
      <c r="D330" s="18"/>
      <c r="E330" s="18"/>
      <c r="F330" s="3"/>
      <c r="G330" s="341"/>
      <c r="H330" s="5"/>
      <c r="I330" s="5"/>
      <c r="J330" s="5"/>
      <c r="K330" s="5"/>
      <c r="L330" s="5"/>
    </row>
    <row r="331" spans="1:12" s="147" customFormat="1" x14ac:dyDescent="0.25">
      <c r="A331" s="265" t="s">
        <v>151</v>
      </c>
      <c r="B331" s="25" t="s">
        <v>125</v>
      </c>
      <c r="C331" s="31">
        <f>SUM(C332:C333)</f>
        <v>47300</v>
      </c>
      <c r="D331" s="18"/>
      <c r="E331" s="18"/>
      <c r="F331" s="3"/>
      <c r="G331" s="341"/>
      <c r="H331" s="5"/>
      <c r="I331" s="5"/>
      <c r="J331" s="5"/>
      <c r="K331" s="5"/>
      <c r="L331" s="5"/>
    </row>
    <row r="332" spans="1:12" s="5" customFormat="1" x14ac:dyDescent="0.25">
      <c r="A332" s="72" t="s">
        <v>152</v>
      </c>
      <c r="B332" s="23" t="s">
        <v>65</v>
      </c>
      <c r="C332" s="24">
        <v>27800</v>
      </c>
      <c r="D332" s="96"/>
      <c r="E332" s="25"/>
      <c r="F332" s="101"/>
      <c r="G332" s="96"/>
    </row>
    <row r="333" spans="1:12" s="5" customFormat="1" x14ac:dyDescent="0.25">
      <c r="A333" s="72" t="s">
        <v>155</v>
      </c>
      <c r="B333" s="23" t="s">
        <v>133</v>
      </c>
      <c r="C333" s="24">
        <v>19500</v>
      </c>
      <c r="D333" s="18"/>
      <c r="E333" s="18"/>
      <c r="F333" s="3"/>
      <c r="G333" s="341"/>
    </row>
    <row r="334" spans="1:12" s="5" customFormat="1" ht="13.5" thickBot="1" x14ac:dyDescent="0.3">
      <c r="A334" s="72"/>
      <c r="B334" s="23"/>
      <c r="C334" s="23"/>
      <c r="D334" s="18"/>
      <c r="E334" s="18"/>
      <c r="F334" s="3"/>
      <c r="G334" s="341"/>
    </row>
    <row r="335" spans="1:12" s="5" customFormat="1" ht="13.5" thickBot="1" x14ac:dyDescent="0.3">
      <c r="A335" s="1096" t="s">
        <v>3</v>
      </c>
      <c r="B335" s="1097"/>
      <c r="C335" s="668">
        <f>(C336+C338+C341+C344+C346)</f>
        <v>1418860</v>
      </c>
      <c r="D335" s="18"/>
      <c r="E335" s="364"/>
      <c r="F335" s="3"/>
      <c r="G335" s="341"/>
    </row>
    <row r="336" spans="1:12" s="351" customFormat="1" x14ac:dyDescent="0.25">
      <c r="A336" s="11" t="s">
        <v>110</v>
      </c>
      <c r="B336" s="11" t="s">
        <v>111</v>
      </c>
      <c r="C336" s="32">
        <f>SUM(C337)</f>
        <v>15270</v>
      </c>
      <c r="D336" s="348"/>
      <c r="E336" s="376"/>
      <c r="F336" s="349"/>
      <c r="G336" s="349"/>
    </row>
    <row r="337" spans="1:9" s="5" customFormat="1" x14ac:dyDescent="0.25">
      <c r="A337" s="12" t="s">
        <v>52</v>
      </c>
      <c r="B337" s="12" t="s">
        <v>15</v>
      </c>
      <c r="C337" s="24">
        <v>15270</v>
      </c>
      <c r="D337" s="343"/>
      <c r="E337" s="27"/>
      <c r="F337" s="101"/>
      <c r="G337" s="96"/>
    </row>
    <row r="338" spans="1:9" s="5" customFormat="1" x14ac:dyDescent="0.25">
      <c r="A338" s="11" t="s">
        <v>120</v>
      </c>
      <c r="B338" s="25" t="s">
        <v>121</v>
      </c>
      <c r="C338" s="31">
        <f>SUM(C339:C340)</f>
        <v>78800</v>
      </c>
      <c r="D338" s="343"/>
      <c r="E338" s="27"/>
      <c r="F338" s="101"/>
      <c r="G338" s="96"/>
    </row>
    <row r="339" spans="1:9" s="66" customFormat="1" ht="13.5" customHeight="1" x14ac:dyDescent="0.3">
      <c r="A339" s="59" t="s">
        <v>140</v>
      </c>
      <c r="B339" s="43" t="s">
        <v>141</v>
      </c>
      <c r="C339" s="60">
        <v>50000</v>
      </c>
      <c r="G339" s="60"/>
      <c r="H339" s="57"/>
      <c r="I339" s="57"/>
    </row>
    <row r="340" spans="1:9" s="5" customFormat="1" x14ac:dyDescent="0.25">
      <c r="A340" s="12" t="s">
        <v>136</v>
      </c>
      <c r="B340" s="12" t="s">
        <v>71</v>
      </c>
      <c r="C340" s="24">
        <v>28800</v>
      </c>
      <c r="D340" s="14"/>
      <c r="E340" s="14"/>
      <c r="F340" s="3"/>
      <c r="G340" s="341"/>
    </row>
    <row r="341" spans="1:9" s="5" customFormat="1" x14ac:dyDescent="0.25">
      <c r="A341" s="265" t="s">
        <v>112</v>
      </c>
      <c r="B341" s="11" t="s">
        <v>157</v>
      </c>
      <c r="C341" s="31">
        <f>SUM(C342:C343)</f>
        <v>267200</v>
      </c>
      <c r="D341" s="14"/>
      <c r="E341" s="14"/>
      <c r="F341" s="3"/>
      <c r="G341" s="341"/>
    </row>
    <row r="342" spans="1:9" s="5" customFormat="1" x14ac:dyDescent="0.25">
      <c r="A342" s="72" t="s">
        <v>138</v>
      </c>
      <c r="B342" s="59" t="s">
        <v>878</v>
      </c>
      <c r="C342" s="24">
        <v>7200</v>
      </c>
      <c r="D342" s="31"/>
      <c r="E342" s="14"/>
      <c r="F342" s="14"/>
      <c r="G342" s="349"/>
    </row>
    <row r="343" spans="1:9" s="5" customFormat="1" ht="13.5" customHeight="1" x14ac:dyDescent="0.25">
      <c r="A343" s="72" t="s">
        <v>49</v>
      </c>
      <c r="B343" s="23" t="s">
        <v>87</v>
      </c>
      <c r="C343" s="24">
        <v>260000</v>
      </c>
      <c r="E343" s="14"/>
      <c r="F343" s="147"/>
      <c r="G343" s="24"/>
    </row>
    <row r="344" spans="1:9" s="5" customFormat="1" ht="13.5" customHeight="1" x14ac:dyDescent="0.25">
      <c r="A344" s="265" t="s">
        <v>113</v>
      </c>
      <c r="B344" s="25" t="s">
        <v>114</v>
      </c>
      <c r="C344" s="31">
        <f>SUM(C345:C345)</f>
        <v>33840</v>
      </c>
      <c r="E344" s="14"/>
      <c r="F344" s="14"/>
      <c r="G344" s="24"/>
    </row>
    <row r="345" spans="1:9" s="72" customFormat="1" ht="12.75" customHeight="1" x14ac:dyDescent="0.25">
      <c r="A345" s="72" t="s">
        <v>365</v>
      </c>
      <c r="B345" s="24" t="s">
        <v>366</v>
      </c>
      <c r="C345" s="24">
        <v>33840</v>
      </c>
      <c r="D345" s="590"/>
      <c r="E345" s="590"/>
      <c r="F345" s="605"/>
      <c r="G345" s="594"/>
      <c r="H345" s="590"/>
    </row>
    <row r="346" spans="1:9" ht="12.75" customHeight="1" x14ac:dyDescent="0.25">
      <c r="A346" s="265" t="s">
        <v>115</v>
      </c>
      <c r="B346" s="25" t="s">
        <v>8</v>
      </c>
      <c r="C346" s="31">
        <f>SUM(C347:C349)</f>
        <v>1023750</v>
      </c>
      <c r="D346" s="24"/>
      <c r="E346" s="14"/>
      <c r="F346" s="14"/>
      <c r="G346" s="349"/>
    </row>
    <row r="347" spans="1:9" ht="12.75" customHeight="1" x14ac:dyDescent="0.25">
      <c r="A347" s="72" t="s">
        <v>92</v>
      </c>
      <c r="B347" s="23" t="s">
        <v>8</v>
      </c>
      <c r="C347" s="24">
        <v>923420</v>
      </c>
      <c r="D347" s="31"/>
      <c r="E347" s="14"/>
      <c r="F347" s="147"/>
      <c r="G347" s="341"/>
    </row>
    <row r="348" spans="1:9" ht="12.75" customHeight="1" x14ac:dyDescent="0.25">
      <c r="A348" s="72" t="s">
        <v>94</v>
      </c>
      <c r="B348" s="23" t="s">
        <v>50</v>
      </c>
      <c r="C348" s="24">
        <v>15700</v>
      </c>
      <c r="E348" s="14"/>
      <c r="F348" s="14"/>
      <c r="G348" s="349"/>
    </row>
    <row r="349" spans="1:9" ht="12.75" customHeight="1" x14ac:dyDescent="0.25">
      <c r="A349" s="72" t="s">
        <v>90</v>
      </c>
      <c r="B349" s="23" t="s">
        <v>7</v>
      </c>
      <c r="C349" s="24">
        <v>84630</v>
      </c>
      <c r="D349" s="27"/>
      <c r="E349" s="16"/>
      <c r="F349" s="14"/>
      <c r="G349" s="349"/>
    </row>
    <row r="350" spans="1:9" ht="12.75" customHeight="1" thickBot="1" x14ac:dyDescent="0.3">
      <c r="A350" s="72"/>
      <c r="B350" s="23"/>
      <c r="C350" s="23"/>
      <c r="D350" s="221"/>
      <c r="E350" s="14"/>
      <c r="F350" s="14"/>
      <c r="G350" s="341"/>
    </row>
    <row r="351" spans="1:9" ht="12.75" customHeight="1" thickBot="1" x14ac:dyDescent="0.3">
      <c r="A351" s="1100" t="s">
        <v>4</v>
      </c>
      <c r="B351" s="1101"/>
      <c r="C351" s="670">
        <f>C352+C356</f>
        <v>154400</v>
      </c>
      <c r="G351" s="341"/>
    </row>
    <row r="352" spans="1:9" s="349" customFormat="1" ht="12.75" customHeight="1" x14ac:dyDescent="0.25">
      <c r="A352" s="265" t="s">
        <v>116</v>
      </c>
      <c r="B352" s="265" t="s">
        <v>117</v>
      </c>
      <c r="C352" s="31">
        <f>SUM(C353:C355)</f>
        <v>143600</v>
      </c>
      <c r="D352" s="348"/>
      <c r="E352" s="348"/>
    </row>
    <row r="353" spans="1:8" ht="13.5" customHeight="1" x14ac:dyDescent="0.25">
      <c r="A353" s="72" t="s">
        <v>91</v>
      </c>
      <c r="B353" s="72" t="s">
        <v>139</v>
      </c>
      <c r="C353" s="24">
        <v>76800</v>
      </c>
      <c r="D353" s="28"/>
      <c r="G353" s="341"/>
    </row>
    <row r="354" spans="1:8" s="5" customFormat="1" x14ac:dyDescent="0.25">
      <c r="A354" s="72" t="s">
        <v>57</v>
      </c>
      <c r="B354" s="72" t="s">
        <v>58</v>
      </c>
      <c r="C354" s="24">
        <v>30000</v>
      </c>
      <c r="D354" s="21"/>
      <c r="E354" s="21"/>
      <c r="G354" s="350"/>
    </row>
    <row r="355" spans="1:8" s="8" customFormat="1" ht="13.5" customHeight="1" x14ac:dyDescent="0.25">
      <c r="A355" s="72" t="s">
        <v>814</v>
      </c>
      <c r="B355" s="23" t="s">
        <v>815</v>
      </c>
      <c r="C355" s="24">
        <v>36800</v>
      </c>
      <c r="D355" s="78"/>
      <c r="E355" s="25"/>
      <c r="F355" s="99"/>
      <c r="G355" s="55"/>
      <c r="H355" s="43"/>
    </row>
    <row r="356" spans="1:8" ht="13.5" customHeight="1" x14ac:dyDescent="0.25">
      <c r="A356" s="265" t="s">
        <v>166</v>
      </c>
      <c r="B356" s="25" t="s">
        <v>135</v>
      </c>
      <c r="C356" s="31">
        <f>SUM(C357)</f>
        <v>10800</v>
      </c>
      <c r="G356" s="341"/>
    </row>
    <row r="357" spans="1:8" ht="13.5" customHeight="1" x14ac:dyDescent="0.25">
      <c r="A357" s="72" t="s">
        <v>167</v>
      </c>
      <c r="B357" s="23" t="s">
        <v>51</v>
      </c>
      <c r="C357" s="24">
        <v>10800</v>
      </c>
      <c r="G357" s="341"/>
    </row>
    <row r="358" spans="1:8" ht="12.75" customHeight="1" x14ac:dyDescent="0.25">
      <c r="G358" s="341"/>
    </row>
    <row r="359" spans="1:8" s="5" customFormat="1" ht="13.5" thickBot="1" x14ac:dyDescent="0.3">
      <c r="A359" s="3"/>
      <c r="B359" s="3"/>
      <c r="C359" s="18"/>
      <c r="D359" s="18"/>
      <c r="E359" s="18"/>
      <c r="F359" s="3"/>
      <c r="G359" s="341"/>
    </row>
    <row r="360" spans="1:8" s="5" customFormat="1" x14ac:dyDescent="0.25">
      <c r="A360" s="1117" t="s">
        <v>682</v>
      </c>
      <c r="B360" s="1118"/>
      <c r="C360" s="1119"/>
      <c r="D360" s="692" t="s">
        <v>6</v>
      </c>
      <c r="E360" s="913" t="s">
        <v>644</v>
      </c>
      <c r="F360" s="3"/>
      <c r="G360" s="341"/>
    </row>
    <row r="361" spans="1:8" s="5" customFormat="1" ht="13.5" thickBot="1" x14ac:dyDescent="0.3">
      <c r="A361" s="1120"/>
      <c r="B361" s="1121"/>
      <c r="C361" s="1122"/>
      <c r="D361" s="695"/>
      <c r="E361" s="718"/>
      <c r="F361" s="3"/>
      <c r="G361" s="341"/>
    </row>
    <row r="362" spans="1:8" s="5" customFormat="1" x14ac:dyDescent="0.25">
      <c r="A362" s="1123" t="s">
        <v>915</v>
      </c>
      <c r="B362" s="1124"/>
      <c r="C362" s="1124"/>
      <c r="D362" s="1124"/>
      <c r="E362" s="1125"/>
      <c r="F362" s="3"/>
      <c r="G362" s="341"/>
    </row>
    <row r="363" spans="1:8" s="5" customFormat="1" x14ac:dyDescent="0.25">
      <c r="A363" s="1126"/>
      <c r="B363" s="1127"/>
      <c r="C363" s="1127"/>
      <c r="D363" s="1127"/>
      <c r="E363" s="1128"/>
      <c r="F363" s="3"/>
      <c r="G363" s="341"/>
    </row>
    <row r="364" spans="1:8" s="5" customFormat="1" x14ac:dyDescent="0.25">
      <c r="A364" s="1126"/>
      <c r="B364" s="1127"/>
      <c r="C364" s="1127"/>
      <c r="D364" s="1127"/>
      <c r="E364" s="1128"/>
      <c r="F364" s="3"/>
      <c r="G364" s="341"/>
    </row>
    <row r="365" spans="1:8" s="5" customFormat="1" x14ac:dyDescent="0.25">
      <c r="A365" s="1126"/>
      <c r="B365" s="1127"/>
      <c r="C365" s="1127"/>
      <c r="D365" s="1127"/>
      <c r="E365" s="1128"/>
      <c r="F365" s="3"/>
      <c r="G365" s="341"/>
    </row>
    <row r="366" spans="1:8" s="5" customFormat="1" x14ac:dyDescent="0.25">
      <c r="A366" s="1126"/>
      <c r="B366" s="1127"/>
      <c r="C366" s="1127"/>
      <c r="D366" s="1127"/>
      <c r="E366" s="1128"/>
      <c r="F366" s="3"/>
      <c r="G366" s="341"/>
    </row>
    <row r="367" spans="1:8" s="5" customFormat="1" x14ac:dyDescent="0.25">
      <c r="A367" s="1126"/>
      <c r="B367" s="1127"/>
      <c r="C367" s="1127"/>
      <c r="D367" s="1127"/>
      <c r="E367" s="1128"/>
      <c r="F367" s="3"/>
      <c r="G367" s="341"/>
    </row>
    <row r="368" spans="1:8" s="5" customFormat="1" ht="13.5" thickBot="1" x14ac:dyDescent="0.3">
      <c r="A368" s="1129"/>
      <c r="B368" s="1130"/>
      <c r="C368" s="1130"/>
      <c r="D368" s="1130"/>
      <c r="E368" s="1131"/>
      <c r="F368" s="3"/>
      <c r="G368" s="341"/>
    </row>
    <row r="369" spans="1:8" s="5" customFormat="1" x14ac:dyDescent="0.25">
      <c r="A369" s="41" t="s">
        <v>1029</v>
      </c>
      <c r="B369" s="12"/>
      <c r="C369" s="24"/>
      <c r="D369" s="24"/>
      <c r="E369" s="320"/>
      <c r="F369" s="3"/>
      <c r="G369" s="341"/>
    </row>
    <row r="370" spans="1:8" s="5" customFormat="1" x14ac:dyDescent="0.25">
      <c r="A370" s="41" t="s">
        <v>683</v>
      </c>
      <c r="B370" s="12"/>
      <c r="C370" s="24"/>
      <c r="D370" s="24"/>
      <c r="E370" s="320"/>
      <c r="F370" s="3"/>
      <c r="G370" s="341"/>
    </row>
    <row r="371" spans="1:8" s="72" customFormat="1" ht="13.5" customHeight="1" x14ac:dyDescent="0.25">
      <c r="A371" s="41" t="s">
        <v>1040</v>
      </c>
      <c r="B371" s="12"/>
      <c r="C371" s="24"/>
      <c r="D371" s="24"/>
      <c r="E371" s="320"/>
      <c r="F371" s="3"/>
      <c r="G371" s="341"/>
      <c r="H371" s="12"/>
    </row>
    <row r="372" spans="1:8" s="147" customFormat="1" ht="13.5" thickBot="1" x14ac:dyDescent="0.3">
      <c r="A372" s="41" t="s">
        <v>13</v>
      </c>
      <c r="B372" s="12"/>
      <c r="C372" s="24"/>
      <c r="D372" s="24"/>
      <c r="E372" s="320"/>
      <c r="F372" s="3"/>
      <c r="G372" s="341"/>
    </row>
    <row r="373" spans="1:8" s="147" customFormat="1" ht="13.5" thickBot="1" x14ac:dyDescent="0.3">
      <c r="A373" s="762" t="s">
        <v>14</v>
      </c>
      <c r="B373" s="763"/>
      <c r="C373" s="764"/>
      <c r="D373" s="766"/>
      <c r="E373" s="772">
        <f>+C375+C394+C415</f>
        <v>2743740</v>
      </c>
      <c r="F373" s="3"/>
      <c r="G373" s="88"/>
    </row>
    <row r="374" spans="1:8" s="147" customFormat="1" ht="13.5" thickBot="1" x14ac:dyDescent="0.3">
      <c r="A374" s="11"/>
      <c r="B374" s="11"/>
      <c r="C374" s="31"/>
      <c r="D374" s="31"/>
      <c r="E374" s="592"/>
      <c r="F374" s="344"/>
      <c r="G374" s="349"/>
    </row>
    <row r="375" spans="1:8" s="147" customFormat="1" ht="13.5" thickBot="1" x14ac:dyDescent="0.3">
      <c r="A375" s="1104" t="s">
        <v>2</v>
      </c>
      <c r="B375" s="1105"/>
      <c r="C375" s="667">
        <f>+C378+C380+C382+C388+C390+C376</f>
        <v>424910</v>
      </c>
      <c r="D375" s="18"/>
      <c r="F375" s="344"/>
      <c r="G375" s="341"/>
    </row>
    <row r="376" spans="1:8" s="101" customFormat="1" ht="13.5" customHeight="1" x14ac:dyDescent="0.25">
      <c r="A376" s="11" t="s">
        <v>103</v>
      </c>
      <c r="B376" s="298" t="s">
        <v>104</v>
      </c>
      <c r="C376" s="32">
        <f>SUM(C377)</f>
        <v>62530</v>
      </c>
      <c r="D376" s="348"/>
      <c r="F376" s="346"/>
      <c r="G376" s="349"/>
    </row>
    <row r="377" spans="1:8" s="72" customFormat="1" ht="13.5" customHeight="1" x14ac:dyDescent="0.25">
      <c r="A377" s="12" t="s">
        <v>46</v>
      </c>
      <c r="B377" s="72" t="s">
        <v>45</v>
      </c>
      <c r="C377" s="24">
        <v>62530</v>
      </c>
      <c r="E377" s="31"/>
      <c r="F377" s="96"/>
      <c r="G377" s="96"/>
      <c r="H377" s="12"/>
    </row>
    <row r="378" spans="1:8" s="147" customFormat="1" x14ac:dyDescent="0.25">
      <c r="A378" s="11" t="s">
        <v>105</v>
      </c>
      <c r="B378" s="265" t="s">
        <v>106</v>
      </c>
      <c r="C378" s="31">
        <f>SUM(C379)</f>
        <v>43200</v>
      </c>
      <c r="F378" s="346"/>
      <c r="G378" s="18"/>
    </row>
    <row r="379" spans="1:8" s="147" customFormat="1" x14ac:dyDescent="0.25">
      <c r="A379" s="12" t="s">
        <v>86</v>
      </c>
      <c r="B379" s="72" t="s">
        <v>66</v>
      </c>
      <c r="C379" s="24">
        <v>43200</v>
      </c>
      <c r="E379" s="18"/>
      <c r="F379" s="3"/>
      <c r="G379" s="18"/>
    </row>
    <row r="380" spans="1:8" s="147" customFormat="1" x14ac:dyDescent="0.25">
      <c r="A380" s="11" t="s">
        <v>107</v>
      </c>
      <c r="B380" s="265" t="s">
        <v>108</v>
      </c>
      <c r="C380" s="31">
        <f>SUM(C381)</f>
        <v>198620</v>
      </c>
      <c r="E380" s="18"/>
      <c r="F380" s="3"/>
      <c r="G380" s="18"/>
    </row>
    <row r="381" spans="1:8" s="147" customFormat="1" x14ac:dyDescent="0.25">
      <c r="A381" s="12" t="s">
        <v>47</v>
      </c>
      <c r="B381" s="23" t="s">
        <v>48</v>
      </c>
      <c r="C381" s="24">
        <v>198620</v>
      </c>
      <c r="E381" s="18"/>
      <c r="F381" s="3"/>
      <c r="G381" s="18"/>
    </row>
    <row r="382" spans="1:8" s="147" customFormat="1" x14ac:dyDescent="0.25">
      <c r="A382" s="265" t="s">
        <v>119</v>
      </c>
      <c r="B382" s="25" t="s">
        <v>109</v>
      </c>
      <c r="C382" s="31">
        <f>SUM(C383:C387)</f>
        <v>91700</v>
      </c>
      <c r="E382" s="18"/>
      <c r="F382" s="3"/>
      <c r="G382" s="18"/>
    </row>
    <row r="383" spans="1:8" s="147" customFormat="1" x14ac:dyDescent="0.25">
      <c r="A383" s="72" t="s">
        <v>150</v>
      </c>
      <c r="B383" s="23" t="s">
        <v>69</v>
      </c>
      <c r="C383" s="24">
        <v>10800</v>
      </c>
      <c r="D383" s="18"/>
      <c r="E383" s="18"/>
      <c r="F383" s="3"/>
      <c r="G383" s="341"/>
    </row>
    <row r="384" spans="1:8" s="147" customFormat="1" x14ac:dyDescent="0.25">
      <c r="A384" s="72" t="s">
        <v>697</v>
      </c>
      <c r="B384" s="43" t="s">
        <v>696</v>
      </c>
      <c r="C384" s="24">
        <v>10900</v>
      </c>
      <c r="D384" s="18"/>
      <c r="E384" s="18"/>
      <c r="F384" s="3"/>
      <c r="G384" s="341"/>
    </row>
    <row r="385" spans="1:12" s="66" customFormat="1" x14ac:dyDescent="0.3">
      <c r="A385" s="72" t="s">
        <v>816</v>
      </c>
      <c r="B385" s="24" t="s">
        <v>810</v>
      </c>
      <c r="C385" s="24">
        <v>17000</v>
      </c>
      <c r="D385" s="78"/>
      <c r="E385" s="25"/>
    </row>
    <row r="386" spans="1:12" s="66" customFormat="1" x14ac:dyDescent="0.3">
      <c r="A386" s="72" t="s">
        <v>820</v>
      </c>
      <c r="B386" s="24" t="s">
        <v>821</v>
      </c>
      <c r="C386" s="24">
        <v>35000</v>
      </c>
      <c r="D386" s="78"/>
      <c r="E386" s="25"/>
    </row>
    <row r="387" spans="1:12" s="66" customFormat="1" x14ac:dyDescent="0.3">
      <c r="A387" s="72" t="s">
        <v>811</v>
      </c>
      <c r="B387" s="24" t="s">
        <v>812</v>
      </c>
      <c r="C387" s="24">
        <v>18000</v>
      </c>
      <c r="D387" s="78"/>
      <c r="E387" s="25"/>
    </row>
    <row r="388" spans="1:12" s="147" customFormat="1" x14ac:dyDescent="0.25">
      <c r="A388" s="265" t="s">
        <v>124</v>
      </c>
      <c r="B388" s="25" t="s">
        <v>123</v>
      </c>
      <c r="C388" s="31">
        <f>SUM(C389)</f>
        <v>9000</v>
      </c>
      <c r="D388" s="18"/>
      <c r="E388" s="18"/>
      <c r="F388" s="3"/>
      <c r="G388" s="341"/>
    </row>
    <row r="389" spans="1:12" s="147" customFormat="1" x14ac:dyDescent="0.25">
      <c r="A389" s="72" t="s">
        <v>93</v>
      </c>
      <c r="B389" s="23" t="s">
        <v>72</v>
      </c>
      <c r="C389" s="24">
        <v>9000</v>
      </c>
      <c r="D389" s="18"/>
      <c r="E389" s="18"/>
      <c r="F389" s="3"/>
      <c r="G389" s="341"/>
      <c r="H389" s="5"/>
      <c r="I389" s="5"/>
      <c r="J389" s="5"/>
      <c r="K389" s="5"/>
      <c r="L389" s="5"/>
    </row>
    <row r="390" spans="1:12" s="147" customFormat="1" x14ac:dyDescent="0.25">
      <c r="A390" s="265" t="s">
        <v>151</v>
      </c>
      <c r="B390" s="25" t="s">
        <v>125</v>
      </c>
      <c r="C390" s="31">
        <f>SUM(C391:C392)</f>
        <v>19860</v>
      </c>
      <c r="D390" s="18"/>
      <c r="E390" s="18"/>
      <c r="F390" s="3"/>
      <c r="G390" s="341"/>
      <c r="H390" s="5"/>
      <c r="I390" s="5"/>
      <c r="J390" s="5"/>
      <c r="K390" s="5"/>
      <c r="L390" s="5"/>
    </row>
    <row r="391" spans="1:12" s="5" customFormat="1" x14ac:dyDescent="0.25">
      <c r="A391" s="72" t="s">
        <v>152</v>
      </c>
      <c r="B391" s="23" t="s">
        <v>65</v>
      </c>
      <c r="C391" s="24">
        <v>9820</v>
      </c>
      <c r="D391" s="96"/>
      <c r="E391" s="25"/>
      <c r="F391" s="101"/>
      <c r="G391" s="96"/>
    </row>
    <row r="392" spans="1:12" s="5" customFormat="1" x14ac:dyDescent="0.25">
      <c r="A392" s="72" t="s">
        <v>155</v>
      </c>
      <c r="B392" s="23" t="s">
        <v>133</v>
      </c>
      <c r="C392" s="24">
        <v>10040</v>
      </c>
      <c r="D392" s="18"/>
      <c r="E392" s="18"/>
      <c r="F392" s="3"/>
      <c r="G392" s="341"/>
    </row>
    <row r="393" spans="1:12" s="5" customFormat="1" ht="13.5" thickBot="1" x14ac:dyDescent="0.3">
      <c r="A393" s="72"/>
      <c r="B393" s="23"/>
      <c r="C393" s="24"/>
      <c r="D393" s="18"/>
      <c r="E393" s="18"/>
      <c r="F393" s="3"/>
      <c r="G393" s="341"/>
    </row>
    <row r="394" spans="1:12" s="5" customFormat="1" ht="13.5" thickBot="1" x14ac:dyDescent="0.3">
      <c r="A394" s="1096" t="s">
        <v>3</v>
      </c>
      <c r="B394" s="1097"/>
      <c r="C394" s="668">
        <f>C395+C397+C400+C403+C407+C410</f>
        <v>2213680</v>
      </c>
      <c r="D394" s="18"/>
      <c r="E394" s="364"/>
      <c r="F394" s="3"/>
      <c r="G394" s="341"/>
    </row>
    <row r="395" spans="1:12" s="351" customFormat="1" x14ac:dyDescent="0.25">
      <c r="A395" s="11" t="s">
        <v>110</v>
      </c>
      <c r="B395" s="11" t="s">
        <v>111</v>
      </c>
      <c r="C395" s="32">
        <f>SUM(C396)</f>
        <v>98020</v>
      </c>
      <c r="D395" s="348"/>
      <c r="E395" s="376"/>
      <c r="F395" s="349"/>
      <c r="G395" s="349"/>
    </row>
    <row r="396" spans="1:12" s="5" customFormat="1" x14ac:dyDescent="0.25">
      <c r="A396" s="12" t="s">
        <v>52</v>
      </c>
      <c r="B396" s="12" t="s">
        <v>15</v>
      </c>
      <c r="C396" s="24">
        <v>98020</v>
      </c>
      <c r="D396" s="343"/>
      <c r="E396" s="27"/>
      <c r="F396" s="101"/>
      <c r="G396" s="96"/>
    </row>
    <row r="397" spans="1:12" s="5" customFormat="1" x14ac:dyDescent="0.25">
      <c r="A397" s="11" t="s">
        <v>120</v>
      </c>
      <c r="B397" s="25" t="s">
        <v>121</v>
      </c>
      <c r="C397" s="31">
        <f>SUM(C398:C399)</f>
        <v>64000</v>
      </c>
      <c r="D397" s="343"/>
      <c r="E397" s="27"/>
      <c r="F397" s="101"/>
      <c r="G397" s="96"/>
    </row>
    <row r="398" spans="1:12" s="66" customFormat="1" ht="13.5" customHeight="1" x14ac:dyDescent="0.3">
      <c r="A398" s="59" t="s">
        <v>140</v>
      </c>
      <c r="B398" s="43" t="s">
        <v>141</v>
      </c>
      <c r="C398" s="60">
        <v>50000</v>
      </c>
      <c r="G398" s="60"/>
      <c r="H398" s="57"/>
      <c r="I398" s="57"/>
    </row>
    <row r="399" spans="1:12" s="5" customFormat="1" x14ac:dyDescent="0.25">
      <c r="A399" s="12" t="s">
        <v>136</v>
      </c>
      <c r="B399" s="12" t="s">
        <v>71</v>
      </c>
      <c r="C399" s="24">
        <v>14000</v>
      </c>
      <c r="D399" s="14"/>
      <c r="E399" s="14"/>
      <c r="F399" s="3"/>
      <c r="G399" s="341"/>
    </row>
    <row r="400" spans="1:12" s="5" customFormat="1" x14ac:dyDescent="0.25">
      <c r="A400" s="265" t="s">
        <v>112</v>
      </c>
      <c r="B400" s="11" t="s">
        <v>157</v>
      </c>
      <c r="C400" s="31">
        <f>SUM(C401:C402)</f>
        <v>145900</v>
      </c>
      <c r="D400" s="14"/>
      <c r="E400" s="14"/>
      <c r="F400" s="3"/>
      <c r="G400" s="341"/>
    </row>
    <row r="401" spans="1:7" s="5" customFormat="1" x14ac:dyDescent="0.25">
      <c r="A401" s="72" t="s">
        <v>138</v>
      </c>
      <c r="B401" s="59" t="s">
        <v>878</v>
      </c>
      <c r="C401" s="24">
        <v>10500</v>
      </c>
      <c r="D401" s="31"/>
      <c r="E401" s="14"/>
      <c r="F401" s="14"/>
      <c r="G401" s="349"/>
    </row>
    <row r="402" spans="1:7" s="5" customFormat="1" ht="13.5" customHeight="1" x14ac:dyDescent="0.25">
      <c r="A402" s="72" t="s">
        <v>49</v>
      </c>
      <c r="B402" s="23" t="s">
        <v>87</v>
      </c>
      <c r="C402" s="24">
        <v>135400</v>
      </c>
      <c r="E402" s="14"/>
      <c r="F402" s="14"/>
      <c r="G402" s="24"/>
    </row>
    <row r="403" spans="1:7" s="5" customFormat="1" ht="13.5" customHeight="1" x14ac:dyDescent="0.25">
      <c r="A403" s="265" t="s">
        <v>113</v>
      </c>
      <c r="B403" s="25" t="s">
        <v>114</v>
      </c>
      <c r="C403" s="31">
        <f>SUM(C404:C406)</f>
        <v>1160070</v>
      </c>
      <c r="E403" s="14"/>
      <c r="F403" s="14"/>
      <c r="G403" s="24"/>
    </row>
    <row r="404" spans="1:7" s="5" customFormat="1" x14ac:dyDescent="0.25">
      <c r="A404" s="72" t="s">
        <v>164</v>
      </c>
      <c r="B404" s="12" t="s">
        <v>74</v>
      </c>
      <c r="C404" s="24">
        <v>1119600</v>
      </c>
      <c r="E404" s="14"/>
      <c r="F404" s="24"/>
      <c r="G404" s="24"/>
    </row>
    <row r="405" spans="1:7" ht="14.25" customHeight="1" x14ac:dyDescent="0.25">
      <c r="A405" s="72" t="s">
        <v>88</v>
      </c>
      <c r="B405" s="23" t="s">
        <v>64</v>
      </c>
      <c r="C405" s="24">
        <v>25350</v>
      </c>
      <c r="E405" s="14"/>
      <c r="F405" s="14"/>
      <c r="G405" s="24"/>
    </row>
    <row r="406" spans="1:7" s="72" customFormat="1" ht="12.75" customHeight="1" x14ac:dyDescent="0.25">
      <c r="A406" s="72" t="s">
        <v>365</v>
      </c>
      <c r="B406" s="24" t="s">
        <v>366</v>
      </c>
      <c r="C406" s="24">
        <v>15120</v>
      </c>
      <c r="G406" s="370"/>
    </row>
    <row r="407" spans="1:7" ht="14.25" customHeight="1" x14ac:dyDescent="0.25">
      <c r="A407" s="265" t="s">
        <v>367</v>
      </c>
      <c r="B407" s="25" t="s">
        <v>368</v>
      </c>
      <c r="C407" s="31">
        <f>SUM(C408:C409)</f>
        <v>470000</v>
      </c>
      <c r="E407" s="14"/>
      <c r="F407" s="14"/>
      <c r="G407" s="24"/>
    </row>
    <row r="408" spans="1:7" ht="13.5" customHeight="1" x14ac:dyDescent="0.25">
      <c r="A408" s="72" t="s">
        <v>369</v>
      </c>
      <c r="B408" s="12" t="s">
        <v>370</v>
      </c>
      <c r="C408" s="24">
        <v>20000</v>
      </c>
      <c r="E408" s="14"/>
      <c r="F408" s="14"/>
      <c r="G408" s="18"/>
    </row>
    <row r="409" spans="1:7" s="1" customFormat="1" ht="12.75" customHeight="1" x14ac:dyDescent="0.25">
      <c r="A409" s="12" t="s">
        <v>371</v>
      </c>
      <c r="B409" s="12" t="s">
        <v>372</v>
      </c>
      <c r="C409" s="24">
        <v>450000</v>
      </c>
      <c r="D409" s="14"/>
      <c r="E409" s="14"/>
      <c r="F409" s="24"/>
      <c r="G409" s="24"/>
    </row>
    <row r="410" spans="1:7" ht="12.75" customHeight="1" x14ac:dyDescent="0.25">
      <c r="A410" s="265" t="s">
        <v>115</v>
      </c>
      <c r="B410" s="25" t="s">
        <v>8</v>
      </c>
      <c r="C410" s="31">
        <f>SUM(C411:C413)</f>
        <v>275690</v>
      </c>
      <c r="D410" s="24"/>
      <c r="E410" s="14"/>
      <c r="F410" s="14"/>
      <c r="G410" s="349"/>
    </row>
    <row r="411" spans="1:7" ht="12.75" customHeight="1" x14ac:dyDescent="0.25">
      <c r="A411" s="72" t="s">
        <v>92</v>
      </c>
      <c r="B411" s="23" t="s">
        <v>8</v>
      </c>
      <c r="C411" s="24">
        <v>197000</v>
      </c>
      <c r="D411" s="31"/>
      <c r="E411" s="14"/>
      <c r="F411" s="14"/>
      <c r="G411" s="341"/>
    </row>
    <row r="412" spans="1:7" ht="12.75" customHeight="1" x14ac:dyDescent="0.25">
      <c r="A412" s="72" t="s">
        <v>94</v>
      </c>
      <c r="B412" s="23" t="s">
        <v>50</v>
      </c>
      <c r="C412" s="24">
        <v>17760</v>
      </c>
      <c r="E412" s="14"/>
      <c r="F412" s="14"/>
      <c r="G412" s="349"/>
    </row>
    <row r="413" spans="1:7" ht="12.75" customHeight="1" x14ac:dyDescent="0.25">
      <c r="A413" s="72" t="s">
        <v>90</v>
      </c>
      <c r="B413" s="23" t="s">
        <v>7</v>
      </c>
      <c r="C413" s="24">
        <v>60930</v>
      </c>
      <c r="D413" s="27"/>
      <c r="E413" s="16"/>
      <c r="F413" s="14"/>
      <c r="G413" s="349"/>
    </row>
    <row r="414" spans="1:7" ht="12.75" customHeight="1" thickBot="1" x14ac:dyDescent="0.3">
      <c r="A414" s="72"/>
      <c r="B414" s="23"/>
      <c r="C414" s="23"/>
      <c r="D414" s="221"/>
      <c r="E414" s="14"/>
      <c r="F414" s="14"/>
      <c r="G414" s="341"/>
    </row>
    <row r="415" spans="1:7" ht="12.75" customHeight="1" thickBot="1" x14ac:dyDescent="0.3">
      <c r="A415" s="1100" t="s">
        <v>4</v>
      </c>
      <c r="B415" s="1101"/>
      <c r="C415" s="670">
        <f>C416+C420</f>
        <v>105150</v>
      </c>
      <c r="G415" s="341"/>
    </row>
    <row r="416" spans="1:7" s="349" customFormat="1" ht="12.75" customHeight="1" x14ac:dyDescent="0.25">
      <c r="A416" s="265" t="s">
        <v>116</v>
      </c>
      <c r="B416" s="265" t="s">
        <v>117</v>
      </c>
      <c r="C416" s="31">
        <f>SUM(C417:C419)</f>
        <v>87000</v>
      </c>
      <c r="D416" s="348"/>
      <c r="E416" s="348"/>
    </row>
    <row r="417" spans="1:8" ht="13.5" customHeight="1" x14ac:dyDescent="0.25">
      <c r="A417" s="72" t="s">
        <v>91</v>
      </c>
      <c r="B417" s="72" t="s">
        <v>139</v>
      </c>
      <c r="C417" s="24">
        <v>40000</v>
      </c>
      <c r="D417" s="28"/>
      <c r="G417" s="341"/>
    </row>
    <row r="418" spans="1:8" s="5" customFormat="1" x14ac:dyDescent="0.25">
      <c r="A418" s="72" t="s">
        <v>57</v>
      </c>
      <c r="B418" s="72" t="s">
        <v>58</v>
      </c>
      <c r="C418" s="24">
        <v>30000</v>
      </c>
      <c r="D418" s="21"/>
      <c r="E418" s="21"/>
      <c r="G418" s="350"/>
    </row>
    <row r="419" spans="1:8" s="8" customFormat="1" ht="13.5" customHeight="1" x14ac:dyDescent="0.25">
      <c r="A419" s="72" t="s">
        <v>814</v>
      </c>
      <c r="B419" s="23" t="s">
        <v>815</v>
      </c>
      <c r="C419" s="24">
        <v>17000</v>
      </c>
      <c r="D419" s="78"/>
      <c r="E419" s="25"/>
      <c r="F419" s="99"/>
      <c r="G419" s="55"/>
      <c r="H419" s="43"/>
    </row>
    <row r="420" spans="1:8" ht="13.5" customHeight="1" x14ac:dyDescent="0.25">
      <c r="A420" s="265" t="s">
        <v>166</v>
      </c>
      <c r="B420" s="25" t="s">
        <v>135</v>
      </c>
      <c r="C420" s="31">
        <f>SUM(C421)</f>
        <v>18150</v>
      </c>
      <c r="G420" s="341"/>
    </row>
    <row r="421" spans="1:8" ht="13.5" customHeight="1" x14ac:dyDescent="0.25">
      <c r="A421" s="72" t="s">
        <v>167</v>
      </c>
      <c r="B421" s="23" t="s">
        <v>51</v>
      </c>
      <c r="C421" s="24">
        <v>18150</v>
      </c>
      <c r="G421" s="341"/>
    </row>
    <row r="422" spans="1:8" ht="12.75" customHeight="1" x14ac:dyDescent="0.25">
      <c r="G422" s="341"/>
    </row>
    <row r="423" spans="1:8" s="130" customFormat="1" ht="12.75" customHeight="1" thickBot="1" x14ac:dyDescent="0.3">
      <c r="A423" s="3"/>
      <c r="B423" s="3"/>
      <c r="C423" s="18"/>
      <c r="D423" s="18"/>
      <c r="E423" s="18"/>
      <c r="F423" s="3"/>
      <c r="G423" s="341"/>
    </row>
    <row r="424" spans="1:8" s="130" customFormat="1" ht="12.75" customHeight="1" x14ac:dyDescent="0.25">
      <c r="A424" s="1117" t="s">
        <v>374</v>
      </c>
      <c r="B424" s="1118"/>
      <c r="C424" s="1119"/>
      <c r="D424" s="692" t="s">
        <v>6</v>
      </c>
      <c r="E424" s="913" t="s">
        <v>390</v>
      </c>
      <c r="F424" s="3"/>
      <c r="G424" s="341"/>
    </row>
    <row r="425" spans="1:8" s="130" customFormat="1" ht="12.75" customHeight="1" thickBot="1" x14ac:dyDescent="0.3">
      <c r="A425" s="1120"/>
      <c r="B425" s="1121"/>
      <c r="C425" s="1122"/>
      <c r="D425" s="734"/>
      <c r="E425" s="735"/>
      <c r="F425" s="3"/>
      <c r="G425" s="341"/>
    </row>
    <row r="426" spans="1:8" s="130" customFormat="1" ht="12.75" customHeight="1" x14ac:dyDescent="0.25">
      <c r="A426" s="1123" t="s">
        <v>916</v>
      </c>
      <c r="B426" s="1124"/>
      <c r="C426" s="1124"/>
      <c r="D426" s="1124"/>
      <c r="E426" s="1125"/>
      <c r="F426" s="3"/>
      <c r="G426" s="341"/>
    </row>
    <row r="427" spans="1:8" s="130" customFormat="1" ht="12.75" customHeight="1" x14ac:dyDescent="0.25">
      <c r="A427" s="1126"/>
      <c r="B427" s="1127"/>
      <c r="C427" s="1127"/>
      <c r="D427" s="1127"/>
      <c r="E427" s="1128"/>
      <c r="F427" s="3"/>
      <c r="G427" s="341"/>
    </row>
    <row r="428" spans="1:8" s="130" customFormat="1" ht="12.75" customHeight="1" x14ac:dyDescent="0.25">
      <c r="A428" s="1126"/>
      <c r="B428" s="1127"/>
      <c r="C428" s="1127"/>
      <c r="D428" s="1127"/>
      <c r="E428" s="1128"/>
      <c r="F428" s="3"/>
      <c r="G428" s="341"/>
    </row>
    <row r="429" spans="1:8" s="130" customFormat="1" ht="12.75" customHeight="1" thickBot="1" x14ac:dyDescent="0.3">
      <c r="A429" s="1129"/>
      <c r="B429" s="1130"/>
      <c r="C429" s="1130"/>
      <c r="D429" s="1130"/>
      <c r="E429" s="1131"/>
      <c r="F429" s="3"/>
      <c r="G429" s="341"/>
    </row>
    <row r="430" spans="1:8" s="5" customFormat="1" x14ac:dyDescent="0.25">
      <c r="A430" s="41" t="s">
        <v>1029</v>
      </c>
      <c r="B430" s="12"/>
      <c r="C430" s="24"/>
      <c r="D430" s="24"/>
      <c r="E430" s="320"/>
      <c r="F430" s="3"/>
      <c r="G430" s="341"/>
    </row>
    <row r="431" spans="1:8" s="5" customFormat="1" x14ac:dyDescent="0.25">
      <c r="A431" s="41" t="s">
        <v>376</v>
      </c>
      <c r="B431" s="12"/>
      <c r="C431" s="24"/>
      <c r="D431" s="24"/>
      <c r="E431" s="320"/>
      <c r="F431" s="3"/>
      <c r="G431" s="341"/>
    </row>
    <row r="432" spans="1:8" s="5" customFormat="1" x14ac:dyDescent="0.25">
      <c r="A432" s="41" t="s">
        <v>1040</v>
      </c>
      <c r="B432" s="12"/>
      <c r="C432" s="24"/>
      <c r="D432" s="24"/>
      <c r="E432" s="320"/>
      <c r="F432" s="3"/>
      <c r="G432" s="341"/>
    </row>
    <row r="433" spans="1:8" s="5" customFormat="1" ht="13.5" thickBot="1" x14ac:dyDescent="0.3">
      <c r="A433" s="76" t="s">
        <v>13</v>
      </c>
      <c r="B433" s="140"/>
      <c r="C433" s="377"/>
      <c r="D433" s="377"/>
      <c r="E433" s="378"/>
      <c r="F433" s="3"/>
      <c r="G433" s="341"/>
    </row>
    <row r="434" spans="1:8" s="5" customFormat="1" ht="13.5" thickBot="1" x14ac:dyDescent="0.3">
      <c r="A434" s="762" t="s">
        <v>14</v>
      </c>
      <c r="B434" s="763"/>
      <c r="C434" s="764"/>
      <c r="D434" s="766"/>
      <c r="E434" s="772">
        <f>C436+C456+C475</f>
        <v>8543640</v>
      </c>
      <c r="F434" s="3"/>
      <c r="G434" s="88"/>
    </row>
    <row r="435" spans="1:8" s="5" customFormat="1" ht="13.5" thickBot="1" x14ac:dyDescent="0.3">
      <c r="A435" s="11"/>
      <c r="B435" s="11"/>
      <c r="C435" s="31"/>
      <c r="D435" s="31"/>
      <c r="F435" s="344"/>
      <c r="G435" s="341"/>
    </row>
    <row r="436" spans="1:8" s="5" customFormat="1" ht="13.5" thickBot="1" x14ac:dyDescent="0.3">
      <c r="A436" s="1104" t="s">
        <v>2</v>
      </c>
      <c r="B436" s="1105"/>
      <c r="C436" s="667">
        <f>+C439+C441+C443+C449+C452+C437</f>
        <v>358080</v>
      </c>
      <c r="D436" s="21"/>
      <c r="F436" s="344"/>
      <c r="G436" s="341"/>
    </row>
    <row r="437" spans="1:8" s="101" customFormat="1" ht="13.5" customHeight="1" x14ac:dyDescent="0.25">
      <c r="A437" s="11" t="s">
        <v>103</v>
      </c>
      <c r="B437" s="298" t="s">
        <v>104</v>
      </c>
      <c r="C437" s="32">
        <f>SUM(C438)</f>
        <v>39370</v>
      </c>
      <c r="D437" s="348"/>
      <c r="G437" s="349"/>
    </row>
    <row r="438" spans="1:8" s="72" customFormat="1" ht="13.5" customHeight="1" x14ac:dyDescent="0.25">
      <c r="A438" s="12" t="s">
        <v>46</v>
      </c>
      <c r="B438" s="72" t="s">
        <v>45</v>
      </c>
      <c r="C438" s="24">
        <v>39370</v>
      </c>
      <c r="D438" s="96"/>
      <c r="F438" s="96"/>
      <c r="G438" s="96"/>
      <c r="H438" s="12"/>
    </row>
    <row r="439" spans="1:8" s="5" customFormat="1" x14ac:dyDescent="0.25">
      <c r="A439" s="11" t="s">
        <v>105</v>
      </c>
      <c r="B439" s="265" t="s">
        <v>106</v>
      </c>
      <c r="C439" s="31">
        <f>SUM(C440)</f>
        <v>8250</v>
      </c>
      <c r="D439" s="21"/>
      <c r="F439" s="346"/>
      <c r="G439" s="341"/>
    </row>
    <row r="440" spans="1:8" s="5" customFormat="1" x14ac:dyDescent="0.25">
      <c r="A440" s="12" t="s">
        <v>86</v>
      </c>
      <c r="B440" s="72" t="s">
        <v>66</v>
      </c>
      <c r="C440" s="24">
        <v>8250</v>
      </c>
      <c r="D440" s="21"/>
      <c r="E440" s="18"/>
      <c r="F440" s="3"/>
      <c r="G440" s="341"/>
    </row>
    <row r="441" spans="1:8" s="5" customFormat="1" x14ac:dyDescent="0.25">
      <c r="A441" s="11" t="s">
        <v>107</v>
      </c>
      <c r="B441" s="265" t="s">
        <v>108</v>
      </c>
      <c r="C441" s="31">
        <f>SUM(C442)</f>
        <v>113510</v>
      </c>
      <c r="D441" s="21"/>
      <c r="E441" s="18"/>
      <c r="F441" s="3"/>
      <c r="G441" s="341"/>
    </row>
    <row r="442" spans="1:8" s="5" customFormat="1" x14ac:dyDescent="0.25">
      <c r="A442" s="12" t="s">
        <v>47</v>
      </c>
      <c r="B442" s="23" t="s">
        <v>48</v>
      </c>
      <c r="C442" s="24">
        <v>113510</v>
      </c>
      <c r="D442" s="21"/>
      <c r="E442" s="18"/>
      <c r="F442" s="3"/>
      <c r="G442" s="341"/>
    </row>
    <row r="443" spans="1:8" s="5" customFormat="1" x14ac:dyDescent="0.25">
      <c r="A443" s="265" t="s">
        <v>119</v>
      </c>
      <c r="B443" s="25" t="s">
        <v>109</v>
      </c>
      <c r="C443" s="31">
        <f>SUM(C444:C448)</f>
        <v>111020</v>
      </c>
      <c r="D443" s="21"/>
      <c r="E443" s="18"/>
      <c r="F443" s="3"/>
      <c r="G443" s="341"/>
    </row>
    <row r="444" spans="1:8" s="5" customFormat="1" x14ac:dyDescent="0.25">
      <c r="A444" s="72" t="s">
        <v>150</v>
      </c>
      <c r="B444" s="23" t="s">
        <v>69</v>
      </c>
      <c r="C444" s="24">
        <v>16800</v>
      </c>
      <c r="D444" s="21"/>
      <c r="E444" s="18"/>
      <c r="F444" s="3"/>
      <c r="G444" s="341"/>
    </row>
    <row r="445" spans="1:8" s="147" customFormat="1" x14ac:dyDescent="0.25">
      <c r="A445" s="72" t="s">
        <v>697</v>
      </c>
      <c r="B445" s="43" t="s">
        <v>696</v>
      </c>
      <c r="C445" s="24">
        <v>16320</v>
      </c>
      <c r="D445" s="18"/>
      <c r="E445" s="18"/>
      <c r="F445" s="3"/>
      <c r="G445" s="341"/>
    </row>
    <row r="446" spans="1:8" s="66" customFormat="1" x14ac:dyDescent="0.3">
      <c r="A446" s="72" t="s">
        <v>816</v>
      </c>
      <c r="B446" s="24" t="s">
        <v>810</v>
      </c>
      <c r="C446" s="24">
        <v>20400</v>
      </c>
      <c r="D446" s="78"/>
      <c r="E446" s="25"/>
    </row>
    <row r="447" spans="1:8" s="66" customFormat="1" x14ac:dyDescent="0.3">
      <c r="A447" s="72" t="s">
        <v>820</v>
      </c>
      <c r="B447" s="24" t="s">
        <v>821</v>
      </c>
      <c r="C447" s="24">
        <v>35000</v>
      </c>
      <c r="D447" s="78"/>
      <c r="E447" s="25"/>
    </row>
    <row r="448" spans="1:8" s="66" customFormat="1" x14ac:dyDescent="0.3">
      <c r="A448" s="72" t="s">
        <v>811</v>
      </c>
      <c r="B448" s="24" t="s">
        <v>812</v>
      </c>
      <c r="C448" s="24">
        <v>22500</v>
      </c>
      <c r="D448" s="78"/>
      <c r="E448" s="25"/>
    </row>
    <row r="449" spans="1:12" s="5" customFormat="1" x14ac:dyDescent="0.25">
      <c r="A449" s="265" t="s">
        <v>124</v>
      </c>
      <c r="B449" s="25" t="s">
        <v>123</v>
      </c>
      <c r="C449" s="31">
        <f>SUM(C450:C451)</f>
        <v>57500</v>
      </c>
      <c r="D449" s="21"/>
      <c r="E449" s="18"/>
      <c r="F449" s="3"/>
      <c r="G449" s="341"/>
    </row>
    <row r="450" spans="1:12" s="66" customFormat="1" x14ac:dyDescent="0.3">
      <c r="A450" s="12" t="s">
        <v>230</v>
      </c>
      <c r="B450" s="43" t="s">
        <v>229</v>
      </c>
      <c r="C450" s="24">
        <v>42500</v>
      </c>
      <c r="D450" s="57"/>
      <c r="E450" s="57"/>
    </row>
    <row r="451" spans="1:12" s="5" customFormat="1" x14ac:dyDescent="0.25">
      <c r="A451" s="72" t="s">
        <v>93</v>
      </c>
      <c r="B451" s="23" t="s">
        <v>72</v>
      </c>
      <c r="C451" s="24">
        <v>15000</v>
      </c>
      <c r="D451" s="21"/>
      <c r="E451" s="18"/>
      <c r="F451" s="3"/>
      <c r="G451" s="341"/>
      <c r="H451" s="12"/>
      <c r="I451" s="72"/>
      <c r="J451" s="72"/>
      <c r="K451" s="72"/>
      <c r="L451" s="72"/>
    </row>
    <row r="452" spans="1:12" s="5" customFormat="1" x14ac:dyDescent="0.25">
      <c r="A452" s="265" t="s">
        <v>151</v>
      </c>
      <c r="B452" s="25" t="s">
        <v>125</v>
      </c>
      <c r="C452" s="31">
        <f>SUM(C453:C454)</f>
        <v>28430</v>
      </c>
      <c r="D452" s="21"/>
      <c r="E452" s="18"/>
      <c r="F452" s="3"/>
      <c r="G452" s="341"/>
      <c r="H452" s="12"/>
      <c r="I452" s="72"/>
      <c r="J452" s="72"/>
      <c r="K452" s="72"/>
      <c r="L452" s="72"/>
    </row>
    <row r="453" spans="1:12" s="5" customFormat="1" x14ac:dyDescent="0.25">
      <c r="A453" s="72" t="s">
        <v>152</v>
      </c>
      <c r="B453" s="23" t="s">
        <v>65</v>
      </c>
      <c r="C453" s="24">
        <v>9380</v>
      </c>
      <c r="D453" s="96"/>
      <c r="E453" s="25"/>
      <c r="F453" s="101"/>
      <c r="G453" s="96"/>
    </row>
    <row r="454" spans="1:12" s="147" customFormat="1" x14ac:dyDescent="0.25">
      <c r="A454" s="72" t="s">
        <v>155</v>
      </c>
      <c r="B454" s="23" t="s">
        <v>133</v>
      </c>
      <c r="C454" s="24">
        <v>19050</v>
      </c>
      <c r="D454" s="21"/>
      <c r="E454" s="18"/>
      <c r="F454" s="3"/>
      <c r="G454" s="341"/>
    </row>
    <row r="455" spans="1:12" s="147" customFormat="1" ht="13.5" thickBot="1" x14ac:dyDescent="0.3">
      <c r="A455" s="72"/>
      <c r="B455" s="23"/>
      <c r="C455" s="23"/>
      <c r="D455" s="21"/>
      <c r="E455" s="18"/>
      <c r="F455" s="3"/>
      <c r="G455" s="341"/>
    </row>
    <row r="456" spans="1:12" s="147" customFormat="1" ht="13.5" thickBot="1" x14ac:dyDescent="0.3">
      <c r="A456" s="1096" t="s">
        <v>3</v>
      </c>
      <c r="B456" s="1097"/>
      <c r="C456" s="668">
        <f>C457+C459+C462+C465+C470</f>
        <v>8063130</v>
      </c>
      <c r="D456" s="21"/>
      <c r="E456" s="18"/>
      <c r="F456" s="3"/>
      <c r="G456" s="341"/>
    </row>
    <row r="457" spans="1:12" s="351" customFormat="1" x14ac:dyDescent="0.25">
      <c r="A457" s="11" t="s">
        <v>110</v>
      </c>
      <c r="B457" s="11" t="s">
        <v>111</v>
      </c>
      <c r="C457" s="32">
        <f>SUM(C458)</f>
        <v>66310</v>
      </c>
      <c r="D457" s="237"/>
      <c r="E457" s="348"/>
      <c r="F457" s="349"/>
      <c r="G457" s="349"/>
    </row>
    <row r="458" spans="1:12" s="147" customFormat="1" x14ac:dyDescent="0.25">
      <c r="A458" s="12" t="s">
        <v>52</v>
      </c>
      <c r="B458" s="12" t="s">
        <v>15</v>
      </c>
      <c r="C458" s="24">
        <v>66310</v>
      </c>
      <c r="E458" s="27"/>
      <c r="F458" s="101"/>
      <c r="G458" s="79"/>
    </row>
    <row r="459" spans="1:12" s="147" customFormat="1" x14ac:dyDescent="0.25">
      <c r="A459" s="11" t="s">
        <v>120</v>
      </c>
      <c r="B459" s="25" t="s">
        <v>121</v>
      </c>
      <c r="C459" s="31">
        <f>SUM(C460:C461)</f>
        <v>68000</v>
      </c>
      <c r="E459" s="27"/>
      <c r="F459" s="101"/>
      <c r="G459" s="79"/>
    </row>
    <row r="460" spans="1:12" s="66" customFormat="1" ht="13.5" customHeight="1" x14ac:dyDescent="0.3">
      <c r="A460" s="59" t="s">
        <v>140</v>
      </c>
      <c r="B460" s="43" t="s">
        <v>141</v>
      </c>
      <c r="C460" s="60">
        <v>40000</v>
      </c>
      <c r="G460" s="60"/>
      <c r="H460" s="57"/>
      <c r="I460" s="57"/>
    </row>
    <row r="461" spans="1:12" s="147" customFormat="1" x14ac:dyDescent="0.25">
      <c r="A461" s="12" t="s">
        <v>136</v>
      </c>
      <c r="B461" s="12" t="s">
        <v>71</v>
      </c>
      <c r="C461" s="24">
        <v>28000</v>
      </c>
      <c r="E461" s="14"/>
      <c r="F461" s="3"/>
      <c r="G461" s="120"/>
    </row>
    <row r="462" spans="1:12" s="147" customFormat="1" x14ac:dyDescent="0.25">
      <c r="A462" s="265" t="s">
        <v>112</v>
      </c>
      <c r="B462" s="11" t="s">
        <v>157</v>
      </c>
      <c r="C462" s="31">
        <f>SUM(C463:C464)</f>
        <v>316200</v>
      </c>
      <c r="E462" s="14"/>
      <c r="F462" s="3"/>
      <c r="G462" s="120"/>
    </row>
    <row r="463" spans="1:12" s="147" customFormat="1" x14ac:dyDescent="0.25">
      <c r="A463" s="72" t="s">
        <v>138</v>
      </c>
      <c r="B463" s="59" t="s">
        <v>878</v>
      </c>
      <c r="C463" s="24">
        <v>8000</v>
      </c>
      <c r="E463" s="14"/>
      <c r="F463" s="14"/>
      <c r="G463" s="31"/>
    </row>
    <row r="464" spans="1:12" s="147" customFormat="1" x14ac:dyDescent="0.25">
      <c r="A464" s="72" t="s">
        <v>49</v>
      </c>
      <c r="B464" s="23" t="s">
        <v>87</v>
      </c>
      <c r="C464" s="24">
        <v>308200</v>
      </c>
      <c r="E464" s="14"/>
      <c r="F464" s="14"/>
      <c r="G464" s="24"/>
    </row>
    <row r="465" spans="1:12" s="147" customFormat="1" x14ac:dyDescent="0.25">
      <c r="A465" s="265" t="s">
        <v>113</v>
      </c>
      <c r="B465" s="25" t="s">
        <v>114</v>
      </c>
      <c r="C465" s="31">
        <f>SUM(C466:C468)</f>
        <v>5003840</v>
      </c>
      <c r="E465" s="14"/>
      <c r="F465" s="14"/>
      <c r="G465" s="24"/>
    </row>
    <row r="466" spans="1:12" s="147" customFormat="1" x14ac:dyDescent="0.25">
      <c r="A466" s="12" t="s">
        <v>377</v>
      </c>
      <c r="B466" s="72" t="s">
        <v>378</v>
      </c>
      <c r="C466" s="24">
        <v>582620</v>
      </c>
      <c r="E466" s="18"/>
      <c r="F466" s="3"/>
      <c r="G466" s="21"/>
    </row>
    <row r="467" spans="1:12" s="147" customFormat="1" x14ac:dyDescent="0.25">
      <c r="A467" s="12" t="s">
        <v>379</v>
      </c>
      <c r="B467" s="72" t="s">
        <v>380</v>
      </c>
      <c r="C467" s="24">
        <v>4248000</v>
      </c>
      <c r="E467" s="18"/>
      <c r="F467" s="3"/>
      <c r="G467" s="21"/>
      <c r="H467" s="5"/>
      <c r="I467" s="5"/>
      <c r="J467" s="5"/>
      <c r="K467" s="5"/>
      <c r="L467" s="5"/>
    </row>
    <row r="468" spans="1:12" s="72" customFormat="1" ht="12.75" customHeight="1" x14ac:dyDescent="0.25">
      <c r="A468" s="72" t="s">
        <v>365</v>
      </c>
      <c r="B468" s="24" t="s">
        <v>366</v>
      </c>
      <c r="C468" s="24">
        <v>173220</v>
      </c>
      <c r="G468" s="370"/>
    </row>
    <row r="469" spans="1:12" ht="12.75" hidden="1" customHeight="1" x14ac:dyDescent="0.25">
      <c r="A469" s="72" t="s">
        <v>602</v>
      </c>
      <c r="B469" s="43" t="s">
        <v>601</v>
      </c>
      <c r="C469" s="24"/>
      <c r="E469" s="14"/>
      <c r="F469" s="14"/>
      <c r="G469" s="24"/>
    </row>
    <row r="470" spans="1:12" s="147" customFormat="1" x14ac:dyDescent="0.25">
      <c r="A470" s="265" t="s">
        <v>115</v>
      </c>
      <c r="B470" s="25" t="s">
        <v>8</v>
      </c>
      <c r="C470" s="31">
        <f>SUM(C471:C473)</f>
        <v>2608780</v>
      </c>
      <c r="E470" s="14"/>
      <c r="F470" s="14"/>
      <c r="G470" s="24"/>
    </row>
    <row r="471" spans="1:12" s="147" customFormat="1" x14ac:dyDescent="0.25">
      <c r="A471" s="72" t="s">
        <v>89</v>
      </c>
      <c r="B471" s="23" t="s">
        <v>8</v>
      </c>
      <c r="C471" s="24">
        <v>227800</v>
      </c>
      <c r="E471" s="14"/>
      <c r="F471" s="24"/>
      <c r="G471" s="24"/>
    </row>
    <row r="472" spans="1:12" s="147" customFormat="1" x14ac:dyDescent="0.25">
      <c r="A472" s="72" t="s">
        <v>181</v>
      </c>
      <c r="B472" s="23" t="s">
        <v>50</v>
      </c>
      <c r="C472" s="24">
        <v>9380</v>
      </c>
      <c r="D472" s="31"/>
      <c r="E472" s="14"/>
      <c r="F472" s="14"/>
      <c r="G472" s="349"/>
    </row>
    <row r="473" spans="1:12" s="5" customFormat="1" x14ac:dyDescent="0.25">
      <c r="A473" s="72" t="s">
        <v>90</v>
      </c>
      <c r="B473" s="23" t="s">
        <v>7</v>
      </c>
      <c r="C473" s="24">
        <v>2371600</v>
      </c>
      <c r="D473" s="25"/>
      <c r="E473" s="16"/>
      <c r="F473" s="14"/>
      <c r="G473" s="349"/>
      <c r="H473" s="147"/>
      <c r="I473" s="147"/>
      <c r="J473" s="147"/>
      <c r="K473" s="147"/>
      <c r="L473" s="147"/>
    </row>
    <row r="474" spans="1:12" s="5" customFormat="1" ht="13.5" thickBot="1" x14ac:dyDescent="0.3">
      <c r="A474" s="12"/>
      <c r="B474" s="72"/>
      <c r="C474" s="23"/>
      <c r="D474" s="21"/>
      <c r="E474" s="18"/>
      <c r="F474" s="3"/>
      <c r="G474" s="341"/>
    </row>
    <row r="475" spans="1:12" s="5" customFormat="1" ht="13.5" thickBot="1" x14ac:dyDescent="0.3">
      <c r="A475" s="1100" t="s">
        <v>4</v>
      </c>
      <c r="B475" s="1101"/>
      <c r="C475" s="670">
        <f>C476+C478+C482</f>
        <v>122430</v>
      </c>
      <c r="D475" s="21"/>
      <c r="E475" s="18"/>
      <c r="F475" s="3"/>
      <c r="G475" s="341"/>
    </row>
    <row r="476" spans="1:12" s="351" customFormat="1" x14ac:dyDescent="0.25">
      <c r="A476" s="265" t="s">
        <v>179</v>
      </c>
      <c r="B476" s="298" t="s">
        <v>178</v>
      </c>
      <c r="C476" s="32">
        <f>SUM(C477)</f>
        <v>31680</v>
      </c>
      <c r="D476" s="237"/>
      <c r="E476" s="348"/>
      <c r="F476" s="349"/>
      <c r="G476" s="349"/>
    </row>
    <row r="477" spans="1:12" s="5" customFormat="1" x14ac:dyDescent="0.25">
      <c r="A477" s="72" t="s">
        <v>177</v>
      </c>
      <c r="B477" s="72" t="s">
        <v>381</v>
      </c>
      <c r="C477" s="24">
        <v>31680</v>
      </c>
      <c r="D477" s="23"/>
      <c r="E477" s="18"/>
      <c r="F477" s="3"/>
      <c r="G477" s="341"/>
    </row>
    <row r="478" spans="1:12" s="5" customFormat="1" x14ac:dyDescent="0.25">
      <c r="A478" s="265" t="s">
        <v>116</v>
      </c>
      <c r="B478" s="265" t="s">
        <v>117</v>
      </c>
      <c r="C478" s="31">
        <f>SUM(C479:C481)</f>
        <v>82750</v>
      </c>
      <c r="D478" s="23"/>
      <c r="E478" s="18"/>
      <c r="F478" s="3"/>
      <c r="G478" s="341"/>
    </row>
    <row r="479" spans="1:12" s="5" customFormat="1" x14ac:dyDescent="0.25">
      <c r="A479" s="72" t="s">
        <v>91</v>
      </c>
      <c r="B479" s="72" t="s">
        <v>139</v>
      </c>
      <c r="C479" s="24">
        <v>25750</v>
      </c>
      <c r="D479" s="21"/>
      <c r="E479" s="18"/>
      <c r="F479" s="3"/>
      <c r="G479" s="341"/>
    </row>
    <row r="480" spans="1:12" s="5" customFormat="1" x14ac:dyDescent="0.25">
      <c r="A480" s="72" t="s">
        <v>57</v>
      </c>
      <c r="B480" s="72" t="s">
        <v>58</v>
      </c>
      <c r="C480" s="24">
        <v>30000</v>
      </c>
      <c r="D480" s="21"/>
      <c r="E480" s="21"/>
      <c r="G480" s="350"/>
    </row>
    <row r="481" spans="1:8" s="8" customFormat="1" ht="13.5" customHeight="1" x14ac:dyDescent="0.25">
      <c r="A481" s="72" t="s">
        <v>814</v>
      </c>
      <c r="B481" s="23" t="s">
        <v>815</v>
      </c>
      <c r="C481" s="24">
        <v>27000</v>
      </c>
      <c r="D481" s="78"/>
      <c r="E481" s="25"/>
      <c r="F481" s="99"/>
      <c r="G481" s="55"/>
      <c r="H481" s="43"/>
    </row>
    <row r="482" spans="1:8" s="5" customFormat="1" x14ac:dyDescent="0.25">
      <c r="A482" s="265" t="s">
        <v>166</v>
      </c>
      <c r="B482" s="25" t="s">
        <v>135</v>
      </c>
      <c r="C482" s="31">
        <f>SUM(C483)</f>
        <v>8000</v>
      </c>
      <c r="D482" s="21"/>
      <c r="E482" s="18"/>
      <c r="F482" s="3"/>
      <c r="G482" s="341"/>
    </row>
    <row r="483" spans="1:8" s="5" customFormat="1" ht="13.5" customHeight="1" x14ac:dyDescent="0.25">
      <c r="A483" s="72" t="s">
        <v>167</v>
      </c>
      <c r="B483" s="23" t="s">
        <v>51</v>
      </c>
      <c r="C483" s="24">
        <v>8000</v>
      </c>
      <c r="D483" s="21"/>
      <c r="E483" s="18"/>
      <c r="F483" s="3"/>
      <c r="G483" s="341"/>
    </row>
    <row r="484" spans="1:8" s="5" customFormat="1" ht="13.5" customHeight="1" x14ac:dyDescent="0.25">
      <c r="A484" s="72"/>
      <c r="B484" s="23"/>
      <c r="C484" s="24"/>
      <c r="D484" s="21"/>
      <c r="E484" s="18"/>
      <c r="F484" s="3"/>
      <c r="G484" s="341"/>
    </row>
    <row r="485" spans="1:8" s="5" customFormat="1" ht="13.5" thickBot="1" x14ac:dyDescent="0.3">
      <c r="A485" s="3"/>
      <c r="B485" s="3"/>
      <c r="C485" s="18"/>
      <c r="D485" s="18"/>
      <c r="E485" s="18"/>
      <c r="F485" s="3"/>
      <c r="G485" s="341"/>
    </row>
    <row r="486" spans="1:8" s="5" customFormat="1" x14ac:dyDescent="0.25">
      <c r="A486" s="1117" t="s">
        <v>661</v>
      </c>
      <c r="B486" s="1118"/>
      <c r="C486" s="1119"/>
      <c r="D486" s="692" t="s">
        <v>6</v>
      </c>
      <c r="E486" s="913" t="s">
        <v>645</v>
      </c>
      <c r="F486" s="3"/>
      <c r="G486" s="341"/>
    </row>
    <row r="487" spans="1:8" s="5" customFormat="1" ht="13.5" thickBot="1" x14ac:dyDescent="0.3">
      <c r="A487" s="1120"/>
      <c r="B487" s="1121"/>
      <c r="C487" s="1122"/>
      <c r="D487" s="695"/>
      <c r="E487" s="718"/>
      <c r="F487" s="3"/>
      <c r="G487" s="341"/>
    </row>
    <row r="488" spans="1:8" ht="12.75" customHeight="1" x14ac:dyDescent="0.25">
      <c r="A488" s="1123" t="s">
        <v>917</v>
      </c>
      <c r="B488" s="1124"/>
      <c r="C488" s="1124"/>
      <c r="D488" s="1124"/>
      <c r="E488" s="1125"/>
      <c r="G488" s="341"/>
    </row>
    <row r="489" spans="1:8" ht="12.75" customHeight="1" x14ac:dyDescent="0.25">
      <c r="A489" s="1126"/>
      <c r="B489" s="1127"/>
      <c r="C489" s="1127"/>
      <c r="D489" s="1127"/>
      <c r="E489" s="1128"/>
      <c r="G489" s="341"/>
    </row>
    <row r="490" spans="1:8" ht="12.75" customHeight="1" x14ac:dyDescent="0.25">
      <c r="A490" s="1126"/>
      <c r="B490" s="1127"/>
      <c r="C490" s="1127"/>
      <c r="D490" s="1127"/>
      <c r="E490" s="1128"/>
      <c r="G490" s="341"/>
    </row>
    <row r="491" spans="1:8" ht="12.75" customHeight="1" x14ac:dyDescent="0.25">
      <c r="A491" s="1126"/>
      <c r="B491" s="1127"/>
      <c r="C491" s="1127"/>
      <c r="D491" s="1127"/>
      <c r="E491" s="1128"/>
      <c r="G491" s="341"/>
    </row>
    <row r="492" spans="1:8" ht="12.75" customHeight="1" thickBot="1" x14ac:dyDescent="0.3">
      <c r="A492" s="1129"/>
      <c r="B492" s="1130"/>
      <c r="C492" s="1130"/>
      <c r="D492" s="1130"/>
      <c r="E492" s="1131"/>
      <c r="G492" s="341"/>
    </row>
    <row r="493" spans="1:8" ht="12.75" customHeight="1" x14ac:dyDescent="0.25">
      <c r="A493" s="41" t="s">
        <v>1029</v>
      </c>
      <c r="B493" s="12"/>
      <c r="C493" s="24"/>
      <c r="D493" s="24"/>
      <c r="E493" s="320"/>
      <c r="G493" s="341"/>
    </row>
    <row r="494" spans="1:8" ht="12.75" customHeight="1" x14ac:dyDescent="0.25">
      <c r="A494" s="41" t="s">
        <v>918</v>
      </c>
      <c r="B494" s="12"/>
      <c r="C494" s="24"/>
      <c r="D494" s="24"/>
      <c r="E494" s="320"/>
      <c r="F494" s="1"/>
      <c r="G494" s="349"/>
    </row>
    <row r="495" spans="1:8" s="1" customFormat="1" ht="13.5" customHeight="1" x14ac:dyDescent="0.25">
      <c r="A495" s="41" t="s">
        <v>1040</v>
      </c>
      <c r="B495" s="12"/>
      <c r="C495" s="24"/>
      <c r="D495" s="24"/>
      <c r="E495" s="320"/>
      <c r="G495" s="349"/>
    </row>
    <row r="496" spans="1:8" ht="13.5" customHeight="1" thickBot="1" x14ac:dyDescent="0.3">
      <c r="A496" s="76" t="s">
        <v>13</v>
      </c>
      <c r="B496" s="140"/>
      <c r="C496" s="377"/>
      <c r="D496" s="377"/>
      <c r="E496" s="378"/>
      <c r="G496" s="341"/>
    </row>
    <row r="497" spans="1:8" ht="13.5" customHeight="1" thickBot="1" x14ac:dyDescent="0.3">
      <c r="A497" s="762" t="s">
        <v>14</v>
      </c>
      <c r="B497" s="763"/>
      <c r="C497" s="764"/>
      <c r="D497" s="766"/>
      <c r="E497" s="772">
        <f>+C499+C519+C531</f>
        <v>12752030</v>
      </c>
      <c r="G497" s="88"/>
    </row>
    <row r="498" spans="1:8" ht="13.5" customHeight="1" thickBot="1" x14ac:dyDescent="0.3">
      <c r="A498" s="11"/>
      <c r="B498" s="11"/>
      <c r="C498" s="31"/>
      <c r="D498" s="31"/>
      <c r="E498" s="3"/>
      <c r="F498" s="344"/>
      <c r="G498" s="341"/>
    </row>
    <row r="499" spans="1:8" ht="14.25" customHeight="1" thickBot="1" x14ac:dyDescent="0.3">
      <c r="A499" s="1104" t="s">
        <v>2</v>
      </c>
      <c r="B499" s="1105"/>
      <c r="C499" s="667">
        <f>(C502+C506+C512+C515+C500+C504)</f>
        <v>1374920</v>
      </c>
      <c r="E499" s="622"/>
      <c r="F499" s="344"/>
      <c r="G499" s="350"/>
    </row>
    <row r="500" spans="1:8" s="101" customFormat="1" ht="13.5" customHeight="1" x14ac:dyDescent="0.25">
      <c r="A500" s="11" t="s">
        <v>103</v>
      </c>
      <c r="B500" s="298" t="s">
        <v>104</v>
      </c>
      <c r="C500" s="32">
        <f>SUM(C501)</f>
        <v>44750</v>
      </c>
      <c r="D500" s="348"/>
      <c r="G500" s="349"/>
    </row>
    <row r="501" spans="1:8" s="72" customFormat="1" ht="13.5" customHeight="1" x14ac:dyDescent="0.25">
      <c r="A501" s="12" t="s">
        <v>46</v>
      </c>
      <c r="B501" s="72" t="s">
        <v>45</v>
      </c>
      <c r="C501" s="24">
        <v>44750</v>
      </c>
      <c r="D501" s="96"/>
      <c r="F501" s="96"/>
      <c r="G501" s="96"/>
      <c r="H501" s="12"/>
    </row>
    <row r="502" spans="1:8" s="349" customFormat="1" ht="14.25" customHeight="1" x14ac:dyDescent="0.25">
      <c r="A502" s="11" t="s">
        <v>107</v>
      </c>
      <c r="B502" s="265" t="s">
        <v>108</v>
      </c>
      <c r="C502" s="32">
        <f>SUM(C503)</f>
        <v>109550</v>
      </c>
      <c r="D502" s="348"/>
      <c r="E502" s="351"/>
      <c r="F502" s="346"/>
      <c r="G502" s="351"/>
    </row>
    <row r="503" spans="1:8" s="5" customFormat="1" ht="14.25" customHeight="1" x14ac:dyDescent="0.25">
      <c r="A503" s="12" t="s">
        <v>47</v>
      </c>
      <c r="B503" s="23" t="s">
        <v>48</v>
      </c>
      <c r="C503" s="24">
        <v>109550</v>
      </c>
      <c r="D503" s="21"/>
      <c r="E503" s="120"/>
      <c r="F503" s="147"/>
      <c r="G503" s="351"/>
    </row>
    <row r="504" spans="1:8" x14ac:dyDescent="0.25">
      <c r="A504" s="11" t="s">
        <v>195</v>
      </c>
      <c r="B504" s="25" t="s">
        <v>363</v>
      </c>
      <c r="C504" s="31">
        <f>SUM(C505)</f>
        <v>80000</v>
      </c>
      <c r="G504" s="341"/>
    </row>
    <row r="505" spans="1:8" x14ac:dyDescent="0.25">
      <c r="A505" s="12" t="s">
        <v>193</v>
      </c>
      <c r="B505" s="72" t="s">
        <v>215</v>
      </c>
      <c r="C505" s="24">
        <v>80000</v>
      </c>
      <c r="G505" s="96"/>
    </row>
    <row r="506" spans="1:8" s="5" customFormat="1" ht="13.5" customHeight="1" x14ac:dyDescent="0.25">
      <c r="A506" s="265" t="s">
        <v>119</v>
      </c>
      <c r="B506" s="25" t="s">
        <v>109</v>
      </c>
      <c r="C506" s="31">
        <f>SUM(C507:C511)</f>
        <v>925220</v>
      </c>
      <c r="D506" s="21"/>
      <c r="E506" s="595"/>
      <c r="F506" s="596"/>
      <c r="G506" s="597"/>
    </row>
    <row r="507" spans="1:8" s="5" customFormat="1" ht="14.25" customHeight="1" x14ac:dyDescent="0.25">
      <c r="A507" s="72" t="s">
        <v>150</v>
      </c>
      <c r="B507" s="23" t="s">
        <v>340</v>
      </c>
      <c r="C507" s="24">
        <v>843250</v>
      </c>
      <c r="D507" s="21"/>
      <c r="E507" s="21"/>
      <c r="G507" s="350"/>
    </row>
    <row r="508" spans="1:8" s="5" customFormat="1" ht="13.5" customHeight="1" x14ac:dyDescent="0.25">
      <c r="A508" s="72" t="s">
        <v>186</v>
      </c>
      <c r="B508" s="23" t="s">
        <v>185</v>
      </c>
      <c r="C508" s="24">
        <v>16370</v>
      </c>
      <c r="D508" s="21"/>
      <c r="E508" s="21"/>
      <c r="G508" s="350"/>
    </row>
    <row r="509" spans="1:8" s="147" customFormat="1" x14ac:dyDescent="0.25">
      <c r="A509" s="72" t="s">
        <v>697</v>
      </c>
      <c r="B509" s="43" t="s">
        <v>696</v>
      </c>
      <c r="C509" s="24">
        <v>13600</v>
      </c>
      <c r="D509" s="18"/>
      <c r="E509" s="18"/>
      <c r="F509" s="3"/>
      <c r="G509" s="341"/>
    </row>
    <row r="510" spans="1:8" s="66" customFormat="1" x14ac:dyDescent="0.3">
      <c r="A510" s="72" t="s">
        <v>816</v>
      </c>
      <c r="B510" s="24" t="s">
        <v>810</v>
      </c>
      <c r="C510" s="24">
        <v>17000</v>
      </c>
      <c r="D510" s="78"/>
      <c r="E510" s="25"/>
    </row>
    <row r="511" spans="1:8" s="66" customFormat="1" x14ac:dyDescent="0.3">
      <c r="A511" s="72" t="s">
        <v>820</v>
      </c>
      <c r="B511" s="24" t="s">
        <v>821</v>
      </c>
      <c r="C511" s="24">
        <v>35000</v>
      </c>
      <c r="D511" s="78"/>
      <c r="E511" s="25"/>
    </row>
    <row r="512" spans="1:8" s="5" customFormat="1" ht="13.5" customHeight="1" x14ac:dyDescent="0.25">
      <c r="A512" s="265" t="s">
        <v>124</v>
      </c>
      <c r="B512" s="25" t="s">
        <v>123</v>
      </c>
      <c r="C512" s="31">
        <f>SUM(C513:C514)</f>
        <v>164100</v>
      </c>
      <c r="D512" s="21"/>
      <c r="E512" s="21"/>
      <c r="G512" s="350"/>
    </row>
    <row r="513" spans="1:9" s="5" customFormat="1" ht="13.5" customHeight="1" x14ac:dyDescent="0.25">
      <c r="A513" s="72" t="s">
        <v>242</v>
      </c>
      <c r="B513" s="23" t="s">
        <v>243</v>
      </c>
      <c r="C513" s="24">
        <v>122700</v>
      </c>
      <c r="D513" s="21"/>
      <c r="E513" s="21"/>
      <c r="G513" s="350"/>
    </row>
    <row r="514" spans="1:9" s="5" customFormat="1" ht="13.5" customHeight="1" x14ac:dyDescent="0.25">
      <c r="A514" s="72" t="s">
        <v>93</v>
      </c>
      <c r="B514" s="23" t="s">
        <v>383</v>
      </c>
      <c r="C514" s="24">
        <v>41400</v>
      </c>
      <c r="D514" s="21"/>
      <c r="E514" s="21"/>
      <c r="G514" s="350"/>
    </row>
    <row r="515" spans="1:9" s="5" customFormat="1" ht="13.5" customHeight="1" x14ac:dyDescent="0.25">
      <c r="A515" s="265" t="s">
        <v>151</v>
      </c>
      <c r="B515" s="25" t="s">
        <v>125</v>
      </c>
      <c r="C515" s="31">
        <f>SUM(C516:C517)</f>
        <v>51300</v>
      </c>
      <c r="D515" s="21"/>
      <c r="E515" s="21"/>
      <c r="G515" s="350"/>
    </row>
    <row r="516" spans="1:9" s="5" customFormat="1" ht="13.5" customHeight="1" x14ac:dyDescent="0.25">
      <c r="A516" s="72" t="s">
        <v>210</v>
      </c>
      <c r="B516" s="23" t="s">
        <v>209</v>
      </c>
      <c r="C516" s="24">
        <v>25500</v>
      </c>
      <c r="D516" s="21"/>
      <c r="E516" s="21"/>
      <c r="G516" s="350"/>
    </row>
    <row r="517" spans="1:9" s="5" customFormat="1" ht="13.5" customHeight="1" x14ac:dyDescent="0.25">
      <c r="A517" s="72" t="s">
        <v>155</v>
      </c>
      <c r="B517" s="23" t="s">
        <v>133</v>
      </c>
      <c r="C517" s="24">
        <v>25800</v>
      </c>
      <c r="D517" s="21"/>
      <c r="E517" s="21"/>
      <c r="G517" s="350"/>
    </row>
    <row r="518" spans="1:9" s="5" customFormat="1" ht="13.5" customHeight="1" thickBot="1" x14ac:dyDescent="0.3">
      <c r="A518" s="72"/>
      <c r="B518" s="23"/>
      <c r="C518" s="23"/>
      <c r="D518" s="21"/>
      <c r="E518" s="21"/>
      <c r="G518" s="350"/>
    </row>
    <row r="519" spans="1:9" s="5" customFormat="1" ht="13.5" customHeight="1" thickBot="1" x14ac:dyDescent="0.3">
      <c r="A519" s="1096" t="s">
        <v>3</v>
      </c>
      <c r="B519" s="1097"/>
      <c r="C519" s="668">
        <f>+C520+C524+C526</f>
        <v>6689230</v>
      </c>
      <c r="D519" s="21"/>
      <c r="E519" s="21"/>
      <c r="G519" s="350"/>
    </row>
    <row r="520" spans="1:9" s="72" customFormat="1" ht="13.5" customHeight="1" x14ac:dyDescent="0.25">
      <c r="A520" s="11" t="s">
        <v>120</v>
      </c>
      <c r="B520" s="25" t="s">
        <v>121</v>
      </c>
      <c r="C520" s="31">
        <f>SUM(C521:C523)</f>
        <v>5248730</v>
      </c>
      <c r="D520" s="12"/>
      <c r="E520" s="12"/>
      <c r="F520" s="12"/>
      <c r="G520" s="101"/>
    </row>
    <row r="521" spans="1:9" s="72" customFormat="1" ht="13.5" customHeight="1" x14ac:dyDescent="0.25">
      <c r="A521" s="12" t="s">
        <v>236</v>
      </c>
      <c r="B521" s="12" t="s">
        <v>385</v>
      </c>
      <c r="C521" s="24">
        <v>5059330</v>
      </c>
      <c r="G521" s="12"/>
      <c r="H521" s="12"/>
      <c r="I521" s="12"/>
    </row>
    <row r="522" spans="1:9" s="72" customFormat="1" ht="13.5" customHeight="1" x14ac:dyDescent="0.25">
      <c r="A522" s="12" t="s">
        <v>136</v>
      </c>
      <c r="B522" s="12" t="s">
        <v>71</v>
      </c>
      <c r="C522" s="24">
        <v>32500</v>
      </c>
      <c r="G522" s="12"/>
      <c r="H522" s="12"/>
      <c r="I522" s="101"/>
    </row>
    <row r="523" spans="1:9" s="72" customFormat="1" ht="13.5" customHeight="1" x14ac:dyDescent="0.25">
      <c r="A523" s="12" t="s">
        <v>617</v>
      </c>
      <c r="B523" s="12" t="s">
        <v>618</v>
      </c>
      <c r="C523" s="24">
        <v>156900</v>
      </c>
      <c r="G523" s="12"/>
      <c r="H523" s="12"/>
      <c r="I523" s="12"/>
    </row>
    <row r="524" spans="1:9" s="72" customFormat="1" ht="13.5" customHeight="1" x14ac:dyDescent="0.25">
      <c r="A524" s="265" t="s">
        <v>112</v>
      </c>
      <c r="B524" s="11" t="s">
        <v>157</v>
      </c>
      <c r="C524" s="31">
        <f>SUM(C525:C525)</f>
        <v>870300</v>
      </c>
      <c r="G524" s="12"/>
      <c r="H524" s="12"/>
      <c r="I524" s="12"/>
    </row>
    <row r="525" spans="1:9" s="72" customFormat="1" ht="13.5" customHeight="1" x14ac:dyDescent="0.25">
      <c r="A525" s="72" t="s">
        <v>156</v>
      </c>
      <c r="B525" s="12" t="s">
        <v>87</v>
      </c>
      <c r="C525" s="24">
        <v>870300</v>
      </c>
      <c r="D525" s="12"/>
      <c r="E525" s="11"/>
      <c r="F525" s="11"/>
      <c r="G525" s="31"/>
      <c r="H525" s="24"/>
    </row>
    <row r="526" spans="1:9" s="72" customFormat="1" ht="13.5" customHeight="1" x14ac:dyDescent="0.25">
      <c r="A526" s="265" t="s">
        <v>115</v>
      </c>
      <c r="B526" s="265" t="s">
        <v>8</v>
      </c>
      <c r="C526" s="31">
        <f>SUM(C527:C529)</f>
        <v>570200</v>
      </c>
      <c r="D526" s="12"/>
      <c r="E526" s="12"/>
      <c r="F526" s="12"/>
      <c r="G526" s="24"/>
      <c r="H526" s="24"/>
    </row>
    <row r="527" spans="1:9" s="72" customFormat="1" ht="13.5" customHeight="1" x14ac:dyDescent="0.25">
      <c r="A527" s="72" t="s">
        <v>89</v>
      </c>
      <c r="B527" s="72" t="s">
        <v>8</v>
      </c>
      <c r="C527" s="24">
        <v>427500</v>
      </c>
      <c r="G527" s="23"/>
      <c r="H527" s="23"/>
      <c r="I527" s="12"/>
    </row>
    <row r="528" spans="1:9" s="72" customFormat="1" ht="13.5" customHeight="1" x14ac:dyDescent="0.25">
      <c r="A528" s="72" t="s">
        <v>181</v>
      </c>
      <c r="B528" s="72" t="s">
        <v>50</v>
      </c>
      <c r="C528" s="24">
        <v>106170</v>
      </c>
      <c r="G528" s="23"/>
      <c r="H528" s="23"/>
    </row>
    <row r="529" spans="1:13" s="72" customFormat="1" ht="13.5" customHeight="1" x14ac:dyDescent="0.25">
      <c r="A529" s="72" t="s">
        <v>90</v>
      </c>
      <c r="B529" s="880" t="s">
        <v>7</v>
      </c>
      <c r="C529" s="24">
        <v>36530</v>
      </c>
      <c r="D529" s="23"/>
      <c r="E529" s="379"/>
      <c r="G529" s="231"/>
    </row>
    <row r="530" spans="1:13" s="5" customFormat="1" ht="13.5" customHeight="1" thickBot="1" x14ac:dyDescent="0.3">
      <c r="A530" s="72"/>
      <c r="B530" s="72"/>
      <c r="C530" s="23"/>
      <c r="D530" s="21"/>
      <c r="E530" s="21"/>
      <c r="F530" s="147"/>
      <c r="G530" s="350"/>
    </row>
    <row r="531" spans="1:13" s="5" customFormat="1" ht="14.25" customHeight="1" thickBot="1" x14ac:dyDescent="0.3">
      <c r="A531" s="1100" t="s">
        <v>4</v>
      </c>
      <c r="B531" s="1101"/>
      <c r="C531" s="670">
        <f>C532+C534+C538</f>
        <v>4687880</v>
      </c>
      <c r="D531" s="21"/>
      <c r="E531" s="21"/>
      <c r="G531" s="350"/>
    </row>
    <row r="532" spans="1:13" s="351" customFormat="1" x14ac:dyDescent="0.25">
      <c r="A532" s="265" t="s">
        <v>179</v>
      </c>
      <c r="B532" s="298" t="s">
        <v>178</v>
      </c>
      <c r="C532" s="32">
        <f>SUM(C533)</f>
        <v>150000</v>
      </c>
      <c r="D532" s="237"/>
      <c r="E532" s="348"/>
      <c r="F532" s="349"/>
      <c r="G532" s="349"/>
    </row>
    <row r="533" spans="1:13" s="5" customFormat="1" x14ac:dyDescent="0.25">
      <c r="A533" s="72" t="s">
        <v>177</v>
      </c>
      <c r="B533" s="72" t="s">
        <v>381</v>
      </c>
      <c r="C533" s="24">
        <v>150000</v>
      </c>
      <c r="D533" s="23"/>
      <c r="E533" s="28"/>
      <c r="F533" s="21"/>
      <c r="G533" s="341"/>
    </row>
    <row r="534" spans="1:13" s="351" customFormat="1" ht="14.25" customHeight="1" x14ac:dyDescent="0.25">
      <c r="A534" s="265" t="s">
        <v>116</v>
      </c>
      <c r="B534" s="265" t="s">
        <v>117</v>
      </c>
      <c r="C534" s="32">
        <f>SUM(C535:C537)</f>
        <v>306880</v>
      </c>
      <c r="D534" s="96"/>
      <c r="E534" s="96"/>
    </row>
    <row r="535" spans="1:13" s="5" customFormat="1" ht="14.25" customHeight="1" x14ac:dyDescent="0.25">
      <c r="A535" s="72" t="s">
        <v>91</v>
      </c>
      <c r="B535" s="72" t="s">
        <v>139</v>
      </c>
      <c r="C535" s="24">
        <v>24480</v>
      </c>
      <c r="D535" s="23"/>
      <c r="E535" s="23"/>
      <c r="F535" s="21"/>
      <c r="G535" s="350"/>
    </row>
    <row r="536" spans="1:13" s="5" customFormat="1" ht="14.25" customHeight="1" x14ac:dyDescent="0.25">
      <c r="A536" s="72" t="s">
        <v>386</v>
      </c>
      <c r="B536" s="72" t="s">
        <v>387</v>
      </c>
      <c r="C536" s="24">
        <v>250000</v>
      </c>
      <c r="E536" s="21"/>
      <c r="F536" s="21"/>
      <c r="G536" s="350"/>
    </row>
    <row r="537" spans="1:13" s="5" customFormat="1" ht="14.25" customHeight="1" x14ac:dyDescent="0.25">
      <c r="A537" s="72" t="s">
        <v>57</v>
      </c>
      <c r="B537" s="72" t="s">
        <v>58</v>
      </c>
      <c r="C537" s="24">
        <v>32400</v>
      </c>
      <c r="D537" s="21"/>
      <c r="E537" s="21"/>
      <c r="G537" s="350"/>
    </row>
    <row r="538" spans="1:13" s="5" customFormat="1" ht="14.25" customHeight="1" x14ac:dyDescent="0.25">
      <c r="A538" s="265" t="s">
        <v>131</v>
      </c>
      <c r="B538" s="265" t="s">
        <v>260</v>
      </c>
      <c r="C538" s="31">
        <f>SUM(C539)</f>
        <v>4231000</v>
      </c>
      <c r="D538" s="23"/>
      <c r="E538" s="23"/>
      <c r="G538" s="350"/>
    </row>
    <row r="539" spans="1:13" s="5" customFormat="1" ht="13.5" customHeight="1" x14ac:dyDescent="0.25">
      <c r="A539" s="72" t="s">
        <v>165</v>
      </c>
      <c r="B539" s="72" t="s">
        <v>260</v>
      </c>
      <c r="C539" s="24">
        <v>4231000</v>
      </c>
      <c r="E539" s="21"/>
      <c r="F539" s="120"/>
      <c r="G539" s="350"/>
    </row>
    <row r="540" spans="1:13" ht="13.5" customHeight="1" x14ac:dyDescent="0.25">
      <c r="G540" s="341"/>
    </row>
    <row r="541" spans="1:13" ht="13.5" thickBot="1" x14ac:dyDescent="0.3"/>
    <row r="542" spans="1:13" x14ac:dyDescent="0.25">
      <c r="A542" s="1117" t="s">
        <v>919</v>
      </c>
      <c r="B542" s="1118"/>
      <c r="C542" s="1119"/>
      <c r="D542" s="692" t="s">
        <v>6</v>
      </c>
      <c r="E542" s="913" t="s">
        <v>646</v>
      </c>
      <c r="F542" s="599"/>
      <c r="G542" s="599"/>
      <c r="H542" s="599"/>
      <c r="I542" s="599"/>
      <c r="J542" s="599"/>
      <c r="K542" s="599"/>
      <c r="L542" s="599"/>
      <c r="M542" s="599"/>
    </row>
    <row r="543" spans="1:13" ht="13.5" thickBot="1" x14ac:dyDescent="0.3">
      <c r="A543" s="1120"/>
      <c r="B543" s="1121"/>
      <c r="C543" s="1122"/>
      <c r="D543" s="734"/>
      <c r="E543" s="735"/>
      <c r="F543" s="1"/>
      <c r="G543" s="1"/>
      <c r="H543" s="1"/>
      <c r="I543" s="1"/>
      <c r="J543" s="1"/>
      <c r="K543" s="1"/>
      <c r="L543" s="1"/>
      <c r="M543" s="1"/>
    </row>
    <row r="544" spans="1:13" x14ac:dyDescent="0.25">
      <c r="A544" s="1123" t="s">
        <v>920</v>
      </c>
      <c r="B544" s="1124"/>
      <c r="C544" s="1124"/>
      <c r="D544" s="1124"/>
      <c r="E544" s="1125"/>
    </row>
    <row r="545" spans="1:7" x14ac:dyDescent="0.25">
      <c r="A545" s="1126"/>
      <c r="B545" s="1127"/>
      <c r="C545" s="1127"/>
      <c r="D545" s="1127"/>
      <c r="E545" s="1128"/>
    </row>
    <row r="546" spans="1:7" x14ac:dyDescent="0.25">
      <c r="A546" s="1126"/>
      <c r="B546" s="1127"/>
      <c r="C546" s="1127"/>
      <c r="D546" s="1127"/>
      <c r="E546" s="1128"/>
    </row>
    <row r="547" spans="1:7" x14ac:dyDescent="0.25">
      <c r="A547" s="1126"/>
      <c r="B547" s="1127"/>
      <c r="C547" s="1127"/>
      <c r="D547" s="1127"/>
      <c r="E547" s="1128"/>
    </row>
    <row r="548" spans="1:7" ht="13.5" thickBot="1" x14ac:dyDescent="0.3">
      <c r="A548" s="1129"/>
      <c r="B548" s="1130"/>
      <c r="C548" s="1130"/>
      <c r="D548" s="1130"/>
      <c r="E548" s="1131"/>
    </row>
    <row r="549" spans="1:7" x14ac:dyDescent="0.25">
      <c r="A549" s="41" t="s">
        <v>1029</v>
      </c>
      <c r="B549" s="12"/>
      <c r="C549" s="24"/>
      <c r="D549" s="24"/>
      <c r="E549" s="320"/>
    </row>
    <row r="550" spans="1:7" x14ac:dyDescent="0.25">
      <c r="A550" s="41" t="s">
        <v>684</v>
      </c>
      <c r="B550" s="12"/>
      <c r="C550" s="24"/>
      <c r="D550" s="24"/>
      <c r="E550" s="320"/>
    </row>
    <row r="551" spans="1:7" x14ac:dyDescent="0.25">
      <c r="A551" s="41" t="s">
        <v>1040</v>
      </c>
      <c r="B551" s="12"/>
      <c r="C551" s="24"/>
      <c r="D551" s="24"/>
      <c r="E551" s="320"/>
    </row>
    <row r="552" spans="1:7" ht="13.5" thickBot="1" x14ac:dyDescent="0.3">
      <c r="A552" s="76" t="s">
        <v>13</v>
      </c>
      <c r="B552" s="140"/>
      <c r="C552" s="377"/>
      <c r="D552" s="377"/>
      <c r="E552" s="378"/>
    </row>
    <row r="553" spans="1:7" ht="13.5" thickBot="1" x14ac:dyDescent="0.3">
      <c r="A553" s="762" t="s">
        <v>14</v>
      </c>
      <c r="B553" s="763"/>
      <c r="C553" s="764"/>
      <c r="D553" s="766"/>
      <c r="E553" s="772">
        <f>+C555+C568+C581</f>
        <v>1997280</v>
      </c>
      <c r="G553" s="18"/>
    </row>
    <row r="554" spans="1:7" ht="13.5" thickBot="1" x14ac:dyDescent="0.3">
      <c r="A554" s="11"/>
      <c r="B554" s="11"/>
      <c r="C554" s="31"/>
      <c r="D554" s="31"/>
      <c r="E554" s="3"/>
    </row>
    <row r="555" spans="1:7" ht="13.5" thickBot="1" x14ac:dyDescent="0.3">
      <c r="A555" s="1104" t="s">
        <v>2</v>
      </c>
      <c r="B555" s="1105"/>
      <c r="C555" s="667">
        <f>(C556+C558+C560+C562+C564)</f>
        <v>421680</v>
      </c>
      <c r="D555" s="120"/>
      <c r="E555" s="3"/>
    </row>
    <row r="556" spans="1:7" x14ac:dyDescent="0.25">
      <c r="A556" s="11" t="s">
        <v>103</v>
      </c>
      <c r="B556" s="298" t="s">
        <v>104</v>
      </c>
      <c r="C556" s="32">
        <f>SUM(C557)</f>
        <v>23830</v>
      </c>
      <c r="D556" s="237"/>
      <c r="E556" s="349"/>
    </row>
    <row r="557" spans="1:7" x14ac:dyDescent="0.25">
      <c r="A557" s="12" t="s">
        <v>46</v>
      </c>
      <c r="B557" s="72" t="s">
        <v>45</v>
      </c>
      <c r="C557" s="24">
        <v>23830</v>
      </c>
      <c r="D557" s="120"/>
      <c r="E557" s="21"/>
    </row>
    <row r="558" spans="1:7" x14ac:dyDescent="0.25">
      <c r="A558" s="11" t="s">
        <v>105</v>
      </c>
      <c r="B558" s="265" t="s">
        <v>106</v>
      </c>
      <c r="C558" s="31">
        <f>SUM(C559)</f>
        <v>33800</v>
      </c>
      <c r="D558" s="120"/>
      <c r="E558" s="21"/>
    </row>
    <row r="559" spans="1:7" x14ac:dyDescent="0.25">
      <c r="A559" s="12" t="s">
        <v>86</v>
      </c>
      <c r="B559" s="72" t="s">
        <v>66</v>
      </c>
      <c r="C559" s="24">
        <v>33800</v>
      </c>
      <c r="D559" s="120"/>
      <c r="E559" s="21"/>
    </row>
    <row r="560" spans="1:7" x14ac:dyDescent="0.25">
      <c r="A560" s="11" t="s">
        <v>107</v>
      </c>
      <c r="B560" s="265" t="s">
        <v>108</v>
      </c>
      <c r="C560" s="31">
        <f>SUM(C561)</f>
        <v>278000</v>
      </c>
      <c r="D560" s="120"/>
      <c r="E560" s="21"/>
    </row>
    <row r="561" spans="1:6" x14ac:dyDescent="0.25">
      <c r="A561" s="12" t="s">
        <v>47</v>
      </c>
      <c r="B561" s="23" t="s">
        <v>48</v>
      </c>
      <c r="C561" s="24">
        <v>278000</v>
      </c>
      <c r="D561" s="120"/>
      <c r="E561" s="21"/>
    </row>
    <row r="562" spans="1:6" x14ac:dyDescent="0.25">
      <c r="A562" s="265" t="s">
        <v>119</v>
      </c>
      <c r="B562" s="25" t="s">
        <v>109</v>
      </c>
      <c r="C562" s="31">
        <f>SUM(C563)</f>
        <v>20550</v>
      </c>
      <c r="D562" s="120"/>
      <c r="E562" s="21"/>
    </row>
    <row r="563" spans="1:6" x14ac:dyDescent="0.25">
      <c r="A563" s="72" t="s">
        <v>150</v>
      </c>
      <c r="B563" s="23" t="s">
        <v>69</v>
      </c>
      <c r="C563" s="24">
        <v>20550</v>
      </c>
      <c r="D563" s="22"/>
      <c r="E563" s="25"/>
    </row>
    <row r="564" spans="1:6" x14ac:dyDescent="0.25">
      <c r="A564" s="265" t="s">
        <v>151</v>
      </c>
      <c r="B564" s="25" t="s">
        <v>125</v>
      </c>
      <c r="C564" s="31">
        <f>SUM(C565:C566)</f>
        <v>65500</v>
      </c>
      <c r="D564" s="120"/>
      <c r="E564" s="21"/>
    </row>
    <row r="565" spans="1:6" x14ac:dyDescent="0.25">
      <c r="A565" s="72" t="s">
        <v>152</v>
      </c>
      <c r="B565" s="23" t="s">
        <v>65</v>
      </c>
      <c r="C565" s="24">
        <v>8000</v>
      </c>
      <c r="D565" s="120"/>
      <c r="E565" s="21"/>
    </row>
    <row r="566" spans="1:6" x14ac:dyDescent="0.25">
      <c r="A566" s="72" t="s">
        <v>155</v>
      </c>
      <c r="B566" s="23" t="s">
        <v>133</v>
      </c>
      <c r="C566" s="24">
        <v>57500</v>
      </c>
      <c r="D566" s="120"/>
      <c r="E566" s="21"/>
    </row>
    <row r="567" spans="1:6" ht="13.5" thickBot="1" x14ac:dyDescent="0.3">
      <c r="A567" s="72"/>
      <c r="B567" s="23"/>
      <c r="C567" s="23"/>
      <c r="D567" s="120"/>
      <c r="E567" s="21"/>
    </row>
    <row r="568" spans="1:6" ht="13.5" thickBot="1" x14ac:dyDescent="0.3">
      <c r="A568" s="1096" t="s">
        <v>3</v>
      </c>
      <c r="B568" s="1097"/>
      <c r="C568" s="668">
        <f>(C569+C571+C573+C576)</f>
        <v>1524250</v>
      </c>
      <c r="D568" s="120"/>
      <c r="E568" s="21"/>
    </row>
    <row r="569" spans="1:6" x14ac:dyDescent="0.25">
      <c r="A569" s="11" t="s">
        <v>110</v>
      </c>
      <c r="B569" s="11" t="s">
        <v>111</v>
      </c>
      <c r="C569" s="32">
        <f>SUM(C570)</f>
        <v>24400</v>
      </c>
      <c r="D569" s="120"/>
      <c r="E569" s="21"/>
    </row>
    <row r="570" spans="1:6" x14ac:dyDescent="0.25">
      <c r="A570" s="12" t="s">
        <v>52</v>
      </c>
      <c r="B570" s="12" t="s">
        <v>15</v>
      </c>
      <c r="C570" s="24">
        <v>24400</v>
      </c>
      <c r="D570" s="96"/>
      <c r="E570" s="96"/>
    </row>
    <row r="571" spans="1:6" x14ac:dyDescent="0.25">
      <c r="A571" s="11" t="s">
        <v>120</v>
      </c>
      <c r="B571" s="25" t="s">
        <v>121</v>
      </c>
      <c r="C571" s="31">
        <f>SUM(C572)</f>
        <v>20500</v>
      </c>
      <c r="D571" s="12"/>
      <c r="E571" s="12"/>
    </row>
    <row r="572" spans="1:6" x14ac:dyDescent="0.25">
      <c r="A572" s="12" t="s">
        <v>136</v>
      </c>
      <c r="B572" s="12" t="s">
        <v>71</v>
      </c>
      <c r="C572" s="24">
        <v>20500</v>
      </c>
      <c r="D572" s="12"/>
      <c r="E572" s="12"/>
    </row>
    <row r="573" spans="1:6" x14ac:dyDescent="0.25">
      <c r="A573" s="265" t="s">
        <v>112</v>
      </c>
      <c r="B573" s="11" t="s">
        <v>157</v>
      </c>
      <c r="C573" s="31">
        <f>SUM(C574:C575)</f>
        <v>610500</v>
      </c>
      <c r="D573" s="12"/>
      <c r="E573" s="72"/>
    </row>
    <row r="574" spans="1:6" x14ac:dyDescent="0.25">
      <c r="A574" s="72" t="s">
        <v>138</v>
      </c>
      <c r="B574" s="59" t="s">
        <v>878</v>
      </c>
      <c r="C574" s="24">
        <v>15500</v>
      </c>
      <c r="D574" s="12"/>
      <c r="E574" s="72"/>
      <c r="F574" s="18"/>
    </row>
    <row r="575" spans="1:6" x14ac:dyDescent="0.25">
      <c r="A575" s="72" t="s">
        <v>49</v>
      </c>
      <c r="B575" s="23" t="s">
        <v>87</v>
      </c>
      <c r="C575" s="24">
        <v>595000</v>
      </c>
      <c r="D575" s="12"/>
      <c r="E575" s="598"/>
    </row>
    <row r="576" spans="1:6" x14ac:dyDescent="0.25">
      <c r="A576" s="265" t="s">
        <v>115</v>
      </c>
      <c r="B576" s="25" t="s">
        <v>8</v>
      </c>
      <c r="C576" s="31">
        <f>SUM(C577:C579)</f>
        <v>868850</v>
      </c>
      <c r="D576" s="120"/>
      <c r="E576" s="21"/>
    </row>
    <row r="577" spans="1:7" x14ac:dyDescent="0.25">
      <c r="A577" s="72" t="s">
        <v>92</v>
      </c>
      <c r="B577" s="23" t="s">
        <v>8</v>
      </c>
      <c r="C577" s="24">
        <v>698000</v>
      </c>
      <c r="D577" s="237"/>
      <c r="E577" s="348"/>
    </row>
    <row r="578" spans="1:7" x14ac:dyDescent="0.25">
      <c r="A578" s="72" t="s">
        <v>94</v>
      </c>
      <c r="B578" s="23" t="s">
        <v>50</v>
      </c>
      <c r="C578" s="24">
        <v>15850</v>
      </c>
      <c r="D578" s="24"/>
      <c r="E578" s="28"/>
    </row>
    <row r="579" spans="1:7" x14ac:dyDescent="0.25">
      <c r="A579" s="72" t="s">
        <v>90</v>
      </c>
      <c r="B579" s="23" t="s">
        <v>7</v>
      </c>
      <c r="C579" s="24">
        <v>155000</v>
      </c>
      <c r="D579" s="96"/>
      <c r="E579" s="96"/>
    </row>
    <row r="580" spans="1:7" ht="13.5" thickBot="1" x14ac:dyDescent="0.3">
      <c r="A580" s="72"/>
      <c r="B580" s="23"/>
      <c r="C580" s="23"/>
      <c r="D580" s="24"/>
      <c r="E580" s="23"/>
    </row>
    <row r="581" spans="1:7" ht="13.5" thickBot="1" x14ac:dyDescent="0.3">
      <c r="A581" s="1100" t="s">
        <v>4</v>
      </c>
      <c r="B581" s="1101"/>
      <c r="C581" s="670">
        <f>C582+C584</f>
        <v>51350</v>
      </c>
      <c r="D581" s="147"/>
      <c r="E581" s="21"/>
    </row>
    <row r="582" spans="1:7" x14ac:dyDescent="0.25">
      <c r="A582" s="265" t="s">
        <v>116</v>
      </c>
      <c r="B582" s="265" t="s">
        <v>117</v>
      </c>
      <c r="C582" s="31">
        <f>SUM(C583)</f>
        <v>30600</v>
      </c>
      <c r="D582" s="120"/>
      <c r="E582" s="21"/>
    </row>
    <row r="583" spans="1:7" x14ac:dyDescent="0.25">
      <c r="A583" s="72" t="s">
        <v>91</v>
      </c>
      <c r="B583" s="72" t="s">
        <v>139</v>
      </c>
      <c r="C583" s="24">
        <v>30600</v>
      </c>
      <c r="D583" s="24"/>
      <c r="E583" s="23"/>
    </row>
    <row r="584" spans="1:7" x14ac:dyDescent="0.25">
      <c r="A584" s="265" t="s">
        <v>166</v>
      </c>
      <c r="B584" s="25" t="s">
        <v>135</v>
      </c>
      <c r="C584" s="31">
        <f>SUM(C585)</f>
        <v>20750</v>
      </c>
      <c r="D584" s="147"/>
      <c r="E584" s="21"/>
    </row>
    <row r="585" spans="1:7" x14ac:dyDescent="0.25">
      <c r="A585" s="72" t="s">
        <v>167</v>
      </c>
      <c r="B585" s="23" t="s">
        <v>51</v>
      </c>
      <c r="C585" s="24">
        <v>20750</v>
      </c>
    </row>
    <row r="586" spans="1:7" s="5" customFormat="1" x14ac:dyDescent="0.25">
      <c r="A586" s="72"/>
      <c r="B586" s="23"/>
      <c r="C586" s="23"/>
      <c r="D586" s="18"/>
      <c r="E586" s="349"/>
      <c r="F586" s="1"/>
      <c r="G586" s="341"/>
    </row>
    <row r="587" spans="1:7" s="5" customFormat="1" ht="13.5" thickBot="1" x14ac:dyDescent="0.3">
      <c r="A587" s="72"/>
      <c r="B587" s="23"/>
      <c r="C587" s="23"/>
      <c r="D587" s="18"/>
      <c r="E587" s="349"/>
      <c r="F587" s="1"/>
      <c r="G587" s="341"/>
    </row>
    <row r="588" spans="1:7" s="5" customFormat="1" x14ac:dyDescent="0.25">
      <c r="A588" s="648" t="s">
        <v>689</v>
      </c>
      <c r="B588" s="649"/>
      <c r="C588" s="690"/>
      <c r="D588" s="692" t="s">
        <v>6</v>
      </c>
      <c r="E588" s="913" t="s">
        <v>721</v>
      </c>
      <c r="F588" s="1"/>
      <c r="G588" s="341"/>
    </row>
    <row r="589" spans="1:7" s="5" customFormat="1" ht="13.5" thickBot="1" x14ac:dyDescent="0.3">
      <c r="A589" s="707"/>
      <c r="B589" s="728"/>
      <c r="C589" s="733"/>
      <c r="D589" s="734"/>
      <c r="E589" s="735"/>
      <c r="F589" s="1"/>
      <c r="G589" s="341"/>
    </row>
    <row r="590" spans="1:7" s="147" customFormat="1" x14ac:dyDescent="0.25">
      <c r="A590" s="50" t="s">
        <v>807</v>
      </c>
      <c r="B590" s="150"/>
      <c r="C590" s="51"/>
      <c r="D590" s="51"/>
      <c r="E590" s="316"/>
      <c r="F590" s="1"/>
      <c r="G590" s="349"/>
    </row>
    <row r="591" spans="1:7" s="147" customFormat="1" x14ac:dyDescent="0.25">
      <c r="A591" s="37" t="s">
        <v>691</v>
      </c>
      <c r="C591" s="120"/>
      <c r="D591" s="120"/>
      <c r="E591" s="317"/>
      <c r="F591" s="1"/>
      <c r="G591" s="349"/>
    </row>
    <row r="592" spans="1:7" s="147" customFormat="1" x14ac:dyDescent="0.25">
      <c r="A592" s="37" t="s">
        <v>692</v>
      </c>
      <c r="C592" s="120"/>
      <c r="D592" s="120"/>
      <c r="E592" s="317"/>
      <c r="F592" s="1"/>
      <c r="G592" s="349"/>
    </row>
    <row r="593" spans="1:7" s="147" customFormat="1" x14ac:dyDescent="0.25">
      <c r="A593" s="1126" t="s">
        <v>921</v>
      </c>
      <c r="B593" s="1127"/>
      <c r="C593" s="1127"/>
      <c r="D593" s="1127"/>
      <c r="E593" s="1128"/>
      <c r="F593" s="1"/>
      <c r="G593" s="349"/>
    </row>
    <row r="594" spans="1:7" s="147" customFormat="1" x14ac:dyDescent="0.25">
      <c r="A594" s="1126"/>
      <c r="B594" s="1127"/>
      <c r="C594" s="1127"/>
      <c r="D594" s="1127"/>
      <c r="E594" s="1128"/>
      <c r="F594" s="1"/>
      <c r="G594" s="349"/>
    </row>
    <row r="595" spans="1:7" s="147" customFormat="1" ht="13.5" thickBot="1" x14ac:dyDescent="0.3">
      <c r="A595" s="1129"/>
      <c r="B595" s="1130"/>
      <c r="C595" s="1130"/>
      <c r="D595" s="1130"/>
      <c r="E595" s="1131"/>
      <c r="F595" s="1"/>
      <c r="G595" s="349"/>
    </row>
    <row r="596" spans="1:7" s="5" customFormat="1" x14ac:dyDescent="0.25">
      <c r="A596" s="41" t="s">
        <v>1029</v>
      </c>
      <c r="B596" s="12"/>
      <c r="C596" s="24"/>
      <c r="D596" s="24"/>
      <c r="E596" s="320"/>
      <c r="F596" s="1"/>
      <c r="G596" s="341"/>
    </row>
    <row r="597" spans="1:7" s="5" customFormat="1" x14ac:dyDescent="0.25">
      <c r="A597" s="41" t="s">
        <v>662</v>
      </c>
      <c r="B597" s="12"/>
      <c r="C597" s="24"/>
      <c r="D597" s="24"/>
      <c r="E597" s="320"/>
      <c r="F597" s="1"/>
      <c r="G597" s="341"/>
    </row>
    <row r="598" spans="1:7" s="5" customFormat="1" x14ac:dyDescent="0.25">
      <c r="A598" s="41" t="s">
        <v>1040</v>
      </c>
      <c r="B598" s="12"/>
      <c r="C598" s="24"/>
      <c r="D598" s="24"/>
      <c r="E598" s="320"/>
      <c r="F598" s="1"/>
      <c r="G598" s="341"/>
    </row>
    <row r="599" spans="1:7" s="5" customFormat="1" ht="13.5" thickBot="1" x14ac:dyDescent="0.3">
      <c r="A599" s="76" t="s">
        <v>13</v>
      </c>
      <c r="B599" s="140"/>
      <c r="C599" s="377"/>
      <c r="D599" s="377"/>
      <c r="E599" s="378"/>
      <c r="F599" s="1"/>
      <c r="G599" s="341"/>
    </row>
    <row r="600" spans="1:7" s="5" customFormat="1" ht="13.5" thickBot="1" x14ac:dyDescent="0.3">
      <c r="A600" s="762" t="s">
        <v>14</v>
      </c>
      <c r="B600" s="763"/>
      <c r="C600" s="764"/>
      <c r="D600" s="766"/>
      <c r="E600" s="772">
        <f>+C602+C615+C628</f>
        <v>1651670</v>
      </c>
      <c r="F600" s="1"/>
      <c r="G600" s="88"/>
    </row>
    <row r="601" spans="1:7" s="5" customFormat="1" ht="13.5" thickBot="1" x14ac:dyDescent="0.3">
      <c r="A601" s="11"/>
      <c r="B601" s="11"/>
      <c r="C601" s="31"/>
      <c r="D601" s="31"/>
      <c r="E601" s="3"/>
      <c r="F601" s="1"/>
      <c r="G601" s="341"/>
    </row>
    <row r="602" spans="1:7" s="5" customFormat="1" ht="13.5" thickBot="1" x14ac:dyDescent="0.3">
      <c r="A602" s="1104" t="s">
        <v>2</v>
      </c>
      <c r="B602" s="1105"/>
      <c r="C602" s="667">
        <f>(C603+C605+C607+C609+C611)</f>
        <v>342570</v>
      </c>
      <c r="D602" s="120"/>
      <c r="E602" s="3"/>
      <c r="F602" s="1"/>
      <c r="G602" s="341"/>
    </row>
    <row r="603" spans="1:7" s="5" customFormat="1" x14ac:dyDescent="0.25">
      <c r="A603" s="11" t="s">
        <v>103</v>
      </c>
      <c r="B603" s="298" t="s">
        <v>104</v>
      </c>
      <c r="C603" s="32">
        <f>SUM(C604)</f>
        <v>20370</v>
      </c>
      <c r="D603" s="237"/>
      <c r="E603" s="349"/>
      <c r="F603" s="1"/>
      <c r="G603" s="341"/>
    </row>
    <row r="604" spans="1:7" s="5" customFormat="1" x14ac:dyDescent="0.25">
      <c r="A604" s="12" t="s">
        <v>46</v>
      </c>
      <c r="B604" s="72" t="s">
        <v>45</v>
      </c>
      <c r="C604" s="24">
        <v>20370</v>
      </c>
      <c r="D604" s="120"/>
      <c r="E604" s="21"/>
      <c r="F604" s="1"/>
      <c r="G604" s="341"/>
    </row>
    <row r="605" spans="1:7" s="5" customFormat="1" x14ac:dyDescent="0.25">
      <c r="A605" s="11" t="s">
        <v>105</v>
      </c>
      <c r="B605" s="265" t="s">
        <v>106</v>
      </c>
      <c r="C605" s="31">
        <f>SUM(C606)</f>
        <v>35000</v>
      </c>
      <c r="D605" s="120"/>
      <c r="E605" s="21"/>
      <c r="F605" s="1"/>
      <c r="G605" s="341"/>
    </row>
    <row r="606" spans="1:7" s="5" customFormat="1" x14ac:dyDescent="0.25">
      <c r="A606" s="12" t="s">
        <v>86</v>
      </c>
      <c r="B606" s="72" t="s">
        <v>66</v>
      </c>
      <c r="C606" s="24">
        <v>35000</v>
      </c>
      <c r="D606" s="120"/>
      <c r="E606" s="21"/>
      <c r="F606" s="1"/>
      <c r="G606" s="341"/>
    </row>
    <row r="607" spans="1:7" s="5" customFormat="1" x14ac:dyDescent="0.25">
      <c r="A607" s="11" t="s">
        <v>107</v>
      </c>
      <c r="B607" s="265" t="s">
        <v>108</v>
      </c>
      <c r="C607" s="31">
        <f>SUM(C608)</f>
        <v>215000</v>
      </c>
      <c r="D607" s="120"/>
      <c r="E607" s="21"/>
      <c r="F607" s="1"/>
      <c r="G607" s="341"/>
    </row>
    <row r="608" spans="1:7" s="5" customFormat="1" x14ac:dyDescent="0.25">
      <c r="A608" s="12" t="s">
        <v>47</v>
      </c>
      <c r="B608" s="23" t="s">
        <v>48</v>
      </c>
      <c r="C608" s="24">
        <v>215000</v>
      </c>
      <c r="D608" s="120"/>
      <c r="E608" s="21"/>
      <c r="F608" s="1"/>
      <c r="G608" s="341"/>
    </row>
    <row r="609" spans="1:7" s="5" customFormat="1" x14ac:dyDescent="0.25">
      <c r="A609" s="265" t="s">
        <v>119</v>
      </c>
      <c r="B609" s="25" t="s">
        <v>109</v>
      </c>
      <c r="C609" s="31">
        <f>SUM(C610)</f>
        <v>15000</v>
      </c>
      <c r="D609" s="120"/>
      <c r="E609" s="21"/>
      <c r="F609" s="1"/>
      <c r="G609" s="341"/>
    </row>
    <row r="610" spans="1:7" s="5" customFormat="1" x14ac:dyDescent="0.25">
      <c r="A610" s="72" t="s">
        <v>150</v>
      </c>
      <c r="B610" s="23" t="s">
        <v>69</v>
      </c>
      <c r="C610" s="24">
        <v>15000</v>
      </c>
      <c r="D610" s="22"/>
      <c r="E610" s="25"/>
      <c r="F610" s="1"/>
      <c r="G610" s="341"/>
    </row>
    <row r="611" spans="1:7" s="5" customFormat="1" x14ac:dyDescent="0.25">
      <c r="A611" s="265" t="s">
        <v>151</v>
      </c>
      <c r="B611" s="25" t="s">
        <v>125</v>
      </c>
      <c r="C611" s="31">
        <f>SUM(C612:C613)</f>
        <v>57200</v>
      </c>
      <c r="D611" s="120"/>
      <c r="E611" s="21"/>
      <c r="F611" s="1"/>
      <c r="G611" s="341"/>
    </row>
    <row r="612" spans="1:7" s="5" customFormat="1" x14ac:dyDescent="0.25">
      <c r="A612" s="72" t="s">
        <v>152</v>
      </c>
      <c r="B612" s="23" t="s">
        <v>65</v>
      </c>
      <c r="C612" s="24">
        <v>8500</v>
      </c>
      <c r="D612" s="120"/>
      <c r="E612" s="21"/>
      <c r="F612" s="1"/>
      <c r="G612" s="341"/>
    </row>
    <row r="613" spans="1:7" s="5" customFormat="1" x14ac:dyDescent="0.25">
      <c r="A613" s="72" t="s">
        <v>155</v>
      </c>
      <c r="B613" s="23" t="s">
        <v>133</v>
      </c>
      <c r="C613" s="24">
        <v>48700</v>
      </c>
      <c r="D613" s="120"/>
      <c r="E613" s="21"/>
      <c r="F613" s="1"/>
      <c r="G613" s="341"/>
    </row>
    <row r="614" spans="1:7" s="5" customFormat="1" ht="13.5" thickBot="1" x14ac:dyDescent="0.3">
      <c r="A614" s="72"/>
      <c r="B614" s="23"/>
      <c r="C614" s="23"/>
      <c r="D614" s="120"/>
      <c r="E614" s="21"/>
      <c r="F614" s="1"/>
      <c r="G614" s="341"/>
    </row>
    <row r="615" spans="1:7" s="5" customFormat="1" ht="13.5" thickBot="1" x14ac:dyDescent="0.3">
      <c r="A615" s="1096" t="s">
        <v>3</v>
      </c>
      <c r="B615" s="1097"/>
      <c r="C615" s="668">
        <f>(C616+C618+C620+C623)</f>
        <v>1258400</v>
      </c>
      <c r="D615" s="120"/>
      <c r="E615" s="21"/>
      <c r="F615" s="1"/>
      <c r="G615" s="341"/>
    </row>
    <row r="616" spans="1:7" s="5" customFormat="1" x14ac:dyDescent="0.25">
      <c r="A616" s="11" t="s">
        <v>110</v>
      </c>
      <c r="B616" s="11" t="s">
        <v>111</v>
      </c>
      <c r="C616" s="32">
        <f>SUM(C617)</f>
        <v>22500</v>
      </c>
      <c r="D616" s="120"/>
      <c r="E616" s="21"/>
      <c r="F616" s="1"/>
      <c r="G616" s="341"/>
    </row>
    <row r="617" spans="1:7" s="5" customFormat="1" x14ac:dyDescent="0.25">
      <c r="A617" s="12" t="s">
        <v>52</v>
      </c>
      <c r="B617" s="12" t="s">
        <v>15</v>
      </c>
      <c r="C617" s="24">
        <v>22500</v>
      </c>
      <c r="D617" s="96"/>
      <c r="E617" s="96"/>
      <c r="F617" s="1"/>
      <c r="G617" s="341"/>
    </row>
    <row r="618" spans="1:7" s="5" customFormat="1" x14ac:dyDescent="0.25">
      <c r="A618" s="11" t="s">
        <v>120</v>
      </c>
      <c r="B618" s="25" t="s">
        <v>121</v>
      </c>
      <c r="C618" s="31">
        <f>SUM(C619)</f>
        <v>16000</v>
      </c>
      <c r="D618" s="12"/>
      <c r="E618" s="12"/>
      <c r="F618" s="1"/>
      <c r="G618" s="341"/>
    </row>
    <row r="619" spans="1:7" s="5" customFormat="1" x14ac:dyDescent="0.25">
      <c r="A619" s="12" t="s">
        <v>136</v>
      </c>
      <c r="B619" s="12" t="s">
        <v>71</v>
      </c>
      <c r="C619" s="24">
        <v>16000</v>
      </c>
      <c r="D619" s="12"/>
      <c r="E619" s="12"/>
      <c r="F619" s="14"/>
      <c r="G619" s="341"/>
    </row>
    <row r="620" spans="1:7" s="5" customFormat="1" x14ac:dyDescent="0.25">
      <c r="A620" s="265" t="s">
        <v>112</v>
      </c>
      <c r="B620" s="11" t="s">
        <v>157</v>
      </c>
      <c r="C620" s="31">
        <f>SUM(C621:C622)</f>
        <v>509500</v>
      </c>
      <c r="D620" s="12"/>
      <c r="E620" s="72"/>
      <c r="F620" s="14"/>
      <c r="G620" s="341"/>
    </row>
    <row r="621" spans="1:7" s="5" customFormat="1" x14ac:dyDescent="0.25">
      <c r="A621" s="72" t="s">
        <v>138</v>
      </c>
      <c r="B621" s="59" t="s">
        <v>878</v>
      </c>
      <c r="C621" s="24">
        <v>20500</v>
      </c>
      <c r="D621" s="12"/>
      <c r="E621" s="72"/>
      <c r="F621" s="1"/>
      <c r="G621" s="341"/>
    </row>
    <row r="622" spans="1:7" s="5" customFormat="1" x14ac:dyDescent="0.25">
      <c r="A622" s="72" t="s">
        <v>49</v>
      </c>
      <c r="B622" s="23" t="s">
        <v>87</v>
      </c>
      <c r="C622" s="24">
        <v>489000</v>
      </c>
      <c r="D622" s="12"/>
      <c r="E622" s="598"/>
      <c r="F622" s="1"/>
      <c r="G622" s="341"/>
    </row>
    <row r="623" spans="1:7" s="5" customFormat="1" x14ac:dyDescent="0.25">
      <c r="A623" s="265" t="s">
        <v>115</v>
      </c>
      <c r="B623" s="25" t="s">
        <v>8</v>
      </c>
      <c r="C623" s="31">
        <f>SUM(C624:C626)</f>
        <v>710400</v>
      </c>
      <c r="D623" s="120"/>
      <c r="E623" s="21"/>
      <c r="F623" s="1"/>
      <c r="G623" s="341"/>
    </row>
    <row r="624" spans="1:7" s="5" customFormat="1" x14ac:dyDescent="0.25">
      <c r="A624" s="72" t="s">
        <v>92</v>
      </c>
      <c r="B624" s="23" t="s">
        <v>8</v>
      </c>
      <c r="C624" s="24">
        <v>587000</v>
      </c>
      <c r="D624" s="237"/>
      <c r="E624" s="348"/>
      <c r="F624" s="1"/>
      <c r="G624" s="341"/>
    </row>
    <row r="625" spans="1:7" s="5" customFormat="1" x14ac:dyDescent="0.25">
      <c r="A625" s="72" t="s">
        <v>94</v>
      </c>
      <c r="B625" s="23" t="s">
        <v>50</v>
      </c>
      <c r="C625" s="24">
        <v>25600</v>
      </c>
      <c r="D625" s="24"/>
      <c r="E625" s="28"/>
      <c r="F625" s="1"/>
      <c r="G625" s="341"/>
    </row>
    <row r="626" spans="1:7" s="5" customFormat="1" x14ac:dyDescent="0.25">
      <c r="A626" s="72" t="s">
        <v>90</v>
      </c>
      <c r="B626" s="23" t="s">
        <v>7</v>
      </c>
      <c r="C626" s="24">
        <v>97800</v>
      </c>
      <c r="D626" s="96"/>
      <c r="E626" s="96"/>
      <c r="F626" s="1"/>
      <c r="G626" s="341"/>
    </row>
    <row r="627" spans="1:7" s="5" customFormat="1" ht="13.5" thickBot="1" x14ac:dyDescent="0.3">
      <c r="A627" s="72"/>
      <c r="B627" s="23"/>
      <c r="C627" s="23"/>
      <c r="D627" s="24"/>
      <c r="E627" s="23"/>
      <c r="F627" s="1"/>
      <c r="G627" s="341"/>
    </row>
    <row r="628" spans="1:7" s="5" customFormat="1" ht="13.5" thickBot="1" x14ac:dyDescent="0.3">
      <c r="A628" s="1100" t="s">
        <v>4</v>
      </c>
      <c r="B628" s="1101"/>
      <c r="C628" s="670">
        <f>C629+C631</f>
        <v>50700</v>
      </c>
      <c r="D628" s="147"/>
      <c r="E628" s="21"/>
      <c r="F628" s="1"/>
      <c r="G628" s="341"/>
    </row>
    <row r="629" spans="1:7" s="5" customFormat="1" x14ac:dyDescent="0.25">
      <c r="A629" s="265" t="s">
        <v>116</v>
      </c>
      <c r="B629" s="265" t="s">
        <v>117</v>
      </c>
      <c r="C629" s="31">
        <f>SUM(C630)</f>
        <v>35000</v>
      </c>
      <c r="D629" s="120"/>
      <c r="E629" s="21"/>
      <c r="F629" s="1"/>
      <c r="G629" s="341"/>
    </row>
    <row r="630" spans="1:7" s="5" customFormat="1" x14ac:dyDescent="0.25">
      <c r="A630" s="72" t="s">
        <v>91</v>
      </c>
      <c r="B630" s="72" t="s">
        <v>139</v>
      </c>
      <c r="C630" s="24">
        <v>35000</v>
      </c>
      <c r="D630" s="24"/>
      <c r="E630" s="23"/>
      <c r="F630" s="1"/>
      <c r="G630" s="341"/>
    </row>
    <row r="631" spans="1:7" s="5" customFormat="1" x14ac:dyDescent="0.25">
      <c r="A631" s="265" t="s">
        <v>166</v>
      </c>
      <c r="B631" s="25" t="s">
        <v>135</v>
      </c>
      <c r="C631" s="31">
        <f>SUM(C632)</f>
        <v>15700</v>
      </c>
      <c r="D631" s="147"/>
      <c r="E631" s="21"/>
      <c r="F631" s="1"/>
      <c r="G631" s="341"/>
    </row>
    <row r="632" spans="1:7" s="5" customFormat="1" x14ac:dyDescent="0.25">
      <c r="A632" s="72" t="s">
        <v>167</v>
      </c>
      <c r="B632" s="23" t="s">
        <v>51</v>
      </c>
      <c r="C632" s="24">
        <v>15700</v>
      </c>
      <c r="D632" s="18"/>
      <c r="E632" s="18"/>
      <c r="F632" s="1"/>
      <c r="G632" s="341"/>
    </row>
    <row r="633" spans="1:7" s="5" customFormat="1" x14ac:dyDescent="0.25">
      <c r="A633" s="72"/>
      <c r="B633" s="23"/>
      <c r="C633" s="23"/>
      <c r="D633" s="18"/>
      <c r="E633" s="349"/>
      <c r="F633" s="1"/>
      <c r="G633" s="341"/>
    </row>
    <row r="634" spans="1:7" s="5" customFormat="1" ht="13.5" thickBot="1" x14ac:dyDescent="0.3">
      <c r="A634" s="72"/>
      <c r="B634" s="23"/>
      <c r="C634" s="23"/>
      <c r="D634" s="18"/>
      <c r="E634" s="349"/>
      <c r="F634" s="1"/>
      <c r="G634" s="341"/>
    </row>
    <row r="635" spans="1:7" ht="13.5" customHeight="1" x14ac:dyDescent="0.25">
      <c r="A635" s="648" t="s">
        <v>389</v>
      </c>
      <c r="B635" s="649"/>
      <c r="C635" s="690"/>
      <c r="D635" s="692" t="s">
        <v>6</v>
      </c>
      <c r="E635" s="913" t="s">
        <v>722</v>
      </c>
      <c r="G635" s="341"/>
    </row>
    <row r="636" spans="1:7" ht="13.5" customHeight="1" thickBot="1" x14ac:dyDescent="0.3">
      <c r="A636" s="652"/>
      <c r="B636" s="653"/>
      <c r="C636" s="693"/>
      <c r="D636" s="695"/>
      <c r="E636" s="718"/>
      <c r="G636" s="341"/>
    </row>
    <row r="637" spans="1:7" ht="13.5" customHeight="1" x14ac:dyDescent="0.25">
      <c r="A637" s="1123" t="s">
        <v>922</v>
      </c>
      <c r="B637" s="1124"/>
      <c r="C637" s="1124"/>
      <c r="D637" s="1124"/>
      <c r="E637" s="1125"/>
      <c r="G637" s="341"/>
    </row>
    <row r="638" spans="1:7" ht="13.5" customHeight="1" thickBot="1" x14ac:dyDescent="0.3">
      <c r="A638" s="1129"/>
      <c r="B638" s="1130"/>
      <c r="C638" s="1130"/>
      <c r="D638" s="1130"/>
      <c r="E638" s="1131"/>
      <c r="G638" s="341"/>
    </row>
    <row r="639" spans="1:7" s="10" customFormat="1" ht="11.5" x14ac:dyDescent="0.25">
      <c r="A639" s="41" t="s">
        <v>1029</v>
      </c>
      <c r="B639" s="12"/>
      <c r="C639" s="24"/>
      <c r="D639" s="24"/>
      <c r="E639" s="320"/>
      <c r="G639" s="342"/>
    </row>
    <row r="640" spans="1:7" s="10" customFormat="1" ht="11.5" x14ac:dyDescent="0.25">
      <c r="A640" s="41" t="s">
        <v>638</v>
      </c>
      <c r="B640" s="12"/>
      <c r="C640" s="24"/>
      <c r="D640" s="24"/>
      <c r="E640" s="320"/>
      <c r="G640" s="342"/>
    </row>
    <row r="641" spans="1:7" s="196" customFormat="1" ht="11.5" x14ac:dyDescent="0.25">
      <c r="A641" s="41" t="s">
        <v>1040</v>
      </c>
      <c r="B641" s="12"/>
      <c r="C641" s="24"/>
      <c r="D641" s="24"/>
      <c r="E641" s="320"/>
      <c r="F641" s="10"/>
      <c r="G641" s="342"/>
    </row>
    <row r="642" spans="1:7" s="196" customFormat="1" ht="12" thickBot="1" x14ac:dyDescent="0.3">
      <c r="A642" s="41" t="s">
        <v>13</v>
      </c>
      <c r="B642" s="12"/>
      <c r="C642" s="24"/>
      <c r="D642" s="24"/>
      <c r="E642" s="320"/>
      <c r="F642" s="10"/>
      <c r="G642" s="342"/>
    </row>
    <row r="643" spans="1:7" ht="13.5" customHeight="1" thickBot="1" x14ac:dyDescent="0.3">
      <c r="A643" s="762" t="s">
        <v>14</v>
      </c>
      <c r="B643" s="763"/>
      <c r="C643" s="764"/>
      <c r="D643" s="766"/>
      <c r="E643" s="772">
        <f>C645+C659+C680</f>
        <v>123810396</v>
      </c>
      <c r="F643" s="10"/>
      <c r="G643" s="343"/>
    </row>
    <row r="644" spans="1:7" ht="13.5" customHeight="1" thickBot="1" x14ac:dyDescent="0.3">
      <c r="A644" s="11"/>
      <c r="B644" s="11"/>
      <c r="C644" s="31"/>
      <c r="D644" s="31"/>
      <c r="E644" s="31"/>
      <c r="F644" s="196"/>
      <c r="G644" s="345"/>
    </row>
    <row r="645" spans="1:7" ht="13.5" customHeight="1" thickBot="1" x14ac:dyDescent="0.3">
      <c r="A645" s="1211" t="s">
        <v>391</v>
      </c>
      <c r="B645" s="1212"/>
      <c r="C645" s="382">
        <f>C646+C651+C653+C656</f>
        <v>7706543</v>
      </c>
      <c r="G645" s="341"/>
    </row>
    <row r="646" spans="1:7" s="351" customFormat="1" ht="13.5" customHeight="1" x14ac:dyDescent="0.25">
      <c r="A646" s="11" t="s">
        <v>392</v>
      </c>
      <c r="B646" s="298" t="s">
        <v>393</v>
      </c>
      <c r="C646" s="32">
        <f>SUM(C647:C650)</f>
        <v>1000002</v>
      </c>
      <c r="D646" s="237"/>
      <c r="E646" s="237"/>
    </row>
    <row r="647" spans="1:7" s="5" customFormat="1" ht="14.25" customHeight="1" x14ac:dyDescent="0.25">
      <c r="A647" s="12" t="s">
        <v>394</v>
      </c>
      <c r="B647" s="12" t="s">
        <v>395</v>
      </c>
      <c r="C647" s="24">
        <v>500000</v>
      </c>
      <c r="D647" s="21"/>
      <c r="E647" s="21"/>
      <c r="G647" s="350"/>
    </row>
    <row r="648" spans="1:7" s="5" customFormat="1" ht="14.25" customHeight="1" x14ac:dyDescent="0.25">
      <c r="A648" s="12" t="s">
        <v>396</v>
      </c>
      <c r="B648" s="12" t="s">
        <v>397</v>
      </c>
      <c r="C648" s="24">
        <v>500000</v>
      </c>
      <c r="D648" s="21"/>
      <c r="E648" s="21"/>
      <c r="G648" s="350"/>
    </row>
    <row r="649" spans="1:7" s="5" customFormat="1" ht="14.25" customHeight="1" x14ac:dyDescent="0.25">
      <c r="A649" s="12" t="s">
        <v>398</v>
      </c>
      <c r="B649" s="12" t="s">
        <v>399</v>
      </c>
      <c r="C649" s="24">
        <v>1</v>
      </c>
      <c r="D649" s="21"/>
      <c r="E649" s="21"/>
      <c r="G649" s="350"/>
    </row>
    <row r="650" spans="1:7" s="5" customFormat="1" ht="14.25" customHeight="1" x14ac:dyDescent="0.25">
      <c r="A650" s="12" t="s">
        <v>400</v>
      </c>
      <c r="B650" s="12" t="s">
        <v>401</v>
      </c>
      <c r="C650" s="24">
        <v>1</v>
      </c>
      <c r="D650" s="21"/>
      <c r="E650" s="21"/>
      <c r="G650" s="350"/>
    </row>
    <row r="651" spans="1:7" s="5" customFormat="1" ht="14.25" customHeight="1" x14ac:dyDescent="0.25">
      <c r="A651" s="11" t="s">
        <v>402</v>
      </c>
      <c r="B651" s="11" t="s">
        <v>403</v>
      </c>
      <c r="C651" s="31">
        <f>SUM(C652)</f>
        <v>1</v>
      </c>
      <c r="D651" s="21"/>
      <c r="E651" s="21"/>
      <c r="G651" s="350"/>
    </row>
    <row r="652" spans="1:7" s="5" customFormat="1" ht="14.25" customHeight="1" x14ac:dyDescent="0.25">
      <c r="A652" s="12" t="s">
        <v>404</v>
      </c>
      <c r="B652" s="12" t="s">
        <v>405</v>
      </c>
      <c r="C652" s="24">
        <v>1</v>
      </c>
      <c r="D652" s="21"/>
      <c r="E652" s="21"/>
      <c r="G652" s="350"/>
    </row>
    <row r="653" spans="1:7" s="5" customFormat="1" ht="14.25" customHeight="1" x14ac:dyDescent="0.25">
      <c r="A653" s="11" t="s">
        <v>406</v>
      </c>
      <c r="B653" s="11" t="s">
        <v>407</v>
      </c>
      <c r="C653" s="31">
        <f>SUM(C654:C655)</f>
        <v>2</v>
      </c>
      <c r="D653" s="21"/>
      <c r="E653" s="21"/>
      <c r="G653" s="350"/>
    </row>
    <row r="654" spans="1:7" s="5" customFormat="1" ht="13.5" customHeight="1" x14ac:dyDescent="0.25">
      <c r="A654" s="12" t="s">
        <v>408</v>
      </c>
      <c r="B654" s="12" t="s">
        <v>409</v>
      </c>
      <c r="C654" s="24">
        <v>1</v>
      </c>
      <c r="D654" s="21"/>
      <c r="E654" s="21"/>
      <c r="G654" s="350"/>
    </row>
    <row r="655" spans="1:7" s="5" customFormat="1" ht="13.5" customHeight="1" x14ac:dyDescent="0.25">
      <c r="A655" s="12" t="s">
        <v>410</v>
      </c>
      <c r="B655" s="12" t="s">
        <v>411</v>
      </c>
      <c r="C655" s="24">
        <v>1</v>
      </c>
      <c r="D655" s="21"/>
      <c r="E655" s="21"/>
      <c r="G655" s="350"/>
    </row>
    <row r="656" spans="1:7" s="5" customFormat="1" ht="13.5" customHeight="1" x14ac:dyDescent="0.25">
      <c r="A656" s="11" t="s">
        <v>412</v>
      </c>
      <c r="B656" s="11" t="s">
        <v>413</v>
      </c>
      <c r="C656" s="31">
        <f>SUM(C657)</f>
        <v>6706538</v>
      </c>
      <c r="D656" s="120"/>
      <c r="E656" s="120"/>
      <c r="F656" s="147"/>
      <c r="G656" s="351"/>
    </row>
    <row r="657" spans="1:12" s="147" customFormat="1" ht="13.5" customHeight="1" x14ac:dyDescent="0.25">
      <c r="A657" s="12" t="s">
        <v>414</v>
      </c>
      <c r="B657" s="12" t="s">
        <v>841</v>
      </c>
      <c r="C657" s="24">
        <v>6706538</v>
      </c>
      <c r="E657" s="38"/>
      <c r="G657" s="414"/>
    </row>
    <row r="658" spans="1:12" ht="13.5" customHeight="1" thickBot="1" x14ac:dyDescent="0.3">
      <c r="A658" s="11"/>
      <c r="B658" s="11"/>
      <c r="C658" s="31"/>
      <c r="D658" s="31"/>
      <c r="E658" s="31"/>
      <c r="G658" s="341"/>
    </row>
    <row r="659" spans="1:12" ht="13.5" customHeight="1" thickBot="1" x14ac:dyDescent="0.3">
      <c r="A659" s="1213" t="s">
        <v>415</v>
      </c>
      <c r="B659" s="1214"/>
      <c r="C659" s="383">
        <f>C660+C671+C674+C677</f>
        <v>34243127</v>
      </c>
      <c r="D659" s="31"/>
      <c r="E659" s="31"/>
      <c r="G659" s="341"/>
    </row>
    <row r="660" spans="1:12" s="5" customFormat="1" ht="14.25" customHeight="1" x14ac:dyDescent="0.25">
      <c r="A660" s="265" t="s">
        <v>416</v>
      </c>
      <c r="B660" s="265" t="s">
        <v>417</v>
      </c>
      <c r="C660" s="31">
        <f>SUM(C661:C670)</f>
        <v>31584273</v>
      </c>
      <c r="D660" s="384"/>
      <c r="E660" s="384"/>
      <c r="F660" s="385"/>
      <c r="G660" s="350"/>
    </row>
    <row r="661" spans="1:12" s="5" customFormat="1" ht="14.25" customHeight="1" x14ac:dyDescent="0.25">
      <c r="A661" s="72" t="s">
        <v>418</v>
      </c>
      <c r="B661" s="72" t="s">
        <v>419</v>
      </c>
      <c r="C661" s="24">
        <v>1</v>
      </c>
      <c r="D661" s="384"/>
      <c r="E661" s="384"/>
      <c r="F661" s="385"/>
      <c r="G661" s="385"/>
    </row>
    <row r="662" spans="1:12" s="147" customFormat="1" ht="14.25" customHeight="1" x14ac:dyDescent="0.25">
      <c r="A662" s="12" t="s">
        <v>420</v>
      </c>
      <c r="B662" s="12" t="s">
        <v>421</v>
      </c>
      <c r="C662" s="24">
        <v>7750006</v>
      </c>
      <c r="D662" s="582"/>
      <c r="E662" s="697"/>
      <c r="F662" s="697"/>
      <c r="G662" s="351"/>
      <c r="J662" s="582"/>
    </row>
    <row r="663" spans="1:12" s="5" customFormat="1" ht="13.5" customHeight="1" x14ac:dyDescent="0.25">
      <c r="A663" s="72" t="s">
        <v>422</v>
      </c>
      <c r="B663" s="72" t="s">
        <v>423</v>
      </c>
      <c r="C663" s="24">
        <v>811931</v>
      </c>
      <c r="F663" s="697"/>
      <c r="G663" s="370"/>
      <c r="H663" s="324"/>
      <c r="I663" s="147"/>
      <c r="J663" s="147"/>
      <c r="K663" s="147"/>
      <c r="L663" s="147"/>
    </row>
    <row r="664" spans="1:12" s="5" customFormat="1" ht="13.5" customHeight="1" x14ac:dyDescent="0.25">
      <c r="A664" s="72" t="s">
        <v>424</v>
      </c>
      <c r="B664" s="72" t="s">
        <v>425</v>
      </c>
      <c r="C664" s="24">
        <v>1</v>
      </c>
      <c r="D664" s="385"/>
      <c r="E664" s="385"/>
      <c r="F664" s="582"/>
      <c r="G664" s="351"/>
      <c r="H664" s="147"/>
      <c r="I664" s="147"/>
      <c r="J664" s="147"/>
      <c r="K664" s="147"/>
      <c r="L664" s="147"/>
    </row>
    <row r="665" spans="1:12" s="5" customFormat="1" ht="13.5" customHeight="1" x14ac:dyDescent="0.25">
      <c r="A665" s="72" t="s">
        <v>426</v>
      </c>
      <c r="B665" s="72" t="s">
        <v>427</v>
      </c>
      <c r="C665" s="24">
        <v>1</v>
      </c>
      <c r="E665" s="385"/>
      <c r="F665" s="697"/>
      <c r="G665" s="351"/>
      <c r="H665" s="147"/>
      <c r="I665" s="147"/>
      <c r="J665" s="147"/>
      <c r="K665" s="147"/>
      <c r="L665" s="147"/>
    </row>
    <row r="666" spans="1:12" s="5" customFormat="1" ht="14.25" customHeight="1" x14ac:dyDescent="0.25">
      <c r="A666" s="72" t="s">
        <v>428</v>
      </c>
      <c r="B666" s="12" t="s">
        <v>429</v>
      </c>
      <c r="C666" s="24">
        <f>SUM(C667)</f>
        <v>1</v>
      </c>
      <c r="D666" s="386"/>
      <c r="E666" s="385"/>
      <c r="F666" s="385"/>
      <c r="G666" s="350"/>
    </row>
    <row r="667" spans="1:12" s="5" customFormat="1" ht="14.25" customHeight="1" x14ac:dyDescent="0.25">
      <c r="A667" s="72" t="s">
        <v>430</v>
      </c>
      <c r="B667" s="12" t="s">
        <v>431</v>
      </c>
      <c r="C667" s="24">
        <v>1</v>
      </c>
      <c r="D667" s="601"/>
      <c r="G667" s="350"/>
    </row>
    <row r="668" spans="1:12" s="147" customFormat="1" ht="14.25" hidden="1" customHeight="1" x14ac:dyDescent="0.25">
      <c r="A668" s="12" t="s">
        <v>654</v>
      </c>
      <c r="B668" s="12" t="s">
        <v>655</v>
      </c>
      <c r="C668" s="24"/>
      <c r="D668" s="38"/>
      <c r="E668" s="584"/>
      <c r="G668" s="351"/>
    </row>
    <row r="669" spans="1:12" s="147" customFormat="1" ht="14.25" customHeight="1" x14ac:dyDescent="0.25">
      <c r="A669" s="12" t="s">
        <v>822</v>
      </c>
      <c r="B669" s="12" t="s">
        <v>763</v>
      </c>
      <c r="C669" s="24">
        <v>1</v>
      </c>
      <c r="D669" s="38"/>
      <c r="E669" s="584"/>
      <c r="G669" s="351"/>
    </row>
    <row r="670" spans="1:12" s="147" customFormat="1" ht="14.25" customHeight="1" x14ac:dyDescent="0.25">
      <c r="A670" s="12" t="s">
        <v>1026</v>
      </c>
      <c r="B670" s="12" t="s">
        <v>1027</v>
      </c>
      <c r="C670" s="24">
        <v>23022330</v>
      </c>
      <c r="D670" s="38"/>
      <c r="E670" s="584"/>
      <c r="G670" s="351"/>
    </row>
    <row r="671" spans="1:12" s="5" customFormat="1" ht="14.25" customHeight="1" x14ac:dyDescent="0.25">
      <c r="A671" s="265" t="s">
        <v>432</v>
      </c>
      <c r="B671" s="161" t="s">
        <v>433</v>
      </c>
      <c r="C671" s="31">
        <f>SUM(C672:C673)</f>
        <v>2</v>
      </c>
      <c r="D671" s="28"/>
      <c r="G671" s="350"/>
    </row>
    <row r="672" spans="1:12" s="5" customFormat="1" ht="13.5" customHeight="1" x14ac:dyDescent="0.25">
      <c r="A672" s="72" t="s">
        <v>434</v>
      </c>
      <c r="B672" s="10" t="s">
        <v>435</v>
      </c>
      <c r="C672" s="24">
        <v>1</v>
      </c>
      <c r="D672" s="343"/>
      <c r="E672" s="622"/>
      <c r="G672" s="350"/>
    </row>
    <row r="673" spans="1:7" s="147" customFormat="1" ht="13.5" customHeight="1" x14ac:dyDescent="0.25">
      <c r="A673" s="12" t="s">
        <v>436</v>
      </c>
      <c r="B673" s="12" t="s">
        <v>437</v>
      </c>
      <c r="C673" s="24">
        <v>1</v>
      </c>
      <c r="D673" s="103"/>
      <c r="F673" s="582"/>
    </row>
    <row r="674" spans="1:7" s="10" customFormat="1" ht="12.75" customHeight="1" x14ac:dyDescent="0.25">
      <c r="A674" s="265" t="s">
        <v>438</v>
      </c>
      <c r="B674" s="11" t="s">
        <v>439</v>
      </c>
      <c r="C674" s="633">
        <f>SUM(C675:C676)</f>
        <v>2658851</v>
      </c>
      <c r="E674" s="28"/>
      <c r="G674" s="342"/>
    </row>
    <row r="675" spans="1:7" s="196" customFormat="1" ht="12.75" customHeight="1" x14ac:dyDescent="0.25">
      <c r="A675" s="12" t="s">
        <v>440</v>
      </c>
      <c r="B675" s="12" t="s">
        <v>441</v>
      </c>
      <c r="C675" s="221">
        <v>2658850</v>
      </c>
      <c r="D675" s="470"/>
      <c r="E675" s="16"/>
      <c r="F675" s="470"/>
      <c r="G675" s="16"/>
    </row>
    <row r="676" spans="1:7" s="10" customFormat="1" ht="12.75" customHeight="1" x14ac:dyDescent="0.25">
      <c r="A676" s="72" t="s">
        <v>442</v>
      </c>
      <c r="B676" s="10" t="s">
        <v>443</v>
      </c>
      <c r="C676" s="221">
        <v>1</v>
      </c>
      <c r="D676" s="28"/>
      <c r="E676" s="28"/>
      <c r="G676" s="342"/>
    </row>
    <row r="677" spans="1:7" s="5" customFormat="1" ht="13.5" customHeight="1" x14ac:dyDescent="0.25">
      <c r="A677" s="265" t="s">
        <v>444</v>
      </c>
      <c r="B677" s="265" t="s">
        <v>445</v>
      </c>
      <c r="C677" s="31">
        <f>SUM(C678)</f>
        <v>1</v>
      </c>
      <c r="D677" s="21"/>
      <c r="E677" s="28"/>
      <c r="G677" s="350"/>
    </row>
    <row r="678" spans="1:7" s="5" customFormat="1" ht="13.5" customHeight="1" x14ac:dyDescent="0.25">
      <c r="A678" s="72" t="s">
        <v>446</v>
      </c>
      <c r="B678" s="5" t="s">
        <v>447</v>
      </c>
      <c r="C678" s="24">
        <v>1</v>
      </c>
      <c r="D678" s="21"/>
      <c r="E678" s="28"/>
      <c r="G678" s="350"/>
    </row>
    <row r="679" spans="1:7" s="10" customFormat="1" ht="12.75" customHeight="1" thickBot="1" x14ac:dyDescent="0.3">
      <c r="A679" s="72"/>
      <c r="C679" s="28"/>
      <c r="D679" s="386"/>
      <c r="E679" s="28"/>
      <c r="G679" s="342"/>
    </row>
    <row r="680" spans="1:7" ht="14.25" customHeight="1" thickBot="1" x14ac:dyDescent="0.3">
      <c r="A680" s="1215" t="s">
        <v>448</v>
      </c>
      <c r="B680" s="1216"/>
      <c r="C680" s="881">
        <f>SUM(C681:C682)</f>
        <v>81860726</v>
      </c>
      <c r="E680" s="24"/>
      <c r="G680" s="341"/>
    </row>
    <row r="681" spans="1:7" s="5" customFormat="1" ht="13.5" customHeight="1" x14ac:dyDescent="0.25">
      <c r="A681" s="265" t="s">
        <v>449</v>
      </c>
      <c r="B681" s="265" t="s">
        <v>450</v>
      </c>
      <c r="C681" s="31">
        <v>80347058</v>
      </c>
      <c r="D681" s="600"/>
      <c r="E681" s="120"/>
      <c r="F681" s="147"/>
      <c r="G681" s="350"/>
    </row>
    <row r="682" spans="1:7" s="5" customFormat="1" ht="14.25" customHeight="1" x14ac:dyDescent="0.25">
      <c r="A682" s="11" t="s">
        <v>451</v>
      </c>
      <c r="B682" s="11" t="s">
        <v>452</v>
      </c>
      <c r="C682" s="31">
        <v>1513668</v>
      </c>
      <c r="D682" s="21"/>
      <c r="E682" s="21"/>
      <c r="G682" s="350"/>
    </row>
    <row r="683" spans="1:7" s="5" customFormat="1" ht="13.5" customHeight="1" x14ac:dyDescent="0.25">
      <c r="C683" s="21"/>
      <c r="D683" s="21"/>
      <c r="E683" s="21"/>
      <c r="G683" s="350"/>
    </row>
    <row r="684" spans="1:7" ht="13.5" customHeight="1" x14ac:dyDescent="0.25">
      <c r="E684" s="18">
        <f>+E643+E600+E553+E497+E434+E373+E313+E244+E169+E114+E22</f>
        <v>274381711</v>
      </c>
      <c r="G684" s="341"/>
    </row>
  </sheetData>
  <mergeCells count="58">
    <mergeCell ref="A4:C5"/>
    <mergeCell ref="A360:C361"/>
    <mergeCell ref="A362:E368"/>
    <mergeCell ref="A424:C425"/>
    <mergeCell ref="A426:E429"/>
    <mergeCell ref="A486:C487"/>
    <mergeCell ref="A6:E7"/>
    <mergeCell ref="A105:E109"/>
    <mergeCell ref="A161:E164"/>
    <mergeCell ref="A194:D198"/>
    <mergeCell ref="A192:B193"/>
    <mergeCell ref="A205:B206"/>
    <mergeCell ref="A171:B171"/>
    <mergeCell ref="A182:B182"/>
    <mergeCell ref="A150:B150"/>
    <mergeCell ref="A24:B24"/>
    <mergeCell ref="A47:B47"/>
    <mergeCell ref="A69:B69"/>
    <mergeCell ref="A94:B94"/>
    <mergeCell ref="A116:B116"/>
    <mergeCell ref="A615:B615"/>
    <mergeCell ref="A628:B628"/>
    <mergeCell ref="A645:B645"/>
    <mergeCell ref="A659:B659"/>
    <mergeCell ref="A680:B680"/>
    <mergeCell ref="A519:B519"/>
    <mergeCell ref="A531:B531"/>
    <mergeCell ref="A555:B555"/>
    <mergeCell ref="A568:B568"/>
    <mergeCell ref="A581:B581"/>
    <mergeCell ref="A351:B351"/>
    <mergeCell ref="A375:B375"/>
    <mergeCell ref="A602:B602"/>
    <mergeCell ref="A394:B394"/>
    <mergeCell ref="A415:B415"/>
    <mergeCell ref="A436:B436"/>
    <mergeCell ref="A456:B456"/>
    <mergeCell ref="A475:B475"/>
    <mergeCell ref="A499:B499"/>
    <mergeCell ref="A488:E492"/>
    <mergeCell ref="A335:B335"/>
    <mergeCell ref="A207:D211"/>
    <mergeCell ref="A220:D221"/>
    <mergeCell ref="A218:B219"/>
    <mergeCell ref="A231:E239"/>
    <mergeCell ref="A302:C303"/>
    <mergeCell ref="A304:E308"/>
    <mergeCell ref="A229:C230"/>
    <mergeCell ref="A593:E595"/>
    <mergeCell ref="A637:E638"/>
    <mergeCell ref="A136:B136"/>
    <mergeCell ref="A270:B270"/>
    <mergeCell ref="A159:C160"/>
    <mergeCell ref="A103:C104"/>
    <mergeCell ref="A542:C543"/>
    <mergeCell ref="A544:E548"/>
    <mergeCell ref="A293:B293"/>
    <mergeCell ref="A315:B315"/>
  </mergeCells>
  <pageMargins left="0.78740157480314965" right="0.19685039370078741" top="0.78740157480314965" bottom="0.78740157480314965" header="0.39370078740157483" footer="0.19685039370078741"/>
  <pageSetup paperSize="9" scale="90" orientation="portrait" r:id="rId1"/>
  <headerFooter>
    <oddHeader>&amp;L&amp;"Arial Narrow,Normal"&amp;8Presupuesto Municipal 2020
&amp;R&amp;"Arial Narrow,Normal"&amp;8MUNICIPALIDAD DE VILLA MARÍA
Secretaría de Economía y Finanzas</oddHeader>
  </headerFooter>
  <rowBreaks count="11" manualBreakCount="11">
    <brk id="63" max="4" man="1"/>
    <brk id="115" max="4" man="1"/>
    <brk id="170" max="4" man="1"/>
    <brk id="228" max="4" man="1"/>
    <brk id="291" max="4" man="1"/>
    <brk id="350" max="4" man="1"/>
    <brk id="409" max="4" man="1"/>
    <brk id="468" max="4" man="1"/>
    <brk id="518" max="4" man="1"/>
    <brk id="575" max="4" man="1"/>
    <brk id="634"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V606"/>
  <sheetViews>
    <sheetView view="pageLayout" topLeftCell="A94" zoomScaleNormal="98" zoomScaleSheetLayoutView="50" workbookViewId="0">
      <selection activeCell="C344" sqref="C343:C344"/>
    </sheetView>
  </sheetViews>
  <sheetFormatPr baseColWidth="10" defaultColWidth="11.453125" defaultRowHeight="11.5" x14ac:dyDescent="0.25"/>
  <cols>
    <col min="1" max="1" width="9.7265625" style="10" customWidth="1"/>
    <col min="2" max="2" width="44.81640625" style="10" customWidth="1"/>
    <col min="3" max="3" width="16.1796875" style="28" bestFit="1" customWidth="1"/>
    <col min="4" max="4" width="15.26953125" style="26" customWidth="1"/>
    <col min="5" max="5" width="13.7265625" style="28" customWidth="1"/>
    <col min="6" max="6" width="16.7265625" style="233" customWidth="1"/>
    <col min="7" max="7" width="11.26953125" style="418" customWidth="1"/>
    <col min="8" max="8" width="12.54296875" style="10" customWidth="1"/>
    <col min="9" max="16384" width="11.453125" style="10"/>
  </cols>
  <sheetData>
    <row r="1" spans="1:7" s="389" customFormat="1" ht="13.5" customHeight="1" x14ac:dyDescent="0.25">
      <c r="A1" s="582" t="s">
        <v>633</v>
      </c>
      <c r="B1" s="11"/>
      <c r="C1" s="390"/>
      <c r="D1" s="391"/>
      <c r="E1" s="390"/>
      <c r="F1" s="392"/>
      <c r="G1" s="393"/>
    </row>
    <row r="2" spans="1:7" s="389" customFormat="1" ht="13.5" customHeight="1" x14ac:dyDescent="0.25">
      <c r="C2" s="390"/>
      <c r="D2" s="391"/>
      <c r="E2" s="390"/>
      <c r="F2" s="392"/>
      <c r="G2" s="393"/>
    </row>
    <row r="3" spans="1:7" s="12" customFormat="1" ht="13.5" customHeight="1" thickBot="1" x14ac:dyDescent="0.3">
      <c r="C3" s="24"/>
      <c r="D3" s="22"/>
      <c r="E3" s="24"/>
      <c r="F3" s="227"/>
      <c r="G3" s="361"/>
    </row>
    <row r="4" spans="1:7" s="147" customFormat="1" ht="13.5" customHeight="1" x14ac:dyDescent="0.25">
      <c r="A4" s="1117" t="s">
        <v>923</v>
      </c>
      <c r="B4" s="1118"/>
      <c r="C4" s="1119"/>
      <c r="D4" s="692" t="s">
        <v>6</v>
      </c>
      <c r="E4" s="911">
        <v>1501</v>
      </c>
      <c r="F4" s="148"/>
      <c r="G4" s="394"/>
    </row>
    <row r="5" spans="1:7" s="147" customFormat="1" ht="13.5" customHeight="1" thickBot="1" x14ac:dyDescent="0.3">
      <c r="A5" s="1120"/>
      <c r="B5" s="1121"/>
      <c r="C5" s="1122"/>
      <c r="D5" s="734"/>
      <c r="E5" s="738"/>
      <c r="F5" s="148"/>
      <c r="G5" s="394"/>
    </row>
    <row r="6" spans="1:7" s="147" customFormat="1" ht="13.5" customHeight="1" x14ac:dyDescent="0.25">
      <c r="A6" s="1123" t="s">
        <v>926</v>
      </c>
      <c r="B6" s="1124"/>
      <c r="C6" s="1124"/>
      <c r="D6" s="1124"/>
      <c r="E6" s="1125"/>
      <c r="F6" s="148"/>
      <c r="G6" s="394"/>
    </row>
    <row r="7" spans="1:7" s="147" customFormat="1" ht="13.5" customHeight="1" x14ac:dyDescent="0.25">
      <c r="A7" s="1126"/>
      <c r="B7" s="1127"/>
      <c r="C7" s="1127"/>
      <c r="D7" s="1127"/>
      <c r="E7" s="1128"/>
      <c r="F7" s="148"/>
      <c r="G7" s="394"/>
    </row>
    <row r="8" spans="1:7" s="147" customFormat="1" ht="13.5" customHeight="1" x14ac:dyDescent="0.25">
      <c r="A8" s="1126"/>
      <c r="B8" s="1127"/>
      <c r="C8" s="1127"/>
      <c r="D8" s="1127"/>
      <c r="E8" s="1128"/>
      <c r="F8" s="148"/>
      <c r="G8" s="394"/>
    </row>
    <row r="9" spans="1:7" s="147" customFormat="1" ht="13.5" customHeight="1" x14ac:dyDescent="0.25">
      <c r="A9" s="1126"/>
      <c r="B9" s="1127"/>
      <c r="C9" s="1127"/>
      <c r="D9" s="1127"/>
      <c r="E9" s="1128"/>
      <c r="F9" s="148"/>
      <c r="G9" s="394"/>
    </row>
    <row r="10" spans="1:7" s="147" customFormat="1" ht="13.5" customHeight="1" x14ac:dyDescent="0.25">
      <c r="A10" s="1126"/>
      <c r="B10" s="1127"/>
      <c r="C10" s="1127"/>
      <c r="D10" s="1127"/>
      <c r="E10" s="1128"/>
      <c r="F10" s="148"/>
      <c r="G10" s="394"/>
    </row>
    <row r="11" spans="1:7" s="147" customFormat="1" ht="13.5" customHeight="1" x14ac:dyDescent="0.25">
      <c r="A11" s="1126"/>
      <c r="B11" s="1127"/>
      <c r="C11" s="1127"/>
      <c r="D11" s="1127"/>
      <c r="E11" s="1128"/>
      <c r="F11" s="148"/>
      <c r="G11" s="394"/>
    </row>
    <row r="12" spans="1:7" s="12" customFormat="1" ht="13.5" customHeight="1" x14ac:dyDescent="0.25">
      <c r="A12" s="1126"/>
      <c r="B12" s="1127"/>
      <c r="C12" s="1127"/>
      <c r="D12" s="1127"/>
      <c r="E12" s="1128"/>
      <c r="F12" s="148"/>
      <c r="G12" s="394"/>
    </row>
    <row r="13" spans="1:7" s="12" customFormat="1" ht="13.5" customHeight="1" x14ac:dyDescent="0.25">
      <c r="A13" s="1126"/>
      <c r="B13" s="1127"/>
      <c r="C13" s="1127"/>
      <c r="D13" s="1127"/>
      <c r="E13" s="1128"/>
      <c r="F13" s="148"/>
      <c r="G13" s="394"/>
    </row>
    <row r="14" spans="1:7" s="12" customFormat="1" ht="13.5" customHeight="1" x14ac:dyDescent="0.25">
      <c r="A14" s="1126"/>
      <c r="B14" s="1127"/>
      <c r="C14" s="1127"/>
      <c r="D14" s="1127"/>
      <c r="E14" s="1128"/>
      <c r="F14" s="148"/>
      <c r="G14" s="394"/>
    </row>
    <row r="15" spans="1:7" s="12" customFormat="1" ht="18.75" customHeight="1" thickBot="1" x14ac:dyDescent="0.3">
      <c r="A15" s="1129"/>
      <c r="B15" s="1130"/>
      <c r="C15" s="1130"/>
      <c r="D15" s="1130"/>
      <c r="E15" s="1131"/>
      <c r="F15" s="148"/>
      <c r="G15" s="394"/>
    </row>
    <row r="16" spans="1:7" s="12" customFormat="1" ht="13.5" customHeight="1" x14ac:dyDescent="0.25">
      <c r="A16" s="41" t="s">
        <v>1029</v>
      </c>
      <c r="B16" s="41"/>
      <c r="C16" s="24"/>
      <c r="D16" s="22"/>
      <c r="E16" s="320"/>
      <c r="F16" s="227"/>
      <c r="G16" s="361"/>
    </row>
    <row r="17" spans="1:8" s="12" customFormat="1" ht="13.5" customHeight="1" x14ac:dyDescent="0.25">
      <c r="A17" s="41" t="s">
        <v>634</v>
      </c>
      <c r="B17" s="41"/>
      <c r="C17" s="24"/>
      <c r="D17" s="22"/>
      <c r="E17" s="320"/>
      <c r="F17" s="227"/>
      <c r="G17" s="361"/>
    </row>
    <row r="18" spans="1:8" s="12" customFormat="1" ht="13.5" customHeight="1" x14ac:dyDescent="0.25">
      <c r="A18" s="41" t="s">
        <v>1040</v>
      </c>
      <c r="B18" s="41"/>
      <c r="C18" s="24"/>
      <c r="D18" s="22"/>
      <c r="E18" s="320"/>
      <c r="F18" s="227"/>
      <c r="G18" s="361"/>
    </row>
    <row r="19" spans="1:8" s="12" customFormat="1" ht="13.5" customHeight="1" thickBot="1" x14ac:dyDescent="0.3">
      <c r="A19" s="76" t="s">
        <v>11</v>
      </c>
      <c r="B19" s="76"/>
      <c r="C19" s="377"/>
      <c r="D19" s="396"/>
      <c r="E19" s="378"/>
      <c r="F19" s="227"/>
      <c r="G19" s="361"/>
    </row>
    <row r="20" spans="1:8" s="265" customFormat="1" ht="13.5" customHeight="1" thickBot="1" x14ac:dyDescent="0.3">
      <c r="A20" s="661" t="s">
        <v>0</v>
      </c>
      <c r="B20" s="661"/>
      <c r="C20" s="798"/>
      <c r="D20" s="755"/>
      <c r="E20" s="665">
        <f>+C22+C45+C67+C85+C90</f>
        <v>43611603</v>
      </c>
      <c r="F20" s="397"/>
      <c r="G20" s="361"/>
    </row>
    <row r="21" spans="1:8" s="72" customFormat="1" ht="12.75" customHeight="1" thickBot="1" x14ac:dyDescent="0.3">
      <c r="A21" s="12"/>
      <c r="B21" s="12"/>
      <c r="C21" s="24"/>
      <c r="D21" s="398"/>
      <c r="E21" s="12"/>
      <c r="F21" s="344"/>
      <c r="G21" s="361"/>
    </row>
    <row r="22" spans="1:8" s="72" customFormat="1" ht="12.75" customHeight="1" thickBot="1" x14ac:dyDescent="0.3">
      <c r="A22" s="1132" t="s">
        <v>1</v>
      </c>
      <c r="B22" s="1133"/>
      <c r="C22" s="739">
        <f>C23+C30+C37</f>
        <v>37410503</v>
      </c>
      <c r="D22" s="399"/>
      <c r="E22" s="265"/>
      <c r="F22" s="344"/>
      <c r="G22" s="355"/>
    </row>
    <row r="23" spans="1:8" s="130" customFormat="1" ht="12.75" customHeight="1" x14ac:dyDescent="0.25">
      <c r="A23" s="11" t="s">
        <v>97</v>
      </c>
      <c r="B23" s="298" t="s">
        <v>98</v>
      </c>
      <c r="C23" s="31">
        <f>SUM(C24:C29)</f>
        <v>9480921</v>
      </c>
      <c r="D23" s="398"/>
      <c r="E23" s="72"/>
      <c r="F23" s="346"/>
      <c r="G23" s="363"/>
    </row>
    <row r="24" spans="1:8" s="130" customFormat="1" ht="12.75" customHeight="1" x14ac:dyDescent="0.25">
      <c r="A24" s="12" t="s">
        <v>23</v>
      </c>
      <c r="B24" s="24" t="s">
        <v>20</v>
      </c>
      <c r="C24" s="24">
        <f>1104274+382707+6007700</f>
        <v>7494681</v>
      </c>
      <c r="D24" s="398"/>
      <c r="E24" s="400"/>
      <c r="F24" s="401"/>
      <c r="G24" s="363"/>
    </row>
    <row r="25" spans="1:8" s="130" customFormat="1" ht="12.75" customHeight="1" x14ac:dyDescent="0.25">
      <c r="A25" s="12" t="s">
        <v>24</v>
      </c>
      <c r="B25" s="24" t="s">
        <v>22</v>
      </c>
      <c r="C25" s="24">
        <f>1679+276068+990614</f>
        <v>1268361</v>
      </c>
      <c r="D25" s="398"/>
      <c r="E25" s="400"/>
      <c r="F25" s="401"/>
      <c r="G25" s="363"/>
    </row>
    <row r="26" spans="1:8" s="130" customFormat="1" ht="12.75" customHeight="1" x14ac:dyDescent="0.25">
      <c r="A26" s="12" t="s">
        <v>25</v>
      </c>
      <c r="B26" s="24" t="s">
        <v>76</v>
      </c>
      <c r="C26" s="24">
        <f>75000+178359</f>
        <v>253359</v>
      </c>
      <c r="D26" s="398"/>
      <c r="E26" s="400"/>
      <c r="F26" s="401"/>
      <c r="G26" s="363"/>
    </row>
    <row r="27" spans="1:8" s="130" customFormat="1" ht="12.75" customHeight="1" x14ac:dyDescent="0.25">
      <c r="A27" s="12" t="s">
        <v>26</v>
      </c>
      <c r="B27" s="24" t="s">
        <v>77</v>
      </c>
      <c r="C27" s="24">
        <v>1</v>
      </c>
      <c r="D27" s="398"/>
      <c r="E27" s="400"/>
      <c r="F27" s="401"/>
      <c r="G27" s="363"/>
    </row>
    <row r="28" spans="1:8" s="130" customFormat="1" ht="12.75" customHeight="1" x14ac:dyDescent="0.25">
      <c r="A28" s="12" t="s">
        <v>27</v>
      </c>
      <c r="B28" s="24" t="s">
        <v>21</v>
      </c>
      <c r="C28" s="24">
        <f>8505+151500</f>
        <v>160005</v>
      </c>
      <c r="D28" s="398"/>
      <c r="E28" s="400"/>
      <c r="F28" s="401"/>
      <c r="G28" s="363"/>
    </row>
    <row r="29" spans="1:8" s="130" customFormat="1" ht="12.75" customHeight="1" x14ac:dyDescent="0.25">
      <c r="A29" s="12" t="s">
        <v>28</v>
      </c>
      <c r="B29" s="24" t="s">
        <v>19</v>
      </c>
      <c r="C29" s="24">
        <f>184989+119525</f>
        <v>304514</v>
      </c>
      <c r="D29" s="398"/>
      <c r="E29" s="400"/>
      <c r="F29" s="401"/>
      <c r="G29" s="363"/>
    </row>
    <row r="30" spans="1:8" s="130" customFormat="1" ht="12.75" customHeight="1" x14ac:dyDescent="0.25">
      <c r="A30" s="11" t="s">
        <v>99</v>
      </c>
      <c r="B30" s="31" t="s">
        <v>100</v>
      </c>
      <c r="C30" s="31">
        <f>SUM(C31:C36)</f>
        <v>18537598</v>
      </c>
      <c r="D30" s="398"/>
      <c r="E30" s="400"/>
      <c r="F30" s="401"/>
      <c r="G30" s="363"/>
    </row>
    <row r="31" spans="1:8" s="72" customFormat="1" ht="12.75" customHeight="1" x14ac:dyDescent="0.25">
      <c r="A31" s="12" t="s">
        <v>30</v>
      </c>
      <c r="B31" s="24" t="s">
        <v>78</v>
      </c>
      <c r="C31" s="24">
        <f>2449374+699766+17105955+559731+157425-5000000</f>
        <v>15972251</v>
      </c>
      <c r="D31" s="398"/>
      <c r="E31" s="400"/>
      <c r="F31" s="401"/>
      <c r="G31" s="363"/>
      <c r="H31" s="12"/>
    </row>
    <row r="32" spans="1:8" s="72" customFormat="1" ht="12.75" customHeight="1" x14ac:dyDescent="0.25">
      <c r="A32" s="12" t="s">
        <v>31</v>
      </c>
      <c r="B32" s="24" t="s">
        <v>79</v>
      </c>
      <c r="C32" s="24">
        <f>629698+159236+2186420+612343-1500000</f>
        <v>2087697</v>
      </c>
      <c r="D32" s="398"/>
      <c r="E32" s="400"/>
      <c r="F32" s="401"/>
      <c r="G32" s="363"/>
    </row>
    <row r="33" spans="1:8" s="130" customFormat="1" ht="12.75" customHeight="1" x14ac:dyDescent="0.25">
      <c r="A33" s="12" t="s">
        <v>32</v>
      </c>
      <c r="B33" s="24" t="s">
        <v>80</v>
      </c>
      <c r="C33" s="24">
        <v>413646</v>
      </c>
      <c r="D33" s="398"/>
      <c r="E33" s="400"/>
      <c r="F33" s="398"/>
      <c r="G33" s="361"/>
    </row>
    <row r="34" spans="1:8" s="130" customFormat="1" ht="12.75" customHeight="1" x14ac:dyDescent="0.25">
      <c r="A34" s="12" t="s">
        <v>33</v>
      </c>
      <c r="B34" s="24" t="s">
        <v>81</v>
      </c>
      <c r="C34" s="24">
        <v>1</v>
      </c>
      <c r="D34" s="398"/>
      <c r="E34" s="400"/>
      <c r="F34" s="401"/>
      <c r="G34" s="363"/>
    </row>
    <row r="35" spans="1:8" s="130" customFormat="1" ht="12.75" customHeight="1" x14ac:dyDescent="0.25">
      <c r="A35" s="12" t="s">
        <v>34</v>
      </c>
      <c r="B35" s="24" t="s">
        <v>259</v>
      </c>
      <c r="C35" s="24">
        <f>3402+60600</f>
        <v>64002</v>
      </c>
      <c r="D35" s="398"/>
      <c r="E35" s="400"/>
      <c r="F35" s="401"/>
      <c r="G35" s="363"/>
    </row>
    <row r="36" spans="1:8" s="72" customFormat="1" ht="12.75" customHeight="1" x14ac:dyDescent="0.25">
      <c r="A36" s="12" t="s">
        <v>83</v>
      </c>
      <c r="B36" s="24" t="s">
        <v>82</v>
      </c>
      <c r="C36" s="24">
        <v>1</v>
      </c>
      <c r="D36" s="398"/>
      <c r="E36" s="400"/>
      <c r="F36" s="401"/>
      <c r="G36" s="363"/>
    </row>
    <row r="37" spans="1:8" s="72" customFormat="1" ht="12.75" customHeight="1" x14ac:dyDescent="0.25">
      <c r="A37" s="11" t="s">
        <v>101</v>
      </c>
      <c r="B37" s="31" t="s">
        <v>102</v>
      </c>
      <c r="C37" s="31">
        <f>SUM(C38:C43)</f>
        <v>9391984</v>
      </c>
      <c r="D37" s="398"/>
      <c r="E37" s="400"/>
      <c r="F37" s="401"/>
      <c r="G37" s="363"/>
    </row>
    <row r="38" spans="1:8" s="130" customFormat="1" ht="12.75" customHeight="1" x14ac:dyDescent="0.25">
      <c r="A38" s="12" t="s">
        <v>39</v>
      </c>
      <c r="B38" s="24" t="s">
        <v>35</v>
      </c>
      <c r="C38" s="24">
        <f>834980+222766+8137096+45356+161266-1500000</f>
        <v>7901464</v>
      </c>
      <c r="D38" s="398"/>
      <c r="E38" s="400"/>
      <c r="F38" s="72"/>
      <c r="G38" s="401"/>
    </row>
    <row r="39" spans="1:8" s="130" customFormat="1" ht="12.75" customHeight="1" x14ac:dyDescent="0.25">
      <c r="A39" s="12" t="s">
        <v>40</v>
      </c>
      <c r="B39" s="24" t="s">
        <v>37</v>
      </c>
      <c r="C39" s="24">
        <f>181423+46563+754988+208745</f>
        <v>1191719</v>
      </c>
      <c r="D39" s="398"/>
      <c r="E39" s="400"/>
      <c r="F39" s="72"/>
      <c r="G39" s="401"/>
    </row>
    <row r="40" spans="1:8" s="130" customFormat="1" ht="12.75" customHeight="1" x14ac:dyDescent="0.25">
      <c r="A40" s="12" t="s">
        <v>41</v>
      </c>
      <c r="B40" s="24" t="s">
        <v>84</v>
      </c>
      <c r="C40" s="24">
        <v>142769</v>
      </c>
      <c r="D40" s="398"/>
      <c r="E40" s="400"/>
      <c r="G40" s="401"/>
    </row>
    <row r="41" spans="1:8" s="130" customFormat="1" ht="12.75" customHeight="1" x14ac:dyDescent="0.25">
      <c r="A41" s="12" t="s">
        <v>42</v>
      </c>
      <c r="B41" s="24" t="s">
        <v>85</v>
      </c>
      <c r="C41" s="24">
        <v>1</v>
      </c>
      <c r="D41" s="398"/>
      <c r="E41" s="400"/>
      <c r="G41" s="401"/>
    </row>
    <row r="42" spans="1:8" s="130" customFormat="1" ht="12.75" customHeight="1" x14ac:dyDescent="0.25">
      <c r="A42" s="12" t="s">
        <v>43</v>
      </c>
      <c r="B42" s="24" t="s">
        <v>36</v>
      </c>
      <c r="C42" s="24">
        <f>145824+10206</f>
        <v>156030</v>
      </c>
      <c r="D42" s="398"/>
      <c r="E42" s="400"/>
      <c r="G42" s="401"/>
      <c r="H42" s="71"/>
    </row>
    <row r="43" spans="1:8" s="265" customFormat="1" ht="13.5" customHeight="1" x14ac:dyDescent="0.25">
      <c r="A43" s="12" t="s">
        <v>44</v>
      </c>
      <c r="B43" s="24" t="s">
        <v>38</v>
      </c>
      <c r="C43" s="24">
        <v>1</v>
      </c>
      <c r="D43" s="398"/>
      <c r="E43" s="400"/>
      <c r="F43" s="130"/>
      <c r="G43" s="401"/>
      <c r="H43" s="399"/>
    </row>
    <row r="44" spans="1:8" s="101" customFormat="1" ht="13.5" customHeight="1" thickBot="1" x14ac:dyDescent="0.3">
      <c r="A44" s="12"/>
      <c r="B44" s="24"/>
      <c r="C44" s="24"/>
      <c r="D44" s="398"/>
      <c r="E44" s="399"/>
      <c r="F44" s="130"/>
      <c r="G44" s="398"/>
    </row>
    <row r="45" spans="1:8" s="12" customFormat="1" ht="13.5" customHeight="1" thickBot="1" x14ac:dyDescent="0.3">
      <c r="A45" s="1104" t="s">
        <v>2</v>
      </c>
      <c r="B45" s="1105"/>
      <c r="C45" s="667">
        <f>C46+C48+C50+C58+C61+C52</f>
        <v>1011250</v>
      </c>
      <c r="D45" s="402"/>
      <c r="E45" s="265"/>
      <c r="F45" s="265"/>
      <c r="G45" s="399"/>
    </row>
    <row r="46" spans="1:8" s="12" customFormat="1" ht="13.5" customHeight="1" x14ac:dyDescent="0.25">
      <c r="A46" s="11" t="s">
        <v>103</v>
      </c>
      <c r="B46" s="298" t="s">
        <v>104</v>
      </c>
      <c r="C46" s="32">
        <f>SUM(C47)</f>
        <v>167380</v>
      </c>
      <c r="D46" s="357"/>
      <c r="E46" s="403"/>
      <c r="F46" s="403"/>
      <c r="G46" s="358"/>
    </row>
    <row r="47" spans="1:8" s="12" customFormat="1" ht="13.5" customHeight="1" x14ac:dyDescent="0.25">
      <c r="A47" s="12" t="s">
        <v>46</v>
      </c>
      <c r="B47" s="12" t="s">
        <v>45</v>
      </c>
      <c r="C47" s="24">
        <v>167380</v>
      </c>
      <c r="D47" s="357"/>
      <c r="E47" s="353"/>
      <c r="F47" s="353"/>
      <c r="G47" s="394"/>
    </row>
    <row r="48" spans="1:8" s="3" customFormat="1" ht="13" x14ac:dyDescent="0.25">
      <c r="A48" s="11" t="s">
        <v>105</v>
      </c>
      <c r="B48" s="11" t="s">
        <v>106</v>
      </c>
      <c r="C48" s="31">
        <f>SUM(C49:C49)</f>
        <v>47710</v>
      </c>
      <c r="D48" s="353"/>
      <c r="E48" s="353"/>
      <c r="F48" s="353"/>
      <c r="G48" s="394"/>
      <c r="H48" s="1"/>
    </row>
    <row r="49" spans="1:8" s="3" customFormat="1" ht="13" x14ac:dyDescent="0.25">
      <c r="A49" s="12" t="s">
        <v>86</v>
      </c>
      <c r="B49" s="72" t="s">
        <v>66</v>
      </c>
      <c r="C49" s="24">
        <v>47710</v>
      </c>
      <c r="D49" s="404"/>
      <c r="E49" s="353"/>
      <c r="F49" s="353"/>
      <c r="G49" s="1"/>
      <c r="H49" s="1"/>
    </row>
    <row r="50" spans="1:8" s="3" customFormat="1" ht="13" x14ac:dyDescent="0.25">
      <c r="A50" s="11" t="s">
        <v>107</v>
      </c>
      <c r="B50" s="265" t="s">
        <v>108</v>
      </c>
      <c r="C50" s="31">
        <f>SUM(C51:C51)</f>
        <v>403250</v>
      </c>
      <c r="D50" s="404"/>
      <c r="E50" s="353"/>
      <c r="F50" s="353"/>
      <c r="G50" s="1"/>
      <c r="H50" s="1"/>
    </row>
    <row r="51" spans="1:8" s="5" customFormat="1" ht="13" x14ac:dyDescent="0.25">
      <c r="A51" s="12" t="s">
        <v>47</v>
      </c>
      <c r="B51" s="23" t="s">
        <v>48</v>
      </c>
      <c r="C51" s="24">
        <v>403250</v>
      </c>
      <c r="D51" s="404"/>
      <c r="E51" s="353"/>
      <c r="F51" s="353"/>
      <c r="G51" s="405"/>
      <c r="H51" s="147"/>
    </row>
    <row r="52" spans="1:8" s="5" customFormat="1" ht="13" x14ac:dyDescent="0.25">
      <c r="A52" s="11" t="s">
        <v>119</v>
      </c>
      <c r="B52" s="559" t="s">
        <v>191</v>
      </c>
      <c r="C52" s="31">
        <f>SUM(C53:C57)</f>
        <v>154000</v>
      </c>
      <c r="D52" s="404"/>
      <c r="E52" s="353"/>
      <c r="F52" s="353"/>
      <c r="G52" s="405"/>
      <c r="H52" s="147"/>
    </row>
    <row r="53" spans="1:8" s="5" customFormat="1" ht="13" x14ac:dyDescent="0.25">
      <c r="A53" s="12" t="s">
        <v>150</v>
      </c>
      <c r="B53" s="43" t="s">
        <v>695</v>
      </c>
      <c r="C53" s="24">
        <v>10500</v>
      </c>
      <c r="D53" s="404"/>
      <c r="E53" s="353"/>
      <c r="F53" s="353"/>
      <c r="G53" s="405"/>
      <c r="H53" s="147"/>
    </row>
    <row r="54" spans="1:8" s="5" customFormat="1" ht="13" x14ac:dyDescent="0.25">
      <c r="A54" s="12" t="s">
        <v>697</v>
      </c>
      <c r="B54" s="43" t="s">
        <v>696</v>
      </c>
      <c r="C54" s="24">
        <v>19000</v>
      </c>
      <c r="D54" s="404"/>
      <c r="E54" s="353"/>
      <c r="F54" s="353"/>
      <c r="G54" s="405"/>
      <c r="H54" s="147"/>
    </row>
    <row r="55" spans="1:8" s="66" customFormat="1" ht="13" x14ac:dyDescent="0.3">
      <c r="A55" s="72" t="s">
        <v>816</v>
      </c>
      <c r="B55" s="24" t="s">
        <v>810</v>
      </c>
      <c r="C55" s="24">
        <v>53000</v>
      </c>
      <c r="D55" s="78"/>
      <c r="E55" s="25"/>
    </row>
    <row r="56" spans="1:8" s="66" customFormat="1" ht="13" x14ac:dyDescent="0.3">
      <c r="A56" s="72" t="s">
        <v>820</v>
      </c>
      <c r="B56" s="24" t="s">
        <v>821</v>
      </c>
      <c r="C56" s="24">
        <v>55000</v>
      </c>
      <c r="D56" s="78"/>
      <c r="E56" s="25"/>
    </row>
    <row r="57" spans="1:8" s="66" customFormat="1" ht="13" x14ac:dyDescent="0.3">
      <c r="A57" s="72" t="s">
        <v>811</v>
      </c>
      <c r="B57" s="24" t="s">
        <v>812</v>
      </c>
      <c r="C57" s="24">
        <v>16500</v>
      </c>
      <c r="D57" s="78"/>
      <c r="E57" s="25"/>
    </row>
    <row r="58" spans="1:8" s="5" customFormat="1" ht="13" x14ac:dyDescent="0.25">
      <c r="A58" s="265" t="s">
        <v>124</v>
      </c>
      <c r="B58" s="25" t="s">
        <v>123</v>
      </c>
      <c r="C58" s="31">
        <f>SUM(C59:C60)</f>
        <v>54400</v>
      </c>
      <c r="D58" s="404"/>
      <c r="E58" s="353"/>
      <c r="F58" s="353"/>
      <c r="G58" s="405"/>
      <c r="H58" s="147"/>
    </row>
    <row r="59" spans="1:8" s="66" customFormat="1" ht="13" x14ac:dyDescent="0.3">
      <c r="A59" s="12" t="s">
        <v>230</v>
      </c>
      <c r="B59" s="43" t="s">
        <v>229</v>
      </c>
      <c r="C59" s="24">
        <v>24400</v>
      </c>
      <c r="D59" s="57"/>
      <c r="E59" s="57"/>
    </row>
    <row r="60" spans="1:8" s="5" customFormat="1" ht="13" x14ac:dyDescent="0.25">
      <c r="A60" s="72" t="s">
        <v>93</v>
      </c>
      <c r="B60" s="24" t="s">
        <v>72</v>
      </c>
      <c r="C60" s="24">
        <v>30000</v>
      </c>
      <c r="D60" s="353"/>
      <c r="E60" s="353"/>
      <c r="F60" s="353"/>
      <c r="G60" s="394"/>
      <c r="H60" s="147"/>
    </row>
    <row r="61" spans="1:8" s="5" customFormat="1" ht="13" x14ac:dyDescent="0.25">
      <c r="A61" s="265" t="s">
        <v>151</v>
      </c>
      <c r="B61" s="25" t="s">
        <v>125</v>
      </c>
      <c r="C61" s="31">
        <f>SUM(C62:C65)</f>
        <v>184510</v>
      </c>
      <c r="D61" s="353"/>
      <c r="E61" s="353"/>
      <c r="F61" s="353"/>
      <c r="G61" s="394"/>
      <c r="H61" s="147"/>
    </row>
    <row r="62" spans="1:8" s="3" customFormat="1" ht="13" x14ac:dyDescent="0.25">
      <c r="A62" s="72" t="s">
        <v>152</v>
      </c>
      <c r="B62" s="24" t="s">
        <v>65</v>
      </c>
      <c r="C62" s="24">
        <v>13600</v>
      </c>
      <c r="D62" s="353"/>
      <c r="E62" s="353"/>
      <c r="F62" s="353"/>
      <c r="G62" s="394"/>
      <c r="H62" s="1"/>
    </row>
    <row r="63" spans="1:8" s="5" customFormat="1" ht="13" x14ac:dyDescent="0.25">
      <c r="A63" s="72" t="s">
        <v>153</v>
      </c>
      <c r="B63" s="24" t="s">
        <v>70</v>
      </c>
      <c r="C63" s="24">
        <v>89800</v>
      </c>
      <c r="D63" s="353"/>
      <c r="E63" s="353"/>
      <c r="F63" s="353"/>
      <c r="G63" s="394"/>
      <c r="H63" s="147"/>
    </row>
    <row r="64" spans="1:8" s="265" customFormat="1" ht="13.5" customHeight="1" x14ac:dyDescent="0.25">
      <c r="A64" s="72" t="s">
        <v>155</v>
      </c>
      <c r="B64" s="23" t="s">
        <v>125</v>
      </c>
      <c r="C64" s="24">
        <v>21110</v>
      </c>
      <c r="D64" s="406"/>
      <c r="E64" s="353"/>
      <c r="F64" s="353"/>
      <c r="G64" s="405"/>
      <c r="H64" s="11"/>
    </row>
    <row r="65" spans="1:12" s="265" customFormat="1" ht="13.5" customHeight="1" x14ac:dyDescent="0.25">
      <c r="A65" s="72" t="s">
        <v>699</v>
      </c>
      <c r="B65" s="43" t="s">
        <v>698</v>
      </c>
      <c r="C65" s="24">
        <v>60000</v>
      </c>
      <c r="D65" s="406"/>
      <c r="E65" s="353"/>
      <c r="F65" s="353"/>
      <c r="G65" s="405"/>
      <c r="H65" s="11"/>
    </row>
    <row r="66" spans="1:12" s="349" customFormat="1" ht="13.5" thickBot="1" x14ac:dyDescent="0.3">
      <c r="A66" s="72"/>
      <c r="B66" s="24"/>
      <c r="C66" s="24"/>
      <c r="D66" s="357"/>
      <c r="E66" s="353"/>
      <c r="F66" s="353"/>
      <c r="G66" s="394"/>
    </row>
    <row r="67" spans="1:12" s="3" customFormat="1" ht="13.5" thickBot="1" x14ac:dyDescent="0.3">
      <c r="A67" s="1096" t="s">
        <v>3</v>
      </c>
      <c r="B67" s="1097"/>
      <c r="C67" s="668">
        <f>+C71+C74+C79+C68+C77</f>
        <v>4594800</v>
      </c>
      <c r="D67" s="353"/>
      <c r="E67" s="402"/>
      <c r="F67" s="402"/>
      <c r="G67" s="368"/>
    </row>
    <row r="68" spans="1:12" s="72" customFormat="1" ht="13.5" customHeight="1" x14ac:dyDescent="0.25">
      <c r="A68" s="265" t="s">
        <v>110</v>
      </c>
      <c r="B68" s="298" t="s">
        <v>111</v>
      </c>
      <c r="C68" s="32">
        <f>SUM(C69:C70)</f>
        <v>605350</v>
      </c>
      <c r="D68" s="348"/>
      <c r="E68" s="237"/>
      <c r="F68" s="357"/>
      <c r="G68" s="349"/>
      <c r="H68" s="24"/>
    </row>
    <row r="69" spans="1:12" s="72" customFormat="1" ht="13.5" customHeight="1" x14ac:dyDescent="0.25">
      <c r="A69" s="72" t="s">
        <v>160</v>
      </c>
      <c r="B69" s="43" t="s">
        <v>159</v>
      </c>
      <c r="C69" s="22">
        <v>457600</v>
      </c>
      <c r="D69" s="348"/>
      <c r="E69" s="237"/>
      <c r="F69" s="357"/>
      <c r="G69" s="349"/>
      <c r="H69" s="24"/>
    </row>
    <row r="70" spans="1:12" s="72" customFormat="1" ht="13.5" customHeight="1" x14ac:dyDescent="0.25">
      <c r="A70" s="72" t="s">
        <v>52</v>
      </c>
      <c r="B70" s="24" t="s">
        <v>15</v>
      </c>
      <c r="C70" s="24">
        <v>147750</v>
      </c>
      <c r="D70" s="14"/>
      <c r="E70" s="120"/>
      <c r="F70" s="353"/>
      <c r="G70" s="405"/>
      <c r="H70" s="24"/>
    </row>
    <row r="71" spans="1:12" s="72" customFormat="1" ht="13.5" customHeight="1" x14ac:dyDescent="0.25">
      <c r="A71" s="11" t="s">
        <v>120</v>
      </c>
      <c r="B71" s="31" t="s">
        <v>121</v>
      </c>
      <c r="C71" s="31">
        <f>SUM(C72:C73)</f>
        <v>84400</v>
      </c>
      <c r="D71" s="353"/>
      <c r="E71" s="353"/>
      <c r="F71" s="353"/>
      <c r="G71" s="361"/>
      <c r="H71" s="24"/>
    </row>
    <row r="72" spans="1:12" s="66" customFormat="1" ht="13.5" customHeight="1" x14ac:dyDescent="0.3">
      <c r="A72" s="59" t="s">
        <v>140</v>
      </c>
      <c r="B72" s="43" t="s">
        <v>141</v>
      </c>
      <c r="C72" s="60">
        <v>56000</v>
      </c>
      <c r="G72" s="60"/>
      <c r="H72" s="57"/>
      <c r="I72" s="57"/>
    </row>
    <row r="73" spans="1:12" s="72" customFormat="1" ht="13.5" customHeight="1" x14ac:dyDescent="0.25">
      <c r="A73" s="12" t="s">
        <v>136</v>
      </c>
      <c r="B73" s="12" t="s">
        <v>71</v>
      </c>
      <c r="C73" s="24">
        <v>28400</v>
      </c>
      <c r="D73" s="353"/>
      <c r="E73" s="353"/>
      <c r="F73" s="353"/>
      <c r="G73" s="361"/>
      <c r="H73" s="24"/>
    </row>
    <row r="74" spans="1:12" s="72" customFormat="1" ht="13.5" customHeight="1" x14ac:dyDescent="0.25">
      <c r="A74" s="265" t="s">
        <v>112</v>
      </c>
      <c r="B74" s="31" t="s">
        <v>157</v>
      </c>
      <c r="C74" s="31">
        <f>SUM(C75:C76)</f>
        <v>912240</v>
      </c>
      <c r="D74" s="353"/>
      <c r="E74" s="353"/>
      <c r="F74" s="353"/>
      <c r="G74" s="361"/>
      <c r="H74" s="358"/>
      <c r="I74" s="12"/>
      <c r="J74" s="12"/>
      <c r="K74" s="12"/>
      <c r="L74" s="12"/>
    </row>
    <row r="75" spans="1:12" s="72" customFormat="1" ht="13.5" customHeight="1" x14ac:dyDescent="0.25">
      <c r="A75" s="72" t="s">
        <v>138</v>
      </c>
      <c r="B75" s="59" t="s">
        <v>878</v>
      </c>
      <c r="C75" s="24">
        <v>15700</v>
      </c>
      <c r="D75" s="353"/>
      <c r="E75" s="353"/>
      <c r="F75" s="353"/>
      <c r="G75" s="361"/>
      <c r="H75" s="353"/>
      <c r="I75" s="12"/>
      <c r="J75" s="12"/>
      <c r="K75" s="12"/>
      <c r="L75" s="12"/>
    </row>
    <row r="76" spans="1:12" s="72" customFormat="1" ht="13.5" customHeight="1" x14ac:dyDescent="0.25">
      <c r="A76" s="72" t="s">
        <v>49</v>
      </c>
      <c r="B76" s="24" t="s">
        <v>87</v>
      </c>
      <c r="C76" s="24">
        <v>896540</v>
      </c>
      <c r="E76" s="352"/>
      <c r="F76" s="120"/>
      <c r="G76" s="407"/>
      <c r="H76" s="361"/>
      <c r="I76" s="12"/>
      <c r="J76" s="12"/>
      <c r="K76" s="12"/>
      <c r="L76" s="12"/>
    </row>
    <row r="77" spans="1:12" s="72" customFormat="1" ht="13.5" customHeight="1" x14ac:dyDescent="0.25">
      <c r="A77" s="11" t="s">
        <v>113</v>
      </c>
      <c r="B77" s="31" t="s">
        <v>114</v>
      </c>
      <c r="C77" s="31">
        <f>SUM(C78:C78)</f>
        <v>25800</v>
      </c>
      <c r="D77" s="398"/>
      <c r="G77" s="361"/>
    </row>
    <row r="78" spans="1:12" s="72" customFormat="1" ht="13.5" customHeight="1" x14ac:dyDescent="0.25">
      <c r="A78" s="12" t="s">
        <v>164</v>
      </c>
      <c r="B78" s="12" t="s">
        <v>74</v>
      </c>
      <c r="C78" s="24">
        <v>25800</v>
      </c>
      <c r="E78" s="147"/>
      <c r="G78" s="147"/>
      <c r="H78" s="398"/>
      <c r="J78" s="361"/>
      <c r="K78" s="363"/>
    </row>
    <row r="79" spans="1:12" s="72" customFormat="1" ht="13.5" customHeight="1" x14ac:dyDescent="0.25">
      <c r="A79" s="265" t="s">
        <v>115</v>
      </c>
      <c r="B79" s="31" t="s">
        <v>8</v>
      </c>
      <c r="C79" s="31">
        <f>SUM(C80:C83)</f>
        <v>2967010</v>
      </c>
      <c r="E79" s="352"/>
      <c r="F79" s="353"/>
      <c r="G79" s="361"/>
      <c r="H79" s="12"/>
      <c r="I79" s="12"/>
      <c r="J79" s="12"/>
      <c r="K79" s="12"/>
      <c r="L79" s="12"/>
    </row>
    <row r="80" spans="1:12" s="11" customFormat="1" ht="13.5" customHeight="1" x14ac:dyDescent="0.25">
      <c r="A80" s="72" t="s">
        <v>92</v>
      </c>
      <c r="B80" s="24" t="s">
        <v>8</v>
      </c>
      <c r="C80" s="24">
        <v>841510</v>
      </c>
      <c r="D80" s="72"/>
      <c r="E80" s="353"/>
      <c r="F80" s="352"/>
      <c r="G80" s="363"/>
    </row>
    <row r="81" spans="1:12" s="72" customFormat="1" ht="13.5" customHeight="1" x14ac:dyDescent="0.25">
      <c r="A81" s="72" t="s">
        <v>181</v>
      </c>
      <c r="B81" s="24" t="s">
        <v>50</v>
      </c>
      <c r="C81" s="24">
        <v>37800</v>
      </c>
      <c r="D81" s="353"/>
      <c r="E81" s="353"/>
      <c r="F81" s="352"/>
      <c r="G81" s="363"/>
      <c r="H81" s="12"/>
      <c r="I81" s="12"/>
      <c r="J81" s="24"/>
      <c r="K81" s="12"/>
      <c r="L81" s="12"/>
    </row>
    <row r="82" spans="1:12" s="72" customFormat="1" ht="13.5" customHeight="1" x14ac:dyDescent="0.25">
      <c r="A82" s="72" t="s">
        <v>222</v>
      </c>
      <c r="B82" s="12" t="s">
        <v>221</v>
      </c>
      <c r="C82" s="24">
        <v>100000</v>
      </c>
      <c r="D82" s="353"/>
      <c r="E82" s="353"/>
      <c r="F82" s="353"/>
      <c r="G82" s="361"/>
      <c r="H82" s="12"/>
      <c r="I82" s="12"/>
      <c r="J82" s="12"/>
      <c r="K82" s="12"/>
      <c r="L82" s="12"/>
    </row>
    <row r="83" spans="1:12" s="265" customFormat="1" ht="13.5" customHeight="1" x14ac:dyDescent="0.25">
      <c r="A83" s="72" t="s">
        <v>90</v>
      </c>
      <c r="B83" s="24" t="s">
        <v>7</v>
      </c>
      <c r="C83" s="24">
        <v>1987700</v>
      </c>
      <c r="D83" s="353"/>
      <c r="E83" s="352"/>
      <c r="F83" s="353"/>
      <c r="G83" s="361"/>
      <c r="H83" s="11"/>
      <c r="I83" s="11"/>
      <c r="J83" s="11"/>
      <c r="K83" s="11"/>
      <c r="L83" s="11"/>
    </row>
    <row r="84" spans="1:12" s="101" customFormat="1" ht="13.5" customHeight="1" thickBot="1" x14ac:dyDescent="0.3">
      <c r="A84" s="72"/>
      <c r="B84" s="24"/>
      <c r="C84" s="24"/>
      <c r="D84" s="363"/>
      <c r="E84" s="353"/>
      <c r="F84" s="352"/>
      <c r="G84" s="363"/>
      <c r="H84" s="356"/>
      <c r="I84" s="357"/>
      <c r="J84" s="357"/>
    </row>
    <row r="85" spans="1:12" s="71" customFormat="1" ht="13.5" customHeight="1" thickBot="1" x14ac:dyDescent="0.3">
      <c r="A85" s="1115" t="s">
        <v>5</v>
      </c>
      <c r="B85" s="1116"/>
      <c r="C85" s="669">
        <f>C86</f>
        <v>474750</v>
      </c>
      <c r="D85" s="352"/>
      <c r="E85" s="353"/>
      <c r="F85" s="354"/>
      <c r="G85" s="355"/>
      <c r="H85" s="359"/>
      <c r="I85" s="24"/>
      <c r="J85" s="360"/>
      <c r="K85" s="147"/>
    </row>
    <row r="86" spans="1:12" s="72" customFormat="1" ht="13.5" customHeight="1" x14ac:dyDescent="0.25">
      <c r="A86" s="11" t="s">
        <v>128</v>
      </c>
      <c r="B86" s="298" t="s">
        <v>129</v>
      </c>
      <c r="C86" s="32">
        <f>SUM(C87:C88)</f>
        <v>474750</v>
      </c>
      <c r="D86" s="101"/>
      <c r="E86" s="101"/>
      <c r="F86" s="101"/>
      <c r="G86" s="358"/>
      <c r="H86" s="555"/>
      <c r="I86" s="353"/>
      <c r="J86" s="353"/>
      <c r="K86" s="12"/>
      <c r="L86" s="12"/>
    </row>
    <row r="87" spans="1:12" s="71" customFormat="1" ht="13.5" customHeight="1" x14ac:dyDescent="0.25">
      <c r="A87" s="12" t="s">
        <v>455</v>
      </c>
      <c r="B87" s="12" t="s">
        <v>241</v>
      </c>
      <c r="C87" s="24">
        <v>293250</v>
      </c>
      <c r="G87" s="361"/>
      <c r="K87" s="147"/>
    </row>
    <row r="88" spans="1:12" s="265" customFormat="1" ht="13.5" customHeight="1" x14ac:dyDescent="0.25">
      <c r="A88" s="12" t="s">
        <v>144</v>
      </c>
      <c r="B88" s="24" t="s">
        <v>12</v>
      </c>
      <c r="C88" s="24">
        <v>181500</v>
      </c>
      <c r="D88" s="72"/>
      <c r="E88" s="72"/>
      <c r="F88" s="72"/>
      <c r="G88" s="363"/>
    </row>
    <row r="89" spans="1:12" s="101" customFormat="1" ht="13.5" customHeight="1" thickBot="1" x14ac:dyDescent="0.35">
      <c r="A89" s="12"/>
      <c r="B89" s="12"/>
      <c r="C89" s="24"/>
      <c r="D89" s="408"/>
      <c r="E89" s="24"/>
      <c r="F89" s="360"/>
      <c r="G89" s="361"/>
    </row>
    <row r="90" spans="1:12" s="5" customFormat="1" ht="13.5" thickBot="1" x14ac:dyDescent="0.3">
      <c r="A90" s="1100" t="s">
        <v>4</v>
      </c>
      <c r="B90" s="1101"/>
      <c r="C90" s="670">
        <f>C91+C95</f>
        <v>120300</v>
      </c>
      <c r="D90" s="409"/>
      <c r="E90" s="353"/>
      <c r="F90" s="354"/>
      <c r="G90" s="355"/>
    </row>
    <row r="91" spans="1:12" s="5" customFormat="1" ht="13" x14ac:dyDescent="0.25">
      <c r="A91" s="265" t="s">
        <v>116</v>
      </c>
      <c r="B91" s="298" t="s">
        <v>117</v>
      </c>
      <c r="C91" s="32">
        <f>SUM(C92:C94)</f>
        <v>105800</v>
      </c>
      <c r="D91" s="357"/>
      <c r="E91" s="353"/>
      <c r="F91" s="357"/>
      <c r="G91" s="358"/>
    </row>
    <row r="92" spans="1:12" s="5" customFormat="1" ht="13" x14ac:dyDescent="0.25">
      <c r="A92" s="72" t="s">
        <v>91</v>
      </c>
      <c r="B92" s="72" t="s">
        <v>139</v>
      </c>
      <c r="C92" s="24">
        <v>46000</v>
      </c>
      <c r="D92" s="352"/>
      <c r="E92" s="352"/>
      <c r="F92" s="352"/>
      <c r="G92" s="410"/>
    </row>
    <row r="93" spans="1:12" s="5" customFormat="1" ht="13" x14ac:dyDescent="0.25">
      <c r="A93" s="72" t="s">
        <v>57</v>
      </c>
      <c r="B93" s="72" t="s">
        <v>58</v>
      </c>
      <c r="C93" s="24">
        <v>29800</v>
      </c>
      <c r="D93" s="352"/>
      <c r="E93" s="352"/>
      <c r="F93" s="352"/>
      <c r="G93" s="410"/>
    </row>
    <row r="94" spans="1:12" s="8" customFormat="1" ht="13.5" customHeight="1" x14ac:dyDescent="0.25">
      <c r="A94" s="72" t="s">
        <v>814</v>
      </c>
      <c r="B94" s="23" t="s">
        <v>815</v>
      </c>
      <c r="C94" s="24">
        <v>30000</v>
      </c>
      <c r="D94" s="78"/>
      <c r="E94" s="25"/>
      <c r="F94" s="99"/>
      <c r="G94" s="55"/>
      <c r="H94" s="43"/>
    </row>
    <row r="95" spans="1:12" s="147" customFormat="1" ht="13" x14ac:dyDescent="0.25">
      <c r="A95" s="265" t="s">
        <v>166</v>
      </c>
      <c r="B95" s="25" t="s">
        <v>134</v>
      </c>
      <c r="C95" s="31">
        <f>SUM(C96)</f>
        <v>14500</v>
      </c>
      <c r="D95" s="352"/>
      <c r="E95" s="352"/>
      <c r="F95" s="352"/>
      <c r="G95" s="410"/>
    </row>
    <row r="96" spans="1:12" s="147" customFormat="1" ht="13" x14ac:dyDescent="0.25">
      <c r="A96" s="72" t="s">
        <v>167</v>
      </c>
      <c r="B96" s="23" t="s">
        <v>51</v>
      </c>
      <c r="C96" s="24">
        <v>14500</v>
      </c>
      <c r="D96" s="352"/>
      <c r="E96" s="352"/>
      <c r="F96" s="352"/>
      <c r="G96" s="410"/>
    </row>
    <row r="97" spans="1:7" s="147" customFormat="1" ht="13" x14ac:dyDescent="0.25">
      <c r="A97" s="72"/>
      <c r="B97" s="23"/>
      <c r="C97" s="24"/>
      <c r="D97" s="352"/>
      <c r="E97" s="352"/>
      <c r="F97" s="352"/>
      <c r="G97" s="410"/>
    </row>
    <row r="98" spans="1:7" s="147" customFormat="1" ht="13.5" customHeight="1" thickBot="1" x14ac:dyDescent="0.3">
      <c r="A98" s="12"/>
      <c r="B98" s="24"/>
      <c r="C98" s="24"/>
      <c r="D98" s="353"/>
      <c r="E98" s="353"/>
      <c r="F98" s="353"/>
      <c r="G98" s="394"/>
    </row>
    <row r="99" spans="1:7" s="147" customFormat="1" ht="13.5" customHeight="1" x14ac:dyDescent="0.25">
      <c r="A99" s="1117" t="s">
        <v>924</v>
      </c>
      <c r="B99" s="1118"/>
      <c r="C99" s="1119"/>
      <c r="D99" s="692" t="s">
        <v>6</v>
      </c>
      <c r="E99" s="911">
        <v>1502</v>
      </c>
      <c r="F99" s="148"/>
      <c r="G99" s="394"/>
    </row>
    <row r="100" spans="1:7" s="147" customFormat="1" ht="13.5" customHeight="1" thickBot="1" x14ac:dyDescent="0.3">
      <c r="A100" s="1226"/>
      <c r="B100" s="1227"/>
      <c r="C100" s="1228"/>
      <c r="D100" s="734"/>
      <c r="E100" s="738"/>
      <c r="F100" s="148"/>
      <c r="G100" s="394"/>
    </row>
    <row r="101" spans="1:7" s="147" customFormat="1" ht="13.5" customHeight="1" x14ac:dyDescent="0.25">
      <c r="A101" s="1217" t="s">
        <v>925</v>
      </c>
      <c r="B101" s="1218"/>
      <c r="C101" s="1218"/>
      <c r="D101" s="1218"/>
      <c r="E101" s="1219"/>
      <c r="F101" s="148"/>
      <c r="G101" s="394"/>
    </row>
    <row r="102" spans="1:7" s="147" customFormat="1" ht="13.5" customHeight="1" x14ac:dyDescent="0.25">
      <c r="A102" s="1220"/>
      <c r="B102" s="1221"/>
      <c r="C102" s="1221"/>
      <c r="D102" s="1221"/>
      <c r="E102" s="1222"/>
      <c r="F102" s="148"/>
      <c r="G102" s="394"/>
    </row>
    <row r="103" spans="1:7" s="147" customFormat="1" ht="13.5" customHeight="1" x14ac:dyDescent="0.25">
      <c r="A103" s="1220"/>
      <c r="B103" s="1221"/>
      <c r="C103" s="1221"/>
      <c r="D103" s="1221"/>
      <c r="E103" s="1222"/>
      <c r="F103" s="148"/>
      <c r="G103" s="394"/>
    </row>
    <row r="104" spans="1:7" s="147" customFormat="1" ht="13.5" customHeight="1" x14ac:dyDescent="0.25">
      <c r="A104" s="1220"/>
      <c r="B104" s="1221"/>
      <c r="C104" s="1221"/>
      <c r="D104" s="1221"/>
      <c r="E104" s="1222"/>
      <c r="F104" s="148"/>
      <c r="G104" s="394"/>
    </row>
    <row r="105" spans="1:7" s="147" customFormat="1" ht="13.5" customHeight="1" x14ac:dyDescent="0.25">
      <c r="A105" s="1220"/>
      <c r="B105" s="1221"/>
      <c r="C105" s="1221"/>
      <c r="D105" s="1221"/>
      <c r="E105" s="1222"/>
      <c r="F105" s="148"/>
      <c r="G105" s="394"/>
    </row>
    <row r="106" spans="1:7" s="147" customFormat="1" ht="13.5" customHeight="1" x14ac:dyDescent="0.25">
      <c r="A106" s="1220"/>
      <c r="B106" s="1221"/>
      <c r="C106" s="1221"/>
      <c r="D106" s="1221"/>
      <c r="E106" s="1222"/>
      <c r="F106" s="148"/>
      <c r="G106" s="394"/>
    </row>
    <row r="107" spans="1:7" s="12" customFormat="1" ht="13.5" customHeight="1" x14ac:dyDescent="0.25">
      <c r="A107" s="1220"/>
      <c r="B107" s="1221"/>
      <c r="C107" s="1221"/>
      <c r="D107" s="1221"/>
      <c r="E107" s="1222"/>
      <c r="F107" s="148"/>
      <c r="G107" s="394"/>
    </row>
    <row r="108" spans="1:7" s="12" customFormat="1" ht="13.5" customHeight="1" thickBot="1" x14ac:dyDescent="0.3">
      <c r="A108" s="1223"/>
      <c r="B108" s="1224"/>
      <c r="C108" s="1224"/>
      <c r="D108" s="1224"/>
      <c r="E108" s="1225"/>
      <c r="F108" s="148"/>
      <c r="G108" s="394"/>
    </row>
    <row r="109" spans="1:7" s="12" customFormat="1" ht="13.5" customHeight="1" x14ac:dyDescent="0.25">
      <c r="A109" s="41" t="s">
        <v>1029</v>
      </c>
      <c r="B109" s="41"/>
      <c r="C109" s="24"/>
      <c r="D109" s="22"/>
      <c r="E109" s="320"/>
      <c r="F109" s="227"/>
      <c r="G109" s="361"/>
    </row>
    <row r="110" spans="1:7" s="12" customFormat="1" ht="13.5" customHeight="1" x14ac:dyDescent="0.25">
      <c r="A110" s="41" t="s">
        <v>824</v>
      </c>
      <c r="B110" s="41"/>
      <c r="C110" s="24"/>
      <c r="D110" s="22"/>
      <c r="E110" s="320"/>
      <c r="F110" s="227"/>
      <c r="G110" s="361"/>
    </row>
    <row r="111" spans="1:7" s="12" customFormat="1" ht="13.5" customHeight="1" x14ac:dyDescent="0.25">
      <c r="A111" s="41" t="s">
        <v>1040</v>
      </c>
      <c r="B111" s="41"/>
      <c r="C111" s="24"/>
      <c r="D111" s="22"/>
      <c r="E111" s="320"/>
      <c r="F111" s="227"/>
      <c r="G111" s="361"/>
    </row>
    <row r="112" spans="1:7" s="12" customFormat="1" ht="13.5" customHeight="1" thickBot="1" x14ac:dyDescent="0.3">
      <c r="A112" s="76" t="s">
        <v>11</v>
      </c>
      <c r="B112" s="76"/>
      <c r="C112" s="377"/>
      <c r="D112" s="396"/>
      <c r="E112" s="378"/>
      <c r="F112" s="227"/>
      <c r="G112" s="361"/>
    </row>
    <row r="113" spans="1:8" s="265" customFormat="1" ht="13.5" customHeight="1" thickBot="1" x14ac:dyDescent="0.3">
      <c r="A113" s="661" t="s">
        <v>0</v>
      </c>
      <c r="B113" s="661"/>
      <c r="C113" s="798"/>
      <c r="D113" s="755"/>
      <c r="E113" s="665">
        <f>+C115+C132+C144</f>
        <v>1352830</v>
      </c>
      <c r="F113" s="397"/>
      <c r="G113" s="361"/>
    </row>
    <row r="114" spans="1:8" s="12" customFormat="1" ht="13.5" customHeight="1" thickBot="1" x14ac:dyDescent="0.3">
      <c r="C114" s="24"/>
      <c r="D114" s="398"/>
      <c r="F114" s="344"/>
      <c r="G114" s="361"/>
    </row>
    <row r="115" spans="1:8" s="12" customFormat="1" ht="13.5" customHeight="1" thickBot="1" x14ac:dyDescent="0.3">
      <c r="A115" s="1104" t="s">
        <v>2</v>
      </c>
      <c r="B115" s="1105"/>
      <c r="C115" s="667">
        <f>C116+C118+C120+C125+C127+C123</f>
        <v>407160</v>
      </c>
      <c r="D115" s="402"/>
      <c r="E115" s="265"/>
      <c r="F115" s="265"/>
      <c r="G115" s="399"/>
    </row>
    <row r="116" spans="1:8" s="3" customFormat="1" ht="13" x14ac:dyDescent="0.25">
      <c r="A116" s="11" t="s">
        <v>103</v>
      </c>
      <c r="B116" s="298" t="s">
        <v>104</v>
      </c>
      <c r="C116" s="32">
        <f>SUM(C117)</f>
        <v>30870</v>
      </c>
      <c r="D116" s="357"/>
      <c r="E116" s="403"/>
      <c r="F116" s="403"/>
      <c r="G116" s="358"/>
      <c r="H116" s="1"/>
    </row>
    <row r="117" spans="1:8" s="3" customFormat="1" ht="13" x14ac:dyDescent="0.25">
      <c r="A117" s="12" t="s">
        <v>46</v>
      </c>
      <c r="B117" s="12" t="s">
        <v>45</v>
      </c>
      <c r="C117" s="24">
        <v>30870</v>
      </c>
      <c r="D117" s="357"/>
      <c r="E117" s="353"/>
      <c r="F117" s="353"/>
      <c r="G117" s="394"/>
      <c r="H117" s="1"/>
    </row>
    <row r="118" spans="1:8" s="3" customFormat="1" ht="13" x14ac:dyDescent="0.25">
      <c r="A118" s="11" t="s">
        <v>105</v>
      </c>
      <c r="B118" s="11" t="s">
        <v>106</v>
      </c>
      <c r="C118" s="31">
        <f>SUM(C119:C119)</f>
        <v>41400</v>
      </c>
      <c r="D118" s="353"/>
      <c r="E118" s="353"/>
      <c r="F118" s="353"/>
      <c r="G118" s="394"/>
      <c r="H118" s="1"/>
    </row>
    <row r="119" spans="1:8" s="5" customFormat="1" ht="13" x14ac:dyDescent="0.25">
      <c r="A119" s="12" t="s">
        <v>86</v>
      </c>
      <c r="B119" s="72" t="s">
        <v>66</v>
      </c>
      <c r="C119" s="24">
        <v>41400</v>
      </c>
      <c r="D119" s="404"/>
      <c r="E119" s="353"/>
      <c r="F119" s="353"/>
      <c r="G119" s="1"/>
      <c r="H119" s="147"/>
    </row>
    <row r="120" spans="1:8" s="5" customFormat="1" ht="13" x14ac:dyDescent="0.25">
      <c r="A120" s="11" t="s">
        <v>107</v>
      </c>
      <c r="B120" s="265" t="s">
        <v>108</v>
      </c>
      <c r="C120" s="31">
        <f>SUM(C121:C122)</f>
        <v>169600</v>
      </c>
      <c r="D120" s="404"/>
      <c r="E120" s="353"/>
      <c r="F120" s="353"/>
      <c r="G120" s="1"/>
      <c r="H120" s="147"/>
    </row>
    <row r="121" spans="1:8" s="5" customFormat="1" ht="13" x14ac:dyDescent="0.25">
      <c r="A121" s="12" t="s">
        <v>47</v>
      </c>
      <c r="B121" s="23" t="s">
        <v>48</v>
      </c>
      <c r="C121" s="24">
        <v>138600</v>
      </c>
      <c r="D121" s="404"/>
      <c r="E121" s="353"/>
      <c r="F121" s="353"/>
      <c r="G121" s="405"/>
      <c r="H121" s="147"/>
    </row>
    <row r="122" spans="1:8" s="5" customFormat="1" ht="13" x14ac:dyDescent="0.25">
      <c r="A122" s="12" t="s">
        <v>460</v>
      </c>
      <c r="B122" s="43" t="s">
        <v>461</v>
      </c>
      <c r="C122" s="24">
        <v>31000</v>
      </c>
      <c r="D122" s="404"/>
      <c r="E122" s="353"/>
      <c r="F122" s="353"/>
      <c r="G122" s="405"/>
      <c r="H122" s="147"/>
    </row>
    <row r="123" spans="1:8" s="5" customFormat="1" ht="13" x14ac:dyDescent="0.25">
      <c r="A123" s="11" t="s">
        <v>119</v>
      </c>
      <c r="B123" s="559" t="s">
        <v>191</v>
      </c>
      <c r="C123" s="31">
        <f>SUM(C124)</f>
        <v>68000</v>
      </c>
      <c r="D123" s="404"/>
      <c r="E123" s="353"/>
      <c r="F123" s="353"/>
      <c r="G123" s="405"/>
      <c r="H123" s="147"/>
    </row>
    <row r="124" spans="1:8" s="5" customFormat="1" ht="13" x14ac:dyDescent="0.25">
      <c r="A124" s="12" t="s">
        <v>186</v>
      </c>
      <c r="B124" s="43" t="s">
        <v>185</v>
      </c>
      <c r="C124" s="24">
        <v>68000</v>
      </c>
      <c r="D124" s="404"/>
      <c r="E124" s="353"/>
      <c r="F124" s="353"/>
      <c r="G124" s="405"/>
      <c r="H124" s="147"/>
    </row>
    <row r="125" spans="1:8" s="5" customFormat="1" ht="13" x14ac:dyDescent="0.25">
      <c r="A125" s="265" t="s">
        <v>124</v>
      </c>
      <c r="B125" s="25" t="s">
        <v>123</v>
      </c>
      <c r="C125" s="31">
        <f>SUM(C126)</f>
        <v>15000</v>
      </c>
      <c r="D125" s="404"/>
      <c r="E125" s="353"/>
      <c r="F125" s="353"/>
      <c r="G125" s="405"/>
      <c r="H125" s="147"/>
    </row>
    <row r="126" spans="1:8" s="5" customFormat="1" ht="13" x14ac:dyDescent="0.25">
      <c r="A126" s="72" t="s">
        <v>93</v>
      </c>
      <c r="B126" s="24" t="s">
        <v>72</v>
      </c>
      <c r="C126" s="24">
        <v>15000</v>
      </c>
      <c r="D126" s="353"/>
      <c r="E126" s="353"/>
      <c r="F126" s="353"/>
      <c r="G126" s="394"/>
      <c r="H126" s="147"/>
    </row>
    <row r="127" spans="1:8" s="265" customFormat="1" ht="13.5" customHeight="1" x14ac:dyDescent="0.25">
      <c r="A127" s="265" t="s">
        <v>151</v>
      </c>
      <c r="B127" s="25" t="s">
        <v>125</v>
      </c>
      <c r="C127" s="31">
        <f>SUM(C128:C130)</f>
        <v>82290</v>
      </c>
      <c r="D127" s="353"/>
      <c r="E127" s="353"/>
      <c r="F127" s="353"/>
      <c r="G127" s="394"/>
      <c r="H127" s="11"/>
    </row>
    <row r="128" spans="1:8" s="265" customFormat="1" ht="13.5" customHeight="1" x14ac:dyDescent="0.25">
      <c r="A128" s="72" t="s">
        <v>153</v>
      </c>
      <c r="B128" s="24" t="s">
        <v>70</v>
      </c>
      <c r="C128" s="24">
        <v>14490</v>
      </c>
      <c r="D128" s="353"/>
      <c r="E128" s="353"/>
      <c r="F128" s="353"/>
      <c r="G128" s="394"/>
      <c r="H128" s="11"/>
    </row>
    <row r="129" spans="1:12" s="349" customFormat="1" ht="13" x14ac:dyDescent="0.25">
      <c r="A129" s="72" t="s">
        <v>155</v>
      </c>
      <c r="B129" s="23" t="s">
        <v>125</v>
      </c>
      <c r="C129" s="24">
        <v>30360</v>
      </c>
      <c r="D129" s="406"/>
      <c r="E129" s="353"/>
      <c r="F129" s="353"/>
      <c r="G129" s="405"/>
    </row>
    <row r="130" spans="1:12" s="3" customFormat="1" ht="13" x14ac:dyDescent="0.25">
      <c r="A130" s="72" t="s">
        <v>699</v>
      </c>
      <c r="B130" s="43" t="s">
        <v>698</v>
      </c>
      <c r="C130" s="24">
        <v>37440</v>
      </c>
      <c r="D130" s="406"/>
      <c r="E130" s="353"/>
      <c r="F130" s="353"/>
      <c r="G130" s="405"/>
    </row>
    <row r="131" spans="1:12" s="72" customFormat="1" ht="13.5" customHeight="1" thickBot="1" x14ac:dyDescent="0.3">
      <c r="B131" s="24"/>
      <c r="C131" s="24"/>
      <c r="D131" s="357"/>
      <c r="E131" s="353"/>
      <c r="F131" s="353"/>
      <c r="G131" s="394"/>
      <c r="H131" s="24"/>
    </row>
    <row r="132" spans="1:12" s="72" customFormat="1" ht="13.5" customHeight="1" thickBot="1" x14ac:dyDescent="0.3">
      <c r="A132" s="1096" t="s">
        <v>3</v>
      </c>
      <c r="B132" s="1097"/>
      <c r="C132" s="668">
        <f>+C135+C137+C139+C133</f>
        <v>847870</v>
      </c>
      <c r="D132" s="353"/>
      <c r="E132" s="402"/>
      <c r="F132" s="402"/>
      <c r="G132" s="368"/>
      <c r="H132" s="24"/>
    </row>
    <row r="133" spans="1:12" s="72" customFormat="1" ht="13.5" customHeight="1" x14ac:dyDescent="0.25">
      <c r="A133" s="265" t="s">
        <v>110</v>
      </c>
      <c r="B133" s="298" t="s">
        <v>111</v>
      </c>
      <c r="C133" s="32">
        <f>SUM(C134)</f>
        <v>33120</v>
      </c>
      <c r="D133" s="348"/>
      <c r="E133" s="237"/>
      <c r="F133" s="357"/>
      <c r="G133" s="349"/>
      <c r="H133" s="24"/>
    </row>
    <row r="134" spans="1:12" s="72" customFormat="1" ht="13.5" customHeight="1" x14ac:dyDescent="0.25">
      <c r="A134" s="72" t="s">
        <v>52</v>
      </c>
      <c r="B134" s="24" t="s">
        <v>15</v>
      </c>
      <c r="C134" s="24">
        <v>33120</v>
      </c>
      <c r="D134" s="14"/>
      <c r="E134" s="120"/>
      <c r="F134" s="353"/>
      <c r="G134" s="405"/>
      <c r="H134" s="24"/>
    </row>
    <row r="135" spans="1:12" s="72" customFormat="1" ht="13.5" customHeight="1" x14ac:dyDescent="0.25">
      <c r="A135" s="11" t="s">
        <v>120</v>
      </c>
      <c r="B135" s="31" t="s">
        <v>121</v>
      </c>
      <c r="C135" s="31">
        <f>SUM(C136)</f>
        <v>13500</v>
      </c>
      <c r="D135" s="353"/>
      <c r="E135" s="353"/>
      <c r="F135" s="353"/>
      <c r="G135" s="361"/>
      <c r="H135" s="358"/>
      <c r="I135" s="12"/>
      <c r="J135" s="12"/>
      <c r="K135" s="12"/>
      <c r="L135" s="12"/>
    </row>
    <row r="136" spans="1:12" s="72" customFormat="1" ht="13.5" customHeight="1" x14ac:dyDescent="0.25">
      <c r="A136" s="12" t="s">
        <v>136</v>
      </c>
      <c r="B136" s="12" t="s">
        <v>71</v>
      </c>
      <c r="C136" s="24">
        <v>13500</v>
      </c>
      <c r="D136" s="353"/>
      <c r="E136" s="353"/>
      <c r="F136" s="353"/>
      <c r="G136" s="361"/>
      <c r="H136" s="353"/>
      <c r="I136" s="12"/>
      <c r="J136" s="12"/>
      <c r="K136" s="12"/>
      <c r="L136" s="12"/>
    </row>
    <row r="137" spans="1:12" s="72" customFormat="1" ht="13.5" customHeight="1" x14ac:dyDescent="0.25">
      <c r="A137" s="265" t="s">
        <v>112</v>
      </c>
      <c r="B137" s="31" t="s">
        <v>157</v>
      </c>
      <c r="C137" s="31">
        <f>SUM(C138:C138)</f>
        <v>409500</v>
      </c>
      <c r="D137" s="353"/>
      <c r="E137" s="353"/>
      <c r="F137" s="353"/>
      <c r="G137" s="361"/>
      <c r="H137" s="361"/>
      <c r="I137" s="12"/>
      <c r="J137" s="12"/>
      <c r="K137" s="12"/>
      <c r="L137" s="12"/>
    </row>
    <row r="138" spans="1:12" s="11" customFormat="1" ht="13.5" customHeight="1" x14ac:dyDescent="0.25">
      <c r="A138" s="72" t="s">
        <v>49</v>
      </c>
      <c r="B138" s="24" t="s">
        <v>87</v>
      </c>
      <c r="C138" s="24">
        <v>409500</v>
      </c>
      <c r="D138" s="72"/>
      <c r="E138" s="352"/>
      <c r="F138" s="120"/>
      <c r="G138" s="407"/>
    </row>
    <row r="139" spans="1:12" s="72" customFormat="1" ht="13.5" customHeight="1" x14ac:dyDescent="0.25">
      <c r="A139" s="265" t="s">
        <v>115</v>
      </c>
      <c r="B139" s="31" t="s">
        <v>8</v>
      </c>
      <c r="C139" s="31">
        <f>SUM(C140:C142)</f>
        <v>391750</v>
      </c>
      <c r="E139" s="352"/>
      <c r="F139" s="353"/>
      <c r="G139" s="361"/>
      <c r="H139" s="12"/>
      <c r="I139" s="12"/>
      <c r="J139" s="24"/>
      <c r="K139" s="12"/>
      <c r="L139" s="12"/>
    </row>
    <row r="140" spans="1:12" s="72" customFormat="1" ht="13.5" customHeight="1" x14ac:dyDescent="0.25">
      <c r="A140" s="72" t="s">
        <v>92</v>
      </c>
      <c r="B140" s="24" t="s">
        <v>8</v>
      </c>
      <c r="C140" s="24">
        <v>185000</v>
      </c>
      <c r="E140" s="353"/>
      <c r="F140" s="352"/>
      <c r="G140" s="363"/>
      <c r="H140" s="12"/>
      <c r="I140" s="12"/>
      <c r="J140" s="12"/>
      <c r="K140" s="12"/>
      <c r="L140" s="12"/>
    </row>
    <row r="141" spans="1:12" s="101" customFormat="1" ht="13.5" customHeight="1" x14ac:dyDescent="0.25">
      <c r="A141" s="72" t="s">
        <v>222</v>
      </c>
      <c r="B141" s="12" t="s">
        <v>221</v>
      </c>
      <c r="C141" s="24">
        <v>125500</v>
      </c>
      <c r="D141" s="353"/>
      <c r="E141" s="353"/>
      <c r="F141" s="353"/>
      <c r="G141" s="361"/>
      <c r="H141" s="356"/>
      <c r="I141" s="357"/>
      <c r="J141" s="357"/>
    </row>
    <row r="142" spans="1:12" s="5" customFormat="1" ht="13" x14ac:dyDescent="0.25">
      <c r="A142" s="72" t="s">
        <v>90</v>
      </c>
      <c r="B142" s="24" t="s">
        <v>7</v>
      </c>
      <c r="C142" s="24">
        <v>81250</v>
      </c>
      <c r="D142" s="353"/>
      <c r="E142" s="352"/>
      <c r="F142" s="353"/>
      <c r="G142" s="361"/>
    </row>
    <row r="143" spans="1:12" s="5" customFormat="1" ht="13.5" thickBot="1" x14ac:dyDescent="0.3">
      <c r="A143" s="72"/>
      <c r="B143" s="24"/>
      <c r="C143" s="24"/>
      <c r="D143" s="363"/>
      <c r="E143" s="353"/>
      <c r="F143" s="352"/>
      <c r="G143" s="363"/>
    </row>
    <row r="144" spans="1:12" s="5" customFormat="1" ht="13.5" thickBot="1" x14ac:dyDescent="0.3">
      <c r="A144" s="1100" t="s">
        <v>4</v>
      </c>
      <c r="B144" s="1101"/>
      <c r="C144" s="670">
        <f>C145+C149</f>
        <v>97800</v>
      </c>
      <c r="D144" s="409"/>
      <c r="E144" s="353"/>
      <c r="F144" s="354"/>
      <c r="G144" s="355"/>
    </row>
    <row r="145" spans="1:256" s="5" customFormat="1" ht="13" x14ac:dyDescent="0.25">
      <c r="A145" s="265" t="s">
        <v>116</v>
      </c>
      <c r="B145" s="298" t="s">
        <v>117</v>
      </c>
      <c r="C145" s="32">
        <f>SUM(C146:C148)</f>
        <v>83800</v>
      </c>
      <c r="D145" s="357"/>
      <c r="E145" s="353"/>
      <c r="F145" s="357"/>
      <c r="G145" s="358"/>
    </row>
    <row r="146" spans="1:256" s="5" customFormat="1" ht="13" x14ac:dyDescent="0.25">
      <c r="A146" s="72" t="s">
        <v>91</v>
      </c>
      <c r="B146" s="72" t="s">
        <v>139</v>
      </c>
      <c r="C146" s="24">
        <v>30000</v>
      </c>
      <c r="D146" s="352"/>
      <c r="E146" s="352"/>
      <c r="F146" s="352"/>
      <c r="G146" s="410"/>
    </row>
    <row r="147" spans="1:256" s="5" customFormat="1" ht="13" x14ac:dyDescent="0.25">
      <c r="A147" s="72" t="s">
        <v>57</v>
      </c>
      <c r="B147" s="72" t="s">
        <v>58</v>
      </c>
      <c r="C147" s="24">
        <v>17000</v>
      </c>
      <c r="D147" s="352"/>
      <c r="E147" s="352"/>
      <c r="F147" s="352"/>
      <c r="G147" s="410"/>
    </row>
    <row r="148" spans="1:256" s="5" customFormat="1" ht="13" x14ac:dyDescent="0.3">
      <c r="A148" s="72" t="s">
        <v>814</v>
      </c>
      <c r="B148" s="23" t="s">
        <v>815</v>
      </c>
      <c r="C148" s="55">
        <v>36800</v>
      </c>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2"/>
      <c r="BQ148" s="212"/>
      <c r="BR148" s="212"/>
      <c r="BS148" s="212"/>
      <c r="BT148" s="212"/>
      <c r="BU148" s="212"/>
      <c r="BV148" s="212"/>
      <c r="BW148" s="212"/>
      <c r="BX148" s="212"/>
      <c r="BY148" s="212"/>
      <c r="BZ148" s="212"/>
      <c r="CA148" s="212"/>
      <c r="CB148" s="212"/>
      <c r="CC148" s="212"/>
      <c r="CD148" s="212"/>
      <c r="CE148" s="212"/>
      <c r="CF148" s="212"/>
      <c r="CG148" s="212"/>
      <c r="CH148" s="212"/>
      <c r="CI148" s="212"/>
      <c r="CJ148" s="212"/>
      <c r="CK148" s="212"/>
      <c r="CL148" s="212"/>
      <c r="CM148" s="212"/>
      <c r="CN148" s="212"/>
      <c r="CO148" s="212"/>
      <c r="CP148" s="212"/>
      <c r="CQ148" s="212"/>
      <c r="CR148" s="212"/>
      <c r="CS148" s="212"/>
      <c r="CT148" s="212"/>
      <c r="CU148" s="212"/>
      <c r="CV148" s="212"/>
      <c r="CW148" s="212"/>
      <c r="CX148" s="212"/>
      <c r="CY148" s="212"/>
      <c r="CZ148" s="212"/>
      <c r="DA148" s="212"/>
      <c r="DB148" s="212"/>
      <c r="DC148" s="212"/>
      <c r="DD148" s="212"/>
      <c r="DE148" s="212"/>
      <c r="DF148" s="212"/>
      <c r="DG148" s="212"/>
      <c r="DH148" s="212"/>
      <c r="DI148" s="212"/>
      <c r="DJ148" s="212"/>
      <c r="DK148" s="212"/>
      <c r="DL148" s="212"/>
      <c r="DM148" s="212"/>
      <c r="DN148" s="212"/>
      <c r="DO148" s="212"/>
      <c r="DP148" s="212"/>
      <c r="DQ148" s="212"/>
      <c r="DR148" s="212"/>
      <c r="DS148" s="212"/>
      <c r="DT148" s="212"/>
      <c r="DU148" s="212"/>
      <c r="DV148" s="212"/>
      <c r="DW148" s="212"/>
      <c r="DX148" s="212"/>
      <c r="DY148" s="212"/>
      <c r="DZ148" s="212"/>
      <c r="EA148" s="212"/>
      <c r="EB148" s="212"/>
      <c r="EC148" s="212"/>
      <c r="ED148" s="212"/>
      <c r="EE148" s="212"/>
      <c r="EF148" s="212"/>
      <c r="EG148" s="212"/>
      <c r="EH148" s="212"/>
      <c r="EI148" s="212"/>
      <c r="EJ148" s="212"/>
      <c r="EK148" s="212"/>
      <c r="EL148" s="212"/>
      <c r="EM148" s="212"/>
      <c r="EN148" s="212"/>
      <c r="EO148" s="212"/>
      <c r="EP148" s="212"/>
      <c r="EQ148" s="212"/>
      <c r="ER148" s="212"/>
      <c r="ES148" s="212"/>
      <c r="ET148" s="212"/>
      <c r="EU148" s="212"/>
      <c r="EV148" s="212"/>
      <c r="EW148" s="212"/>
      <c r="EX148" s="212"/>
      <c r="EY148" s="212"/>
      <c r="EZ148" s="212"/>
      <c r="FA148" s="212"/>
      <c r="FB148" s="212"/>
      <c r="FC148" s="212"/>
      <c r="FD148" s="212"/>
      <c r="FE148" s="212"/>
      <c r="FF148" s="212"/>
      <c r="FG148" s="212"/>
      <c r="FH148" s="212"/>
      <c r="FI148" s="212"/>
      <c r="FJ148" s="212"/>
      <c r="FK148" s="212"/>
      <c r="FL148" s="212"/>
      <c r="FM148" s="212"/>
      <c r="FN148" s="212"/>
      <c r="FO148" s="212"/>
      <c r="FP148" s="212"/>
      <c r="FQ148" s="212"/>
      <c r="FR148" s="212"/>
      <c r="FS148" s="212"/>
      <c r="FT148" s="212"/>
      <c r="FU148" s="212"/>
      <c r="FV148" s="212"/>
      <c r="FW148" s="212"/>
      <c r="FX148" s="212"/>
      <c r="FY148" s="212"/>
      <c r="FZ148" s="212"/>
      <c r="GA148" s="212"/>
      <c r="GB148" s="212"/>
      <c r="GC148" s="212"/>
      <c r="GD148" s="212"/>
      <c r="GE148" s="212"/>
      <c r="GF148" s="212"/>
      <c r="GG148" s="212"/>
      <c r="GH148" s="212"/>
      <c r="GI148" s="212"/>
      <c r="GJ148" s="212"/>
      <c r="GK148" s="212"/>
      <c r="GL148" s="212"/>
      <c r="GM148" s="212"/>
      <c r="GN148" s="212"/>
      <c r="GO148" s="212"/>
      <c r="GP148" s="212"/>
      <c r="GQ148" s="212"/>
      <c r="GR148" s="212"/>
      <c r="GS148" s="212"/>
      <c r="GT148" s="212"/>
      <c r="GU148" s="212"/>
      <c r="GV148" s="212"/>
      <c r="GW148" s="212"/>
      <c r="GX148" s="212"/>
      <c r="GY148" s="212"/>
      <c r="GZ148" s="212"/>
      <c r="HA148" s="212"/>
      <c r="HB148" s="212"/>
      <c r="HC148" s="212"/>
      <c r="HD148" s="212"/>
      <c r="HE148" s="212"/>
      <c r="HF148" s="212"/>
      <c r="HG148" s="212"/>
      <c r="HH148" s="212"/>
      <c r="HI148" s="212"/>
      <c r="HJ148" s="212"/>
      <c r="HK148" s="212"/>
      <c r="HL148" s="212"/>
      <c r="HM148" s="212"/>
      <c r="HN148" s="212"/>
      <c r="HO148" s="212"/>
      <c r="HP148" s="212"/>
      <c r="HQ148" s="212"/>
      <c r="HR148" s="212"/>
      <c r="HS148" s="212"/>
      <c r="HT148" s="212"/>
      <c r="HU148" s="212"/>
      <c r="HV148" s="212"/>
      <c r="HW148" s="212"/>
      <c r="HX148" s="212"/>
      <c r="HY148" s="212"/>
      <c r="HZ148" s="212"/>
      <c r="IA148" s="212"/>
      <c r="IB148" s="212"/>
      <c r="IC148" s="212"/>
      <c r="ID148" s="212"/>
      <c r="IE148" s="212"/>
      <c r="IF148" s="212"/>
      <c r="IG148" s="212"/>
      <c r="IH148" s="212"/>
      <c r="II148" s="212"/>
      <c r="IJ148" s="212"/>
      <c r="IK148" s="212"/>
      <c r="IL148" s="212"/>
      <c r="IM148" s="212"/>
      <c r="IN148" s="212"/>
      <c r="IO148" s="212"/>
      <c r="IP148" s="212"/>
      <c r="IQ148" s="212"/>
      <c r="IR148" s="212"/>
      <c r="IS148" s="212"/>
      <c r="IT148" s="212"/>
      <c r="IU148" s="212"/>
      <c r="IV148" s="212"/>
    </row>
    <row r="149" spans="1:256" s="1" customFormat="1" ht="13" x14ac:dyDescent="0.25">
      <c r="A149" s="265" t="s">
        <v>166</v>
      </c>
      <c r="B149" s="25" t="s">
        <v>134</v>
      </c>
      <c r="C149" s="31">
        <f>SUM(C150)</f>
        <v>14000</v>
      </c>
      <c r="D149" s="352"/>
      <c r="E149" s="352"/>
      <c r="F149" s="352"/>
      <c r="G149" s="410"/>
    </row>
    <row r="150" spans="1:256" s="1" customFormat="1" ht="13" x14ac:dyDescent="0.25">
      <c r="A150" s="72" t="s">
        <v>167</v>
      </c>
      <c r="B150" s="23" t="s">
        <v>51</v>
      </c>
      <c r="C150" s="24">
        <v>14000</v>
      </c>
      <c r="D150" s="352"/>
      <c r="E150" s="352"/>
      <c r="F150" s="352"/>
      <c r="G150" s="410"/>
    </row>
    <row r="151" spans="1:256" s="1" customFormat="1" ht="13" x14ac:dyDescent="0.25">
      <c r="A151" s="72"/>
      <c r="B151" s="23"/>
      <c r="C151" s="24"/>
      <c r="D151" s="352"/>
      <c r="E151" s="352"/>
      <c r="F151" s="352"/>
      <c r="G151" s="410"/>
    </row>
    <row r="152" spans="1:256" s="1" customFormat="1" ht="13.5" thickBot="1" x14ac:dyDescent="0.3">
      <c r="A152" s="72"/>
      <c r="B152" s="23"/>
      <c r="C152" s="24"/>
      <c r="D152" s="352"/>
      <c r="E152" s="352"/>
      <c r="F152" s="352"/>
      <c r="G152" s="410"/>
    </row>
    <row r="153" spans="1:256" s="112" customFormat="1" ht="14.15" customHeight="1" x14ac:dyDescent="0.3">
      <c r="A153" s="1117" t="s">
        <v>928</v>
      </c>
      <c r="B153" s="1118"/>
      <c r="C153" s="1119"/>
      <c r="D153" s="692" t="s">
        <v>6</v>
      </c>
      <c r="E153" s="923" t="s">
        <v>927</v>
      </c>
      <c r="F153" s="345"/>
      <c r="G153" s="1"/>
    </row>
    <row r="154" spans="1:256" s="112" customFormat="1" ht="14.15" customHeight="1" thickBot="1" x14ac:dyDescent="0.35">
      <c r="A154" s="1120"/>
      <c r="B154" s="1121"/>
      <c r="C154" s="1122"/>
      <c r="D154" s="695"/>
      <c r="E154" s="951"/>
      <c r="F154" s="345"/>
      <c r="G154" s="1"/>
    </row>
    <row r="155" spans="1:256" s="112" customFormat="1" ht="14.15" customHeight="1" x14ac:dyDescent="0.3">
      <c r="A155" s="1217" t="s">
        <v>934</v>
      </c>
      <c r="B155" s="1218"/>
      <c r="C155" s="1218"/>
      <c r="D155" s="1218"/>
      <c r="E155" s="1219"/>
      <c r="F155" s="639"/>
      <c r="G155" s="639"/>
    </row>
    <row r="156" spans="1:256" s="112" customFormat="1" ht="14.15" customHeight="1" x14ac:dyDescent="0.3">
      <c r="A156" s="1220"/>
      <c r="B156" s="1221"/>
      <c r="C156" s="1221"/>
      <c r="D156" s="1221"/>
      <c r="E156" s="1222"/>
      <c r="F156" s="639"/>
      <c r="G156" s="639"/>
    </row>
    <row r="157" spans="1:256" s="112" customFormat="1" ht="14.15" customHeight="1" x14ac:dyDescent="0.3">
      <c r="A157" s="1220"/>
      <c r="B157" s="1221"/>
      <c r="C157" s="1221"/>
      <c r="D157" s="1221"/>
      <c r="E157" s="1222"/>
      <c r="F157" s="639"/>
      <c r="G157" s="639"/>
    </row>
    <row r="158" spans="1:256" s="112" customFormat="1" ht="14.15" customHeight="1" x14ac:dyDescent="0.3">
      <c r="A158" s="1220"/>
      <c r="B158" s="1221"/>
      <c r="C158" s="1221"/>
      <c r="D158" s="1221"/>
      <c r="E158" s="1222"/>
      <c r="F158" s="639"/>
      <c r="G158" s="639"/>
    </row>
    <row r="159" spans="1:256" s="112" customFormat="1" ht="14.15" customHeight="1" x14ac:dyDescent="0.3">
      <c r="A159" s="1220"/>
      <c r="B159" s="1221"/>
      <c r="C159" s="1221"/>
      <c r="D159" s="1221"/>
      <c r="E159" s="1222"/>
      <c r="F159" s="640"/>
      <c r="G159" s="640"/>
    </row>
    <row r="160" spans="1:256" s="112" customFormat="1" ht="14.15" customHeight="1" x14ac:dyDescent="0.3">
      <c r="A160" s="1220"/>
      <c r="B160" s="1221"/>
      <c r="C160" s="1221"/>
      <c r="D160" s="1221"/>
      <c r="E160" s="1222"/>
      <c r="F160" s="639"/>
      <c r="G160" s="639"/>
    </row>
    <row r="161" spans="1:8" s="112" customFormat="1" ht="14.15" customHeight="1" x14ac:dyDescent="0.3">
      <c r="A161" s="1220"/>
      <c r="B161" s="1221"/>
      <c r="C161" s="1221"/>
      <c r="D161" s="1221"/>
      <c r="E161" s="1222"/>
      <c r="F161" s="639"/>
      <c r="G161" s="639"/>
    </row>
    <row r="162" spans="1:8" s="112" customFormat="1" ht="14.15" customHeight="1" x14ac:dyDescent="0.3">
      <c r="A162" s="1220"/>
      <c r="B162" s="1221"/>
      <c r="C162" s="1221"/>
      <c r="D162" s="1221"/>
      <c r="E162" s="1222"/>
      <c r="F162" s="639"/>
      <c r="G162" s="639"/>
    </row>
    <row r="163" spans="1:8" s="12" customFormat="1" ht="13.5" customHeight="1" x14ac:dyDescent="0.3">
      <c r="A163" s="1220"/>
      <c r="B163" s="1221"/>
      <c r="C163" s="1221"/>
      <c r="D163" s="1221"/>
      <c r="E163" s="1222"/>
      <c r="F163" s="639"/>
      <c r="G163" s="639"/>
    </row>
    <row r="164" spans="1:8" s="12" customFormat="1" ht="18" customHeight="1" x14ac:dyDescent="0.3">
      <c r="A164" s="1220"/>
      <c r="B164" s="1221"/>
      <c r="C164" s="1221"/>
      <c r="D164" s="1221"/>
      <c r="E164" s="1222"/>
      <c r="F164" s="639"/>
      <c r="G164" s="639"/>
    </row>
    <row r="165" spans="1:8" s="12" customFormat="1" ht="18" customHeight="1" x14ac:dyDescent="0.3">
      <c r="A165" s="1220"/>
      <c r="B165" s="1221"/>
      <c r="C165" s="1221"/>
      <c r="D165" s="1221"/>
      <c r="E165" s="1222"/>
      <c r="F165" s="639"/>
      <c r="G165" s="639"/>
    </row>
    <row r="166" spans="1:8" s="12" customFormat="1" ht="6" customHeight="1" thickBot="1" x14ac:dyDescent="0.35">
      <c r="A166" s="1223"/>
      <c r="B166" s="1224"/>
      <c r="C166" s="1224"/>
      <c r="D166" s="1224"/>
      <c r="E166" s="1225"/>
      <c r="F166" s="639"/>
      <c r="G166" s="639"/>
    </row>
    <row r="167" spans="1:8" s="1" customFormat="1" ht="13" x14ac:dyDescent="0.25">
      <c r="A167" s="41" t="s">
        <v>1029</v>
      </c>
      <c r="B167" s="12"/>
      <c r="C167" s="24"/>
      <c r="D167" s="24"/>
      <c r="E167" s="320"/>
    </row>
    <row r="168" spans="1:8" s="1" customFormat="1" ht="13" x14ac:dyDescent="0.25">
      <c r="A168" s="41" t="s">
        <v>634</v>
      </c>
      <c r="B168" s="41"/>
      <c r="C168" s="24"/>
      <c r="D168" s="22"/>
      <c r="E168" s="320"/>
      <c r="F168" s="12"/>
      <c r="G168" s="12"/>
    </row>
    <row r="169" spans="1:8" s="3" customFormat="1" ht="13" x14ac:dyDescent="0.25">
      <c r="A169" s="41" t="s">
        <v>1040</v>
      </c>
      <c r="B169" s="41"/>
      <c r="C169" s="24"/>
      <c r="D169" s="22"/>
      <c r="E169" s="320"/>
      <c r="F169" s="12"/>
      <c r="G169" s="12"/>
    </row>
    <row r="170" spans="1:8" s="349" customFormat="1" ht="13.5" thickBot="1" x14ac:dyDescent="0.3">
      <c r="A170" s="76" t="s">
        <v>11</v>
      </c>
      <c r="B170" s="76"/>
      <c r="C170" s="377"/>
      <c r="D170" s="396"/>
      <c r="E170" s="378"/>
      <c r="F170" s="227"/>
      <c r="G170" s="361"/>
    </row>
    <row r="171" spans="1:8" s="3" customFormat="1" ht="13.5" thickBot="1" x14ac:dyDescent="0.3">
      <c r="A171" s="762" t="s">
        <v>14</v>
      </c>
      <c r="B171" s="763"/>
      <c r="C171" s="764"/>
      <c r="D171" s="766"/>
      <c r="E171" s="772">
        <f>C173+C191+C202+C209</f>
        <v>35153070</v>
      </c>
      <c r="F171" s="411"/>
      <c r="G171" s="14"/>
    </row>
    <row r="172" spans="1:8" s="3" customFormat="1" ht="13.5" thickBot="1" x14ac:dyDescent="0.3">
      <c r="A172" s="11"/>
      <c r="B172" s="11"/>
      <c r="C172" s="31"/>
      <c r="D172" s="31"/>
      <c r="E172" s="1"/>
      <c r="F172" s="344"/>
      <c r="G172" s="14"/>
    </row>
    <row r="173" spans="1:8" s="3" customFormat="1" ht="13.5" thickBot="1" x14ac:dyDescent="0.3">
      <c r="A173" s="1104" t="s">
        <v>2</v>
      </c>
      <c r="B173" s="1105"/>
      <c r="C173" s="667">
        <f>C174+C179+C181+C187+C183+C176</f>
        <v>571930</v>
      </c>
      <c r="D173" s="18"/>
      <c r="F173" s="344"/>
      <c r="H173" s="1"/>
    </row>
    <row r="174" spans="1:8" s="3" customFormat="1" ht="13" x14ac:dyDescent="0.25">
      <c r="A174" s="11" t="s">
        <v>103</v>
      </c>
      <c r="B174" s="298" t="s">
        <v>104</v>
      </c>
      <c r="C174" s="32">
        <f>SUM(C175)</f>
        <v>155340</v>
      </c>
      <c r="D174" s="348"/>
      <c r="E174" s="349"/>
      <c r="F174" s="346"/>
      <c r="G174" s="349"/>
      <c r="H174" s="1"/>
    </row>
    <row r="175" spans="1:8" s="3" customFormat="1" ht="13" x14ac:dyDescent="0.25">
      <c r="A175" s="12" t="s">
        <v>46</v>
      </c>
      <c r="B175" s="12" t="s">
        <v>45</v>
      </c>
      <c r="C175" s="24">
        <v>155340</v>
      </c>
      <c r="D175" s="14"/>
      <c r="E175" s="120"/>
      <c r="F175" s="353"/>
      <c r="G175" s="405"/>
    </row>
    <row r="176" spans="1:8" s="3" customFormat="1" ht="13" x14ac:dyDescent="0.25">
      <c r="A176" s="11" t="s">
        <v>199</v>
      </c>
      <c r="B176" s="11" t="s">
        <v>219</v>
      </c>
      <c r="C176" s="31">
        <f>SUM(C177:C178)</f>
        <v>143500</v>
      </c>
      <c r="D176" s="101"/>
      <c r="E176" s="12"/>
      <c r="F176" s="394"/>
      <c r="G176" s="12"/>
    </row>
    <row r="177" spans="1:8" s="3" customFormat="1" ht="13" x14ac:dyDescent="0.25">
      <c r="A177" s="12" t="s">
        <v>197</v>
      </c>
      <c r="B177" s="12" t="s">
        <v>459</v>
      </c>
      <c r="C177" s="24">
        <v>68500</v>
      </c>
      <c r="D177" s="425"/>
      <c r="E177" s="12"/>
      <c r="F177" s="394"/>
      <c r="G177" s="12"/>
    </row>
    <row r="178" spans="1:8" s="3" customFormat="1" ht="13" x14ac:dyDescent="0.25">
      <c r="A178" s="12" t="s">
        <v>227</v>
      </c>
      <c r="B178" s="70" t="s">
        <v>226</v>
      </c>
      <c r="C178" s="24">
        <v>75000</v>
      </c>
      <c r="D178" s="12"/>
      <c r="E178" s="12"/>
      <c r="F178" s="12"/>
      <c r="G178" s="12"/>
    </row>
    <row r="179" spans="1:8" s="3" customFormat="1" ht="13" x14ac:dyDescent="0.25">
      <c r="A179" s="11" t="s">
        <v>105</v>
      </c>
      <c r="B179" s="11" t="s">
        <v>106</v>
      </c>
      <c r="C179" s="31">
        <f>SUM(C180)</f>
        <v>136370</v>
      </c>
      <c r="D179" s="14"/>
      <c r="E179" s="120"/>
      <c r="F179" s="353"/>
      <c r="G179" s="405"/>
    </row>
    <row r="180" spans="1:8" s="3" customFormat="1" ht="13" x14ac:dyDescent="0.25">
      <c r="A180" s="12" t="s">
        <v>86</v>
      </c>
      <c r="B180" s="72" t="s">
        <v>66</v>
      </c>
      <c r="C180" s="24">
        <v>136370</v>
      </c>
      <c r="D180" s="298"/>
      <c r="F180" s="147"/>
      <c r="G180" s="1"/>
    </row>
    <row r="181" spans="1:8" s="3" customFormat="1" ht="13" x14ac:dyDescent="0.25">
      <c r="A181" s="11" t="s">
        <v>107</v>
      </c>
      <c r="B181" s="265" t="s">
        <v>108</v>
      </c>
      <c r="C181" s="31">
        <f>SUM(C182)</f>
        <v>23260</v>
      </c>
      <c r="D181" s="298"/>
      <c r="F181" s="147"/>
      <c r="G181" s="1"/>
    </row>
    <row r="182" spans="1:8" s="3" customFormat="1" ht="13" x14ac:dyDescent="0.25">
      <c r="A182" s="12" t="s">
        <v>47</v>
      </c>
      <c r="B182" s="23" t="s">
        <v>48</v>
      </c>
      <c r="C182" s="24">
        <v>23260</v>
      </c>
      <c r="D182" s="14"/>
      <c r="E182" s="5"/>
      <c r="F182" s="361"/>
      <c r="G182" s="405"/>
    </row>
    <row r="183" spans="1:8" s="3" customFormat="1" ht="13" x14ac:dyDescent="0.25">
      <c r="A183" s="11" t="s">
        <v>119</v>
      </c>
      <c r="B183" s="559" t="s">
        <v>191</v>
      </c>
      <c r="C183" s="31">
        <f>SUM(C184:C186)</f>
        <v>38220</v>
      </c>
      <c r="D183" s="14"/>
      <c r="E183" s="5"/>
      <c r="F183" s="361"/>
      <c r="G183" s="405"/>
    </row>
    <row r="184" spans="1:8" s="3" customFormat="1" ht="13" x14ac:dyDescent="0.25">
      <c r="A184" s="12" t="s">
        <v>150</v>
      </c>
      <c r="B184" s="43" t="s">
        <v>695</v>
      </c>
      <c r="C184" s="24">
        <v>7000</v>
      </c>
      <c r="D184" s="14"/>
      <c r="E184" s="5"/>
      <c r="F184" s="361"/>
      <c r="G184" s="405"/>
    </row>
    <row r="185" spans="1:8" s="3" customFormat="1" ht="13" x14ac:dyDescent="0.25">
      <c r="A185" s="12" t="s">
        <v>697</v>
      </c>
      <c r="B185" s="43" t="s">
        <v>696</v>
      </c>
      <c r="C185" s="24">
        <v>9720</v>
      </c>
      <c r="D185" s="14"/>
      <c r="E185" s="5"/>
      <c r="F185" s="361"/>
      <c r="G185" s="405"/>
    </row>
    <row r="186" spans="1:8" s="66" customFormat="1" ht="13" x14ac:dyDescent="0.3">
      <c r="A186" s="72" t="s">
        <v>816</v>
      </c>
      <c r="B186" s="24" t="s">
        <v>810</v>
      </c>
      <c r="C186" s="24">
        <v>21500</v>
      </c>
      <c r="D186" s="78"/>
      <c r="E186" s="25"/>
    </row>
    <row r="187" spans="1:8" s="3" customFormat="1" ht="13" x14ac:dyDescent="0.25">
      <c r="A187" s="265" t="s">
        <v>151</v>
      </c>
      <c r="B187" s="25" t="s">
        <v>125</v>
      </c>
      <c r="C187" s="31">
        <f>SUM(C188:C189)</f>
        <v>75240</v>
      </c>
      <c r="D187" s="14"/>
      <c r="E187" s="298"/>
      <c r="F187" s="361"/>
      <c r="G187" s="405"/>
    </row>
    <row r="188" spans="1:8" s="3" customFormat="1" ht="13" x14ac:dyDescent="0.25">
      <c r="A188" s="72" t="s">
        <v>152</v>
      </c>
      <c r="B188" s="24" t="s">
        <v>65</v>
      </c>
      <c r="C188" s="24">
        <v>52440</v>
      </c>
      <c r="D188" s="353"/>
      <c r="E188" s="353"/>
      <c r="F188" s="353"/>
      <c r="G188" s="394"/>
      <c r="H188" s="1"/>
    </row>
    <row r="189" spans="1:8" s="3" customFormat="1" ht="13" x14ac:dyDescent="0.25">
      <c r="A189" s="72" t="s">
        <v>155</v>
      </c>
      <c r="B189" s="23" t="s">
        <v>125</v>
      </c>
      <c r="C189" s="24">
        <v>22800</v>
      </c>
      <c r="D189" s="14"/>
      <c r="E189" s="227"/>
      <c r="F189" s="361"/>
      <c r="G189" s="405"/>
    </row>
    <row r="190" spans="1:8" s="72" customFormat="1" ht="13.5" customHeight="1" thickBot="1" x14ac:dyDescent="0.3">
      <c r="B190" s="23"/>
      <c r="C190" s="24"/>
      <c r="D190" s="14"/>
      <c r="E190" s="227"/>
      <c r="F190" s="361"/>
      <c r="G190" s="405"/>
      <c r="H190" s="24"/>
    </row>
    <row r="191" spans="1:8" s="72" customFormat="1" ht="13.5" customHeight="1" thickBot="1" x14ac:dyDescent="0.3">
      <c r="A191" s="1096" t="s">
        <v>3</v>
      </c>
      <c r="B191" s="1097"/>
      <c r="C191" s="668">
        <f>C192+C197+C194</f>
        <v>1732460</v>
      </c>
      <c r="D191" s="14"/>
      <c r="E191" s="38"/>
      <c r="F191" s="402"/>
      <c r="G191" s="1"/>
      <c r="H191" s="24"/>
    </row>
    <row r="192" spans="1:8" s="72" customFormat="1" ht="13.5" customHeight="1" x14ac:dyDescent="0.25">
      <c r="A192" s="265" t="s">
        <v>110</v>
      </c>
      <c r="B192" s="298" t="s">
        <v>111</v>
      </c>
      <c r="C192" s="32">
        <f>SUM(C193)</f>
        <v>79800</v>
      </c>
      <c r="D192" s="348"/>
      <c r="E192" s="237"/>
      <c r="F192" s="357"/>
      <c r="G192" s="349"/>
      <c r="H192" s="358"/>
    </row>
    <row r="193" spans="1:16" s="3" customFormat="1" ht="13" x14ac:dyDescent="0.25">
      <c r="A193" s="72" t="s">
        <v>52</v>
      </c>
      <c r="B193" s="24" t="s">
        <v>15</v>
      </c>
      <c r="C193" s="24">
        <v>79800</v>
      </c>
      <c r="D193" s="14"/>
      <c r="E193" s="120"/>
      <c r="F193" s="353"/>
      <c r="G193" s="405"/>
    </row>
    <row r="194" spans="1:16" s="3" customFormat="1" ht="13" x14ac:dyDescent="0.25">
      <c r="A194" s="265" t="s">
        <v>112</v>
      </c>
      <c r="B194" s="31" t="s">
        <v>157</v>
      </c>
      <c r="C194" s="31">
        <f>SUM(C195:C196)</f>
        <v>802000</v>
      </c>
      <c r="D194" s="353"/>
      <c r="E194" s="353"/>
      <c r="F194" s="353"/>
      <c r="G194" s="361"/>
    </row>
    <row r="195" spans="1:16" s="72" customFormat="1" ht="13.5" customHeight="1" x14ac:dyDescent="0.25">
      <c r="A195" s="72" t="s">
        <v>138</v>
      </c>
      <c r="B195" s="59" t="s">
        <v>878</v>
      </c>
      <c r="C195" s="24">
        <v>8200</v>
      </c>
      <c r="D195" s="353"/>
      <c r="E195" s="352"/>
      <c r="F195" s="352"/>
      <c r="G195" s="361"/>
    </row>
    <row r="196" spans="1:16" s="3" customFormat="1" ht="13" x14ac:dyDescent="0.25">
      <c r="A196" s="72" t="s">
        <v>49</v>
      </c>
      <c r="B196" s="24" t="s">
        <v>87</v>
      </c>
      <c r="C196" s="24">
        <v>793800</v>
      </c>
      <c r="D196" s="72"/>
      <c r="E196" s="352"/>
      <c r="F196" s="120"/>
      <c r="G196" s="407"/>
    </row>
    <row r="197" spans="1:16" s="3" customFormat="1" ht="13" x14ac:dyDescent="0.25">
      <c r="A197" s="265" t="s">
        <v>115</v>
      </c>
      <c r="B197" s="31" t="s">
        <v>8</v>
      </c>
      <c r="C197" s="31">
        <f>SUM(C198:C200)</f>
        <v>850660</v>
      </c>
      <c r="D197" s="14"/>
      <c r="E197" s="14"/>
      <c r="F197" s="404"/>
      <c r="G197" s="405"/>
    </row>
    <row r="198" spans="1:16" s="3" customFormat="1" ht="13" x14ac:dyDescent="0.25">
      <c r="A198" s="72" t="s">
        <v>456</v>
      </c>
      <c r="B198" s="24" t="s">
        <v>8</v>
      </c>
      <c r="C198" s="24">
        <v>222400</v>
      </c>
      <c r="D198" s="363"/>
      <c r="E198" s="353"/>
      <c r="F198" s="412"/>
      <c r="G198" s="363"/>
      <c r="H198" s="18"/>
    </row>
    <row r="199" spans="1:16" s="349" customFormat="1" ht="13" x14ac:dyDescent="0.25">
      <c r="A199" s="72" t="s">
        <v>181</v>
      </c>
      <c r="B199" s="24" t="s">
        <v>50</v>
      </c>
      <c r="C199" s="24">
        <v>13680</v>
      </c>
      <c r="D199" s="353"/>
      <c r="E199" s="353"/>
      <c r="F199" s="353"/>
      <c r="G199" s="147"/>
      <c r="H199" s="348"/>
    </row>
    <row r="200" spans="1:16" s="3" customFormat="1" ht="13" x14ac:dyDescent="0.25">
      <c r="A200" s="72" t="s">
        <v>90</v>
      </c>
      <c r="B200" s="24" t="s">
        <v>7</v>
      </c>
      <c r="C200" s="24">
        <v>614580</v>
      </c>
      <c r="D200" s="364"/>
      <c r="E200" s="14"/>
      <c r="F200" s="404"/>
      <c r="G200" s="405"/>
      <c r="H200" s="413"/>
    </row>
    <row r="201" spans="1:16" s="1" customFormat="1" ht="13.5" thickBot="1" x14ac:dyDescent="0.3">
      <c r="A201" s="72"/>
      <c r="B201" s="24"/>
      <c r="C201" s="23"/>
      <c r="D201" s="363"/>
      <c r="E201" s="18"/>
      <c r="F201" s="412"/>
      <c r="G201" s="363"/>
      <c r="H201" s="413"/>
    </row>
    <row r="202" spans="1:16" s="3" customFormat="1" ht="13.5" thickBot="1" x14ac:dyDescent="0.3">
      <c r="A202" s="1115" t="s">
        <v>5</v>
      </c>
      <c r="B202" s="1116"/>
      <c r="C202" s="669">
        <f>C203</f>
        <v>32778100</v>
      </c>
      <c r="E202" s="388"/>
      <c r="F202" s="354"/>
    </row>
    <row r="203" spans="1:16" s="3" customFormat="1" ht="13" x14ac:dyDescent="0.25">
      <c r="A203" s="11" t="s">
        <v>128</v>
      </c>
      <c r="B203" s="298" t="s">
        <v>129</v>
      </c>
      <c r="C203" s="32">
        <f>SUM(C204:C207)</f>
        <v>32778100</v>
      </c>
      <c r="D203" s="349"/>
      <c r="E203" s="237"/>
      <c r="F203" s="357"/>
      <c r="G203" s="349"/>
    </row>
    <row r="204" spans="1:16" s="3" customFormat="1" ht="13" x14ac:dyDescent="0.25">
      <c r="A204" s="72" t="s">
        <v>457</v>
      </c>
      <c r="B204" s="72" t="s">
        <v>458</v>
      </c>
      <c r="C204" s="26">
        <v>1500000</v>
      </c>
      <c r="E204" s="120"/>
      <c r="F204" s="641"/>
    </row>
    <row r="205" spans="1:16" s="3" customFormat="1" ht="13" x14ac:dyDescent="0.25">
      <c r="A205" s="72" t="s">
        <v>238</v>
      </c>
      <c r="B205" s="43" t="s">
        <v>573</v>
      </c>
      <c r="C205" s="24">
        <v>750000</v>
      </c>
      <c r="E205" s="120"/>
      <c r="F205" s="412"/>
      <c r="H205" s="1"/>
      <c r="I205" s="1"/>
      <c r="J205" s="1"/>
      <c r="K205" s="1"/>
      <c r="L205" s="1"/>
      <c r="M205" s="1"/>
      <c r="N205" s="1"/>
      <c r="O205" s="1"/>
      <c r="P205" s="1"/>
    </row>
    <row r="206" spans="1:16" s="349" customFormat="1" ht="13" x14ac:dyDescent="0.25">
      <c r="A206" s="12" t="s">
        <v>256</v>
      </c>
      <c r="B206" s="12" t="s">
        <v>257</v>
      </c>
      <c r="C206" s="24">
        <v>28638100</v>
      </c>
      <c r="D206" s="1"/>
      <c r="E206" s="120"/>
      <c r="F206" s="406"/>
      <c r="G206" s="1"/>
    </row>
    <row r="207" spans="1:16" s="3" customFormat="1" ht="13" x14ac:dyDescent="0.25">
      <c r="A207" s="72" t="s">
        <v>144</v>
      </c>
      <c r="B207" s="72" t="s">
        <v>12</v>
      </c>
      <c r="C207" s="24">
        <v>1890000</v>
      </c>
      <c r="D207" s="309"/>
      <c r="E207" s="5"/>
      <c r="F207" s="412"/>
    </row>
    <row r="208" spans="1:16" s="3" customFormat="1" ht="13.5" thickBot="1" x14ac:dyDescent="0.3">
      <c r="A208" s="72"/>
      <c r="B208" s="72"/>
      <c r="C208" s="24"/>
      <c r="D208" s="309"/>
      <c r="E208" s="21"/>
      <c r="F208" s="412"/>
    </row>
    <row r="209" spans="1:256" s="3" customFormat="1" ht="13.5" thickBot="1" x14ac:dyDescent="0.3">
      <c r="A209" s="1100" t="s">
        <v>4</v>
      </c>
      <c r="B209" s="1101"/>
      <c r="C209" s="670">
        <f>C210+C213</f>
        <v>70580</v>
      </c>
      <c r="D209" s="414"/>
      <c r="E209" s="38"/>
      <c r="F209" s="402"/>
      <c r="G209" s="1"/>
    </row>
    <row r="210" spans="1:256" s="3" customFormat="1" ht="13" x14ac:dyDescent="0.25">
      <c r="A210" s="265" t="s">
        <v>116</v>
      </c>
      <c r="B210" s="298" t="s">
        <v>117</v>
      </c>
      <c r="C210" s="32">
        <f>SUM(C211:C212)</f>
        <v>58220</v>
      </c>
      <c r="D210" s="348"/>
      <c r="E210" s="237"/>
      <c r="F210" s="357"/>
      <c r="G210" s="349"/>
    </row>
    <row r="211" spans="1:256" s="3" customFormat="1" ht="14.25" customHeight="1" x14ac:dyDescent="0.25">
      <c r="A211" s="72" t="s">
        <v>91</v>
      </c>
      <c r="B211" s="72" t="s">
        <v>139</v>
      </c>
      <c r="C211" s="24">
        <v>21420</v>
      </c>
      <c r="D211" s="18"/>
      <c r="E211" s="18"/>
      <c r="F211" s="412"/>
      <c r="G211" s="365"/>
    </row>
    <row r="212" spans="1:256" s="5" customFormat="1" ht="13" x14ac:dyDescent="0.3">
      <c r="A212" s="72" t="s">
        <v>814</v>
      </c>
      <c r="B212" s="23" t="s">
        <v>815</v>
      </c>
      <c r="C212" s="55">
        <v>36800</v>
      </c>
      <c r="D212" s="212"/>
      <c r="E212" s="212"/>
      <c r="F212" s="212"/>
      <c r="G212" s="212"/>
      <c r="H212" s="212"/>
      <c r="I212" s="212"/>
      <c r="J212" s="212"/>
      <c r="K212" s="212"/>
      <c r="L212" s="212"/>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c r="BT212" s="212"/>
      <c r="BU212" s="212"/>
      <c r="BV212" s="212"/>
      <c r="BW212" s="212"/>
      <c r="BX212" s="212"/>
      <c r="BY212" s="212"/>
      <c r="BZ212" s="212"/>
      <c r="CA212" s="212"/>
      <c r="CB212" s="212"/>
      <c r="CC212" s="212"/>
      <c r="CD212" s="212"/>
      <c r="CE212" s="212"/>
      <c r="CF212" s="212"/>
      <c r="CG212" s="212"/>
      <c r="CH212" s="212"/>
      <c r="CI212" s="212"/>
      <c r="CJ212" s="212"/>
      <c r="CK212" s="212"/>
      <c r="CL212" s="212"/>
      <c r="CM212" s="212"/>
      <c r="CN212" s="212"/>
      <c r="CO212" s="212"/>
      <c r="CP212" s="212"/>
      <c r="CQ212" s="212"/>
      <c r="CR212" s="212"/>
      <c r="CS212" s="212"/>
      <c r="CT212" s="212"/>
      <c r="CU212" s="212"/>
      <c r="CV212" s="212"/>
      <c r="CW212" s="212"/>
      <c r="CX212" s="212"/>
      <c r="CY212" s="212"/>
      <c r="CZ212" s="212"/>
      <c r="DA212" s="212"/>
      <c r="DB212" s="212"/>
      <c r="DC212" s="212"/>
      <c r="DD212" s="212"/>
      <c r="DE212" s="212"/>
      <c r="DF212" s="212"/>
      <c r="DG212" s="212"/>
      <c r="DH212" s="212"/>
      <c r="DI212" s="212"/>
      <c r="DJ212" s="212"/>
      <c r="DK212" s="212"/>
      <c r="DL212" s="212"/>
      <c r="DM212" s="212"/>
      <c r="DN212" s="212"/>
      <c r="DO212" s="212"/>
      <c r="DP212" s="212"/>
      <c r="DQ212" s="212"/>
      <c r="DR212" s="212"/>
      <c r="DS212" s="212"/>
      <c r="DT212" s="212"/>
      <c r="DU212" s="212"/>
      <c r="DV212" s="212"/>
      <c r="DW212" s="212"/>
      <c r="DX212" s="212"/>
      <c r="DY212" s="212"/>
      <c r="DZ212" s="212"/>
      <c r="EA212" s="212"/>
      <c r="EB212" s="212"/>
      <c r="EC212" s="212"/>
      <c r="ED212" s="212"/>
      <c r="EE212" s="212"/>
      <c r="EF212" s="212"/>
      <c r="EG212" s="212"/>
      <c r="EH212" s="212"/>
      <c r="EI212" s="212"/>
      <c r="EJ212" s="212"/>
      <c r="EK212" s="212"/>
      <c r="EL212" s="212"/>
      <c r="EM212" s="212"/>
      <c r="EN212" s="212"/>
      <c r="EO212" s="212"/>
      <c r="EP212" s="212"/>
      <c r="EQ212" s="212"/>
      <c r="ER212" s="212"/>
      <c r="ES212" s="212"/>
      <c r="ET212" s="212"/>
      <c r="EU212" s="212"/>
      <c r="EV212" s="212"/>
      <c r="EW212" s="212"/>
      <c r="EX212" s="212"/>
      <c r="EY212" s="212"/>
      <c r="EZ212" s="212"/>
      <c r="FA212" s="212"/>
      <c r="FB212" s="212"/>
      <c r="FC212" s="212"/>
      <c r="FD212" s="212"/>
      <c r="FE212" s="212"/>
      <c r="FF212" s="212"/>
      <c r="FG212" s="212"/>
      <c r="FH212" s="212"/>
      <c r="FI212" s="212"/>
      <c r="FJ212" s="212"/>
      <c r="FK212" s="212"/>
      <c r="FL212" s="212"/>
      <c r="FM212" s="212"/>
      <c r="FN212" s="212"/>
      <c r="FO212" s="212"/>
      <c r="FP212" s="212"/>
      <c r="FQ212" s="212"/>
      <c r="FR212" s="212"/>
      <c r="FS212" s="212"/>
      <c r="FT212" s="212"/>
      <c r="FU212" s="212"/>
      <c r="FV212" s="212"/>
      <c r="FW212" s="212"/>
      <c r="FX212" s="212"/>
      <c r="FY212" s="212"/>
      <c r="FZ212" s="212"/>
      <c r="GA212" s="212"/>
      <c r="GB212" s="212"/>
      <c r="GC212" s="212"/>
      <c r="GD212" s="212"/>
      <c r="GE212" s="212"/>
      <c r="GF212" s="212"/>
      <c r="GG212" s="212"/>
      <c r="GH212" s="212"/>
      <c r="GI212" s="212"/>
      <c r="GJ212" s="212"/>
      <c r="GK212" s="212"/>
      <c r="GL212" s="212"/>
      <c r="GM212" s="212"/>
      <c r="GN212" s="212"/>
      <c r="GO212" s="212"/>
      <c r="GP212" s="212"/>
      <c r="GQ212" s="212"/>
      <c r="GR212" s="212"/>
      <c r="GS212" s="212"/>
      <c r="GT212" s="212"/>
      <c r="GU212" s="212"/>
      <c r="GV212" s="212"/>
      <c r="GW212" s="212"/>
      <c r="GX212" s="212"/>
      <c r="GY212" s="212"/>
      <c r="GZ212" s="212"/>
      <c r="HA212" s="212"/>
      <c r="HB212" s="212"/>
      <c r="HC212" s="212"/>
      <c r="HD212" s="212"/>
      <c r="HE212" s="212"/>
      <c r="HF212" s="212"/>
      <c r="HG212" s="212"/>
      <c r="HH212" s="212"/>
      <c r="HI212" s="212"/>
      <c r="HJ212" s="212"/>
      <c r="HK212" s="212"/>
      <c r="HL212" s="212"/>
      <c r="HM212" s="212"/>
      <c r="HN212" s="212"/>
      <c r="HO212" s="212"/>
      <c r="HP212" s="212"/>
      <c r="HQ212" s="212"/>
      <c r="HR212" s="212"/>
      <c r="HS212" s="212"/>
      <c r="HT212" s="212"/>
      <c r="HU212" s="212"/>
      <c r="HV212" s="212"/>
      <c r="HW212" s="212"/>
      <c r="HX212" s="212"/>
      <c r="HY212" s="212"/>
      <c r="HZ212" s="212"/>
      <c r="IA212" s="212"/>
      <c r="IB212" s="212"/>
      <c r="IC212" s="212"/>
      <c r="ID212" s="212"/>
      <c r="IE212" s="212"/>
      <c r="IF212" s="212"/>
      <c r="IG212" s="212"/>
      <c r="IH212" s="212"/>
      <c r="II212" s="212"/>
      <c r="IJ212" s="212"/>
      <c r="IK212" s="212"/>
      <c r="IL212" s="212"/>
      <c r="IM212" s="212"/>
      <c r="IN212" s="212"/>
      <c r="IO212" s="212"/>
      <c r="IP212" s="212"/>
      <c r="IQ212" s="212"/>
      <c r="IR212" s="212"/>
      <c r="IS212" s="212"/>
      <c r="IT212" s="212"/>
      <c r="IU212" s="212"/>
      <c r="IV212" s="212"/>
    </row>
    <row r="213" spans="1:256" s="5" customFormat="1" ht="13" x14ac:dyDescent="0.25">
      <c r="A213" s="265" t="s">
        <v>166</v>
      </c>
      <c r="B213" s="25" t="s">
        <v>134</v>
      </c>
      <c r="C213" s="31">
        <f>SUM(C214)</f>
        <v>12360</v>
      </c>
      <c r="D213" s="18"/>
      <c r="E213" s="18"/>
      <c r="F213" s="412"/>
      <c r="G213" s="365"/>
    </row>
    <row r="214" spans="1:256" s="3" customFormat="1" ht="13" x14ac:dyDescent="0.25">
      <c r="A214" s="72" t="s">
        <v>167</v>
      </c>
      <c r="B214" s="23" t="s">
        <v>51</v>
      </c>
      <c r="C214" s="24">
        <v>12360</v>
      </c>
      <c r="D214" s="18"/>
      <c r="E214" s="18"/>
      <c r="F214" s="412"/>
    </row>
    <row r="215" spans="1:256" s="1" customFormat="1" ht="13.5" customHeight="1" x14ac:dyDescent="0.25">
      <c r="A215" s="3"/>
      <c r="B215" s="3"/>
      <c r="C215" s="14"/>
      <c r="D215" s="28"/>
      <c r="E215" s="28"/>
      <c r="F215" s="342"/>
      <c r="G215" s="3"/>
    </row>
    <row r="216" spans="1:256" s="1" customFormat="1" ht="13.5" customHeight="1" thickBot="1" x14ac:dyDescent="0.3">
      <c r="A216" s="75"/>
      <c r="B216" s="3"/>
      <c r="C216" s="18"/>
      <c r="D216" s="18"/>
      <c r="E216" s="18"/>
      <c r="F216" s="3"/>
      <c r="G216" s="341"/>
    </row>
    <row r="217" spans="1:256" s="1" customFormat="1" ht="13.5" customHeight="1" x14ac:dyDescent="0.25">
      <c r="A217" s="1117" t="s">
        <v>929</v>
      </c>
      <c r="B217" s="1118"/>
      <c r="C217" s="1119"/>
      <c r="D217" s="692" t="s">
        <v>6</v>
      </c>
      <c r="E217" s="911">
        <v>1504</v>
      </c>
      <c r="F217" s="419"/>
      <c r="G217" s="405"/>
    </row>
    <row r="218" spans="1:256" s="1" customFormat="1" ht="13.5" customHeight="1" thickBot="1" x14ac:dyDescent="0.3">
      <c r="A218" s="1120"/>
      <c r="B218" s="1121"/>
      <c r="C218" s="1122"/>
      <c r="D218" s="695"/>
      <c r="E218" s="696"/>
      <c r="F218" s="419"/>
      <c r="G218" s="405"/>
    </row>
    <row r="219" spans="1:256" s="1" customFormat="1" ht="13.5" customHeight="1" x14ac:dyDescent="0.25">
      <c r="A219" s="1123" t="s">
        <v>930</v>
      </c>
      <c r="B219" s="1124"/>
      <c r="C219" s="1124"/>
      <c r="D219" s="1124"/>
      <c r="E219" s="1125"/>
      <c r="F219" s="419"/>
      <c r="G219" s="405"/>
    </row>
    <row r="220" spans="1:256" s="1" customFormat="1" ht="13.5" customHeight="1" x14ac:dyDescent="0.25">
      <c r="A220" s="1126"/>
      <c r="B220" s="1127"/>
      <c r="C220" s="1127"/>
      <c r="D220" s="1127"/>
      <c r="E220" s="1128"/>
      <c r="F220" s="419"/>
      <c r="G220" s="405"/>
    </row>
    <row r="221" spans="1:256" s="1" customFormat="1" ht="13.5" customHeight="1" x14ac:dyDescent="0.25">
      <c r="A221" s="1126"/>
      <c r="B221" s="1127"/>
      <c r="C221" s="1127"/>
      <c r="D221" s="1127"/>
      <c r="E221" s="1128"/>
      <c r="F221" s="419"/>
      <c r="G221" s="405"/>
    </row>
    <row r="222" spans="1:256" s="12" customFormat="1" ht="13.5" customHeight="1" x14ac:dyDescent="0.25">
      <c r="A222" s="1126"/>
      <c r="B222" s="1127"/>
      <c r="C222" s="1127"/>
      <c r="D222" s="1127"/>
      <c r="E222" s="1128"/>
      <c r="F222" s="1"/>
      <c r="G222" s="1"/>
    </row>
    <row r="223" spans="1:256" s="12" customFormat="1" ht="13.5" customHeight="1" x14ac:dyDescent="0.25">
      <c r="A223" s="1126"/>
      <c r="B223" s="1127"/>
      <c r="C223" s="1127"/>
      <c r="D223" s="1127"/>
      <c r="E223" s="1128"/>
      <c r="F223" s="1"/>
      <c r="G223" s="1"/>
    </row>
    <row r="224" spans="1:256" s="12" customFormat="1" ht="13.5" customHeight="1" x14ac:dyDescent="0.25">
      <c r="A224" s="1126"/>
      <c r="B224" s="1127"/>
      <c r="C224" s="1127"/>
      <c r="D224" s="1127"/>
      <c r="E224" s="1128"/>
      <c r="F224" s="1"/>
      <c r="G224" s="1"/>
    </row>
    <row r="225" spans="1:8" s="12" customFormat="1" ht="13.5" customHeight="1" x14ac:dyDescent="0.25">
      <c r="A225" s="1126"/>
      <c r="B225" s="1127"/>
      <c r="C225" s="1127"/>
      <c r="D225" s="1127"/>
      <c r="E225" s="1128"/>
      <c r="F225" s="1"/>
      <c r="G225" s="1"/>
    </row>
    <row r="226" spans="1:8" s="12" customFormat="1" ht="14.25" customHeight="1" thickBot="1" x14ac:dyDescent="0.3">
      <c r="A226" s="1126"/>
      <c r="B226" s="1127"/>
      <c r="C226" s="1127"/>
      <c r="D226" s="1127"/>
      <c r="E226" s="1128"/>
      <c r="F226" s="1"/>
      <c r="G226" s="1"/>
    </row>
    <row r="227" spans="1:8" s="12" customFormat="1" ht="13.5" customHeight="1" x14ac:dyDescent="0.25">
      <c r="A227" s="119" t="s">
        <v>1029</v>
      </c>
      <c r="B227" s="119"/>
      <c r="C227" s="420"/>
      <c r="D227" s="421"/>
      <c r="E227" s="422"/>
    </row>
    <row r="228" spans="1:8" ht="13.5" customHeight="1" x14ac:dyDescent="0.25">
      <c r="A228" s="41" t="s">
        <v>700</v>
      </c>
      <c r="B228" s="41"/>
      <c r="C228" s="24"/>
      <c r="D228" s="22"/>
      <c r="E228" s="320"/>
      <c r="F228" s="12"/>
      <c r="G228" s="12"/>
    </row>
    <row r="229" spans="1:8" s="265" customFormat="1" ht="13.5" customHeight="1" x14ac:dyDescent="0.25">
      <c r="A229" s="41" t="s">
        <v>1040</v>
      </c>
      <c r="B229" s="41"/>
      <c r="C229" s="24"/>
      <c r="D229" s="22"/>
      <c r="E229" s="320"/>
      <c r="F229" s="12"/>
      <c r="G229" s="12"/>
    </row>
    <row r="230" spans="1:8" s="101" customFormat="1" ht="13.5" customHeight="1" thickBot="1" x14ac:dyDescent="0.3">
      <c r="A230" s="76" t="s">
        <v>11</v>
      </c>
      <c r="B230" s="76"/>
      <c r="C230" s="377"/>
      <c r="D230" s="396"/>
      <c r="E230" s="378"/>
      <c r="F230" s="356"/>
      <c r="G230" s="394"/>
    </row>
    <row r="231" spans="1:8" s="12" customFormat="1" ht="13.5" customHeight="1" thickBot="1" x14ac:dyDescent="0.3">
      <c r="A231" s="661" t="s">
        <v>0</v>
      </c>
      <c r="B231" s="661"/>
      <c r="C231" s="798"/>
      <c r="D231" s="755"/>
      <c r="E231" s="772">
        <f>+C233+C257+C274</f>
        <v>5742120</v>
      </c>
      <c r="F231" s="283"/>
      <c r="G231" s="394"/>
    </row>
    <row r="232" spans="1:8" s="12" customFormat="1" ht="13.5" customHeight="1" thickBot="1" x14ac:dyDescent="0.3">
      <c r="A232" s="72"/>
      <c r="B232" s="72"/>
      <c r="C232" s="23"/>
      <c r="D232" s="22"/>
      <c r="E232" s="28"/>
      <c r="F232" s="344"/>
      <c r="G232" s="418"/>
    </row>
    <row r="233" spans="1:8" s="12" customFormat="1" ht="13.5" customHeight="1" thickBot="1" x14ac:dyDescent="0.3">
      <c r="A233" s="1104" t="s">
        <v>2</v>
      </c>
      <c r="B233" s="1105"/>
      <c r="C233" s="667">
        <f>C234+C236+C239+C241+C244+C252+C249</f>
        <v>2020920</v>
      </c>
      <c r="D233" s="402"/>
      <c r="E233" s="265"/>
      <c r="F233" s="344"/>
      <c r="G233" s="368"/>
    </row>
    <row r="234" spans="1:8" s="12" customFormat="1" ht="13.5" customHeight="1" x14ac:dyDescent="0.25">
      <c r="A234" s="11" t="s">
        <v>103</v>
      </c>
      <c r="B234" s="298" t="s">
        <v>104</v>
      </c>
      <c r="C234" s="32">
        <f>SUM(C235)</f>
        <v>636830</v>
      </c>
      <c r="D234" s="101"/>
      <c r="E234" s="101"/>
      <c r="F234" s="346"/>
      <c r="G234" s="358"/>
      <c r="H234" s="5"/>
    </row>
    <row r="235" spans="1:8" s="12" customFormat="1" ht="13.5" customHeight="1" x14ac:dyDescent="0.25">
      <c r="A235" s="12" t="s">
        <v>46</v>
      </c>
      <c r="B235" s="12" t="s">
        <v>45</v>
      </c>
      <c r="C235" s="24">
        <v>636830</v>
      </c>
      <c r="D235" s="101"/>
      <c r="F235" s="394"/>
    </row>
    <row r="236" spans="1:8" s="3" customFormat="1" ht="13" x14ac:dyDescent="0.25">
      <c r="A236" s="11" t="s">
        <v>199</v>
      </c>
      <c r="B236" s="11" t="s">
        <v>219</v>
      </c>
      <c r="C236" s="31">
        <f>SUM(C237:C238)</f>
        <v>82700</v>
      </c>
      <c r="D236" s="101"/>
      <c r="E236" s="12"/>
      <c r="F236" s="394"/>
      <c r="G236" s="12"/>
    </row>
    <row r="237" spans="1:8" s="3" customFormat="1" ht="13" x14ac:dyDescent="0.25">
      <c r="A237" s="12" t="s">
        <v>197</v>
      </c>
      <c r="B237" s="12" t="s">
        <v>459</v>
      </c>
      <c r="C237" s="24">
        <v>66380</v>
      </c>
      <c r="D237" s="425"/>
      <c r="E237" s="12"/>
      <c r="F237" s="394"/>
      <c r="G237" s="12"/>
    </row>
    <row r="238" spans="1:8" s="3" customFormat="1" ht="13" x14ac:dyDescent="0.25">
      <c r="A238" s="12" t="s">
        <v>227</v>
      </c>
      <c r="B238" s="70" t="s">
        <v>226</v>
      </c>
      <c r="C238" s="24">
        <v>16320</v>
      </c>
      <c r="D238" s="12"/>
      <c r="E238" s="12"/>
      <c r="F238" s="12"/>
      <c r="G238" s="12"/>
    </row>
    <row r="239" spans="1:8" s="3" customFormat="1" ht="13" x14ac:dyDescent="0.25">
      <c r="A239" s="11" t="s">
        <v>105</v>
      </c>
      <c r="B239" s="11" t="s">
        <v>106</v>
      </c>
      <c r="C239" s="31">
        <f>SUM(C240)</f>
        <v>242800</v>
      </c>
      <c r="D239" s="353"/>
      <c r="E239" s="12"/>
      <c r="F239" s="394"/>
      <c r="G239" s="12"/>
    </row>
    <row r="240" spans="1:8" s="5" customFormat="1" ht="13" x14ac:dyDescent="0.25">
      <c r="A240" s="12" t="s">
        <v>86</v>
      </c>
      <c r="B240" s="72" t="s">
        <v>66</v>
      </c>
      <c r="C240" s="24">
        <v>242800</v>
      </c>
      <c r="D240" s="412"/>
      <c r="F240" s="361"/>
      <c r="G240" s="3"/>
    </row>
    <row r="241" spans="1:8" s="5" customFormat="1" ht="13" x14ac:dyDescent="0.25">
      <c r="A241" s="11" t="s">
        <v>107</v>
      </c>
      <c r="B241" s="265" t="s">
        <v>108</v>
      </c>
      <c r="C241" s="31">
        <f>SUM(C242:C243)</f>
        <v>365330</v>
      </c>
      <c r="D241" s="412"/>
      <c r="E241" s="101"/>
      <c r="F241" s="361"/>
      <c r="G241" s="3"/>
      <c r="H241" s="147"/>
    </row>
    <row r="242" spans="1:8" s="3" customFormat="1" ht="13" x14ac:dyDescent="0.25">
      <c r="A242" s="12" t="s">
        <v>47</v>
      </c>
      <c r="B242" s="23" t="s">
        <v>48</v>
      </c>
      <c r="C242" s="24">
        <v>235730</v>
      </c>
      <c r="D242" s="404"/>
      <c r="E242" s="5"/>
      <c r="F242" s="361"/>
      <c r="H242" s="5"/>
    </row>
    <row r="243" spans="1:8" s="5" customFormat="1" ht="13" x14ac:dyDescent="0.25">
      <c r="A243" s="12" t="s">
        <v>460</v>
      </c>
      <c r="B243" s="43" t="s">
        <v>461</v>
      </c>
      <c r="C243" s="24">
        <v>129600</v>
      </c>
      <c r="D243" s="404"/>
      <c r="E243" s="353"/>
      <c r="F243" s="353"/>
      <c r="G243" s="405"/>
      <c r="H243" s="72"/>
    </row>
    <row r="244" spans="1:8" s="3" customFormat="1" ht="13" x14ac:dyDescent="0.25">
      <c r="A244" s="265" t="s">
        <v>119</v>
      </c>
      <c r="B244" s="25" t="s">
        <v>109</v>
      </c>
      <c r="C244" s="31">
        <f>SUM(C245:C248)</f>
        <v>93820</v>
      </c>
      <c r="D244" s="404"/>
      <c r="E244" s="425"/>
      <c r="F244" s="361"/>
    </row>
    <row r="245" spans="1:8" s="5" customFormat="1" ht="13" x14ac:dyDescent="0.25">
      <c r="A245" s="72" t="s">
        <v>150</v>
      </c>
      <c r="B245" s="24" t="s">
        <v>340</v>
      </c>
      <c r="C245" s="24">
        <v>9000</v>
      </c>
      <c r="D245" s="353"/>
    </row>
    <row r="246" spans="1:8" s="5" customFormat="1" ht="13" x14ac:dyDescent="0.25">
      <c r="A246" s="12" t="s">
        <v>186</v>
      </c>
      <c r="B246" s="43" t="s">
        <v>185</v>
      </c>
      <c r="C246" s="24">
        <v>33000</v>
      </c>
      <c r="D246" s="404"/>
      <c r="E246" s="353"/>
      <c r="F246" s="353"/>
      <c r="G246" s="405"/>
      <c r="H246" s="147"/>
    </row>
    <row r="247" spans="1:8" s="5" customFormat="1" ht="13" x14ac:dyDescent="0.25">
      <c r="A247" s="12" t="s">
        <v>697</v>
      </c>
      <c r="B247" s="43" t="s">
        <v>696</v>
      </c>
      <c r="C247" s="24">
        <v>17420</v>
      </c>
      <c r="D247" s="14"/>
      <c r="F247" s="361"/>
      <c r="G247" s="405"/>
    </row>
    <row r="248" spans="1:8" s="66" customFormat="1" ht="13" x14ac:dyDescent="0.3">
      <c r="A248" s="72" t="s">
        <v>816</v>
      </c>
      <c r="B248" s="24" t="s">
        <v>810</v>
      </c>
      <c r="C248" s="24">
        <v>34400</v>
      </c>
      <c r="D248" s="78"/>
      <c r="E248" s="25"/>
    </row>
    <row r="249" spans="1:8" s="3" customFormat="1" ht="13" x14ac:dyDescent="0.25">
      <c r="A249" s="265" t="s">
        <v>124</v>
      </c>
      <c r="B249" s="25" t="s">
        <v>123</v>
      </c>
      <c r="C249" s="31">
        <f>SUM(C250:C251)</f>
        <v>101850</v>
      </c>
    </row>
    <row r="250" spans="1:8" s="66" customFormat="1" ht="13" x14ac:dyDescent="0.3">
      <c r="A250" s="12" t="s">
        <v>230</v>
      </c>
      <c r="B250" s="43" t="s">
        <v>229</v>
      </c>
      <c r="C250" s="24">
        <v>57000</v>
      </c>
      <c r="D250" s="57"/>
      <c r="E250" s="57"/>
    </row>
    <row r="251" spans="1:8" s="3" customFormat="1" ht="13" x14ac:dyDescent="0.25">
      <c r="A251" s="72" t="s">
        <v>93</v>
      </c>
      <c r="B251" s="24" t="s">
        <v>72</v>
      </c>
      <c r="C251" s="24">
        <v>44850</v>
      </c>
      <c r="D251" s="5"/>
      <c r="E251" s="5"/>
      <c r="F251" s="5"/>
      <c r="G251" s="5"/>
    </row>
    <row r="252" spans="1:8" s="265" customFormat="1" ht="13.5" customHeight="1" x14ac:dyDescent="0.25">
      <c r="A252" s="265" t="s">
        <v>151</v>
      </c>
      <c r="B252" s="25" t="s">
        <v>125</v>
      </c>
      <c r="C252" s="31">
        <f>SUM(C253:C255)</f>
        <v>497590</v>
      </c>
      <c r="D252" s="353"/>
      <c r="E252" s="5"/>
      <c r="F252" s="5"/>
      <c r="G252" s="5"/>
    </row>
    <row r="253" spans="1:8" s="265" customFormat="1" ht="13.5" customHeight="1" x14ac:dyDescent="0.25">
      <c r="A253" s="72" t="s">
        <v>152</v>
      </c>
      <c r="B253" s="24" t="s">
        <v>65</v>
      </c>
      <c r="C253" s="24">
        <v>41240</v>
      </c>
      <c r="D253" s="426"/>
      <c r="E253" s="23"/>
      <c r="F253" s="5"/>
      <c r="G253" s="5"/>
      <c r="H253" s="11"/>
    </row>
    <row r="254" spans="1:8" s="101" customFormat="1" ht="13.5" customHeight="1" x14ac:dyDescent="0.25">
      <c r="A254" s="72" t="s">
        <v>155</v>
      </c>
      <c r="B254" s="23" t="s">
        <v>125</v>
      </c>
      <c r="C254" s="24">
        <v>72450</v>
      </c>
      <c r="D254" s="3"/>
      <c r="E254" s="3"/>
      <c r="F254" s="3"/>
      <c r="G254" s="3"/>
    </row>
    <row r="255" spans="1:8" s="72" customFormat="1" ht="13.5" customHeight="1" x14ac:dyDescent="0.25">
      <c r="A255" s="72" t="s">
        <v>699</v>
      </c>
      <c r="B255" s="43" t="s">
        <v>698</v>
      </c>
      <c r="C255" s="24">
        <v>383900</v>
      </c>
      <c r="D255" s="406"/>
      <c r="E255" s="353"/>
      <c r="F255" s="353"/>
      <c r="G255" s="405"/>
      <c r="H255" s="24"/>
    </row>
    <row r="256" spans="1:8" s="72" customFormat="1" ht="13.5" customHeight="1" thickBot="1" x14ac:dyDescent="0.3">
      <c r="B256" s="23"/>
      <c r="C256" s="24"/>
      <c r="D256" s="3"/>
      <c r="E256" s="3"/>
      <c r="F256" s="3"/>
      <c r="G256" s="3"/>
      <c r="H256" s="24"/>
    </row>
    <row r="257" spans="1:256" s="72" customFormat="1" ht="13.5" customHeight="1" thickBot="1" x14ac:dyDescent="0.3">
      <c r="A257" s="1096" t="s">
        <v>3</v>
      </c>
      <c r="B257" s="1097"/>
      <c r="C257" s="668">
        <f>C258+C262+C266+C268+C260</f>
        <v>3607300</v>
      </c>
      <c r="D257" s="265"/>
      <c r="E257" s="24"/>
      <c r="F257" s="265"/>
      <c r="G257" s="355"/>
      <c r="H257" s="24"/>
    </row>
    <row r="258" spans="1:256" s="72" customFormat="1" ht="13.5" customHeight="1" x14ac:dyDescent="0.25">
      <c r="A258" s="265" t="s">
        <v>110</v>
      </c>
      <c r="B258" s="298" t="s">
        <v>111</v>
      </c>
      <c r="C258" s="32">
        <f>SUM(C259)</f>
        <v>112100</v>
      </c>
      <c r="D258" s="12"/>
      <c r="E258" s="101"/>
      <c r="F258" s="101"/>
      <c r="G258" s="358"/>
    </row>
    <row r="259" spans="1:256" s="72" customFormat="1" ht="13.5" customHeight="1" x14ac:dyDescent="0.25">
      <c r="A259" s="72" t="s">
        <v>52</v>
      </c>
      <c r="B259" s="24" t="s">
        <v>15</v>
      </c>
      <c r="C259" s="24">
        <v>112100</v>
      </c>
      <c r="D259" s="12"/>
      <c r="G259" s="361"/>
      <c r="H259" s="24"/>
    </row>
    <row r="260" spans="1:256" s="72" customFormat="1" ht="13.5" customHeight="1" x14ac:dyDescent="0.25">
      <c r="A260" s="11" t="s">
        <v>120</v>
      </c>
      <c r="B260" s="31" t="s">
        <v>121</v>
      </c>
      <c r="C260" s="31">
        <f>SUM(C261)</f>
        <v>32800</v>
      </c>
      <c r="D260" s="435"/>
      <c r="E260" s="353"/>
      <c r="F260" s="353"/>
      <c r="G260" s="361"/>
      <c r="H260" s="24"/>
    </row>
    <row r="261" spans="1:256" s="72" customFormat="1" ht="13.5" customHeight="1" x14ac:dyDescent="0.25">
      <c r="A261" s="12" t="s">
        <v>136</v>
      </c>
      <c r="B261" s="12" t="s">
        <v>71</v>
      </c>
      <c r="C261" s="24">
        <v>32800</v>
      </c>
      <c r="D261" s="435"/>
      <c r="E261" s="353"/>
      <c r="F261" s="353"/>
      <c r="G261" s="361"/>
      <c r="H261" s="24"/>
    </row>
    <row r="262" spans="1:256" s="72" customFormat="1" ht="13.5" customHeight="1" x14ac:dyDescent="0.25">
      <c r="A262" s="265" t="s">
        <v>112</v>
      </c>
      <c r="B262" s="31" t="s">
        <v>157</v>
      </c>
      <c r="C262" s="31">
        <f>SUM(C263:C265)</f>
        <v>1269650</v>
      </c>
      <c r="D262" s="12"/>
      <c r="G262" s="361"/>
      <c r="H262" s="147"/>
      <c r="I262" s="147"/>
      <c r="J262" s="147"/>
      <c r="K262" s="147"/>
      <c r="L262" s="147"/>
      <c r="M262" s="147"/>
      <c r="N262" s="147"/>
      <c r="O262" s="147"/>
      <c r="P262" s="147"/>
      <c r="Q262" s="147"/>
      <c r="R262" s="147"/>
      <c r="S262" s="147"/>
      <c r="T262" s="147"/>
      <c r="U262" s="147"/>
      <c r="V262" s="147"/>
      <c r="W262" s="147"/>
      <c r="X262" s="147"/>
      <c r="Y262" s="147"/>
      <c r="Z262" s="147"/>
      <c r="AA262" s="147"/>
      <c r="AB262" s="147"/>
      <c r="AC262" s="147"/>
      <c r="AD262" s="147"/>
      <c r="AE262" s="147"/>
      <c r="AF262" s="147"/>
      <c r="AG262" s="147"/>
      <c r="AH262" s="147"/>
      <c r="AI262" s="147"/>
      <c r="AJ262" s="147"/>
      <c r="AK262" s="147"/>
      <c r="AL262" s="147"/>
      <c r="AM262" s="147"/>
      <c r="AN262" s="147"/>
      <c r="AO262" s="147"/>
      <c r="AP262" s="147"/>
      <c r="AQ262" s="147"/>
      <c r="AR262" s="147"/>
      <c r="AS262" s="147"/>
      <c r="AT262" s="147"/>
      <c r="AU262" s="147"/>
      <c r="AV262" s="147"/>
      <c r="AW262" s="147"/>
      <c r="AX262" s="147"/>
      <c r="AY262" s="147"/>
      <c r="AZ262" s="147"/>
      <c r="BA262" s="147"/>
      <c r="BB262" s="147"/>
      <c r="BC262" s="147"/>
      <c r="BD262" s="147"/>
      <c r="BE262" s="147"/>
      <c r="BF262" s="147"/>
      <c r="BG262" s="147"/>
      <c r="BH262" s="147"/>
      <c r="BI262" s="147"/>
      <c r="BJ262" s="147"/>
      <c r="BK262" s="147"/>
      <c r="BL262" s="147"/>
      <c r="BM262" s="147"/>
      <c r="BN262" s="147"/>
      <c r="BO262" s="147"/>
      <c r="BP262" s="147"/>
      <c r="BQ262" s="147"/>
      <c r="BR262" s="147"/>
      <c r="BS262" s="147"/>
      <c r="BT262" s="147"/>
      <c r="BU262" s="147"/>
      <c r="BV262" s="147"/>
      <c r="BW262" s="147"/>
      <c r="BX262" s="147"/>
      <c r="BY262" s="147"/>
      <c r="BZ262" s="147"/>
      <c r="CA262" s="147"/>
      <c r="CB262" s="147"/>
      <c r="CC262" s="147"/>
      <c r="CD262" s="147"/>
      <c r="CE262" s="147"/>
      <c r="CF262" s="147"/>
      <c r="CG262" s="147"/>
      <c r="CH262" s="147"/>
      <c r="CI262" s="147"/>
      <c r="CJ262" s="147"/>
      <c r="CK262" s="147"/>
      <c r="CL262" s="147"/>
      <c r="CM262" s="147"/>
      <c r="CN262" s="147"/>
      <c r="CO262" s="147"/>
      <c r="CP262" s="147"/>
      <c r="CQ262" s="147"/>
      <c r="CR262" s="147"/>
      <c r="CS262" s="147"/>
      <c r="CT262" s="147"/>
      <c r="CU262" s="147"/>
      <c r="CV262" s="147"/>
      <c r="CW262" s="147"/>
      <c r="CX262" s="147"/>
      <c r="CY262" s="147"/>
      <c r="CZ262" s="147"/>
      <c r="DA262" s="147"/>
      <c r="DB262" s="147"/>
      <c r="DC262" s="147"/>
      <c r="DD262" s="147"/>
      <c r="DE262" s="147"/>
      <c r="DF262" s="147"/>
      <c r="DG262" s="147"/>
      <c r="DH262" s="147"/>
      <c r="DI262" s="147"/>
      <c r="DJ262" s="147"/>
      <c r="DK262" s="147"/>
      <c r="DL262" s="147"/>
      <c r="DM262" s="147"/>
      <c r="DN262" s="147"/>
      <c r="DO262" s="147"/>
      <c r="DP262" s="147"/>
      <c r="DQ262" s="147"/>
      <c r="DR262" s="147"/>
      <c r="DS262" s="147"/>
      <c r="DT262" s="147"/>
      <c r="DU262" s="147"/>
      <c r="DV262" s="147"/>
      <c r="DW262" s="147"/>
      <c r="DX262" s="147"/>
      <c r="DY262" s="147"/>
      <c r="DZ262" s="147"/>
      <c r="EA262" s="147"/>
      <c r="EB262" s="147"/>
      <c r="EC262" s="147"/>
      <c r="ED262" s="147"/>
      <c r="EE262" s="147"/>
      <c r="EF262" s="147"/>
      <c r="EG262" s="147"/>
      <c r="EH262" s="147"/>
      <c r="EI262" s="147"/>
      <c r="EJ262" s="147"/>
      <c r="EK262" s="147"/>
      <c r="EL262" s="147"/>
      <c r="EM262" s="147"/>
      <c r="EN262" s="147"/>
      <c r="EO262" s="147"/>
      <c r="EP262" s="147"/>
      <c r="EQ262" s="147"/>
      <c r="ER262" s="147"/>
      <c r="ES262" s="147"/>
      <c r="ET262" s="147"/>
      <c r="EU262" s="147"/>
      <c r="EV262" s="147"/>
      <c r="EW262" s="147"/>
      <c r="EX262" s="147"/>
      <c r="EY262" s="147"/>
      <c r="EZ262" s="147"/>
      <c r="FA262" s="147"/>
      <c r="FB262" s="147"/>
      <c r="FC262" s="147"/>
      <c r="FD262" s="147"/>
      <c r="FE262" s="147"/>
      <c r="FF262" s="147"/>
      <c r="FG262" s="147"/>
      <c r="FH262" s="147"/>
      <c r="FI262" s="147"/>
      <c r="FJ262" s="147"/>
      <c r="FK262" s="147"/>
      <c r="FL262" s="147"/>
      <c r="FM262" s="147"/>
      <c r="FN262" s="147"/>
      <c r="FO262" s="147"/>
      <c r="FP262" s="147"/>
      <c r="FQ262" s="147"/>
      <c r="FR262" s="147"/>
      <c r="FS262" s="147"/>
      <c r="FT262" s="147"/>
      <c r="FU262" s="147"/>
      <c r="FV262" s="147"/>
      <c r="FW262" s="147"/>
      <c r="FX262" s="147"/>
      <c r="FY262" s="147"/>
      <c r="FZ262" s="147"/>
      <c r="GA262" s="147"/>
      <c r="GB262" s="147"/>
      <c r="GC262" s="147"/>
      <c r="GD262" s="147"/>
      <c r="GE262" s="147"/>
      <c r="GF262" s="147"/>
      <c r="GG262" s="147"/>
      <c r="GH262" s="147"/>
      <c r="GI262" s="147"/>
      <c r="GJ262" s="147"/>
      <c r="GK262" s="147"/>
      <c r="GL262" s="147"/>
      <c r="GM262" s="147"/>
      <c r="GN262" s="147"/>
      <c r="GO262" s="147"/>
      <c r="GP262" s="147"/>
      <c r="GQ262" s="147"/>
      <c r="GR262" s="147"/>
      <c r="GS262" s="147"/>
      <c r="GT262" s="147"/>
      <c r="GU262" s="147"/>
      <c r="GV262" s="147"/>
      <c r="GW262" s="147"/>
      <c r="GX262" s="147"/>
      <c r="GY262" s="147"/>
      <c r="GZ262" s="147"/>
      <c r="HA262" s="147"/>
      <c r="HB262" s="147"/>
      <c r="HC262" s="147"/>
      <c r="HD262" s="147"/>
      <c r="HE262" s="147"/>
      <c r="HF262" s="147"/>
      <c r="HG262" s="147"/>
      <c r="HH262" s="147"/>
      <c r="HI262" s="147"/>
      <c r="HJ262" s="147"/>
      <c r="HK262" s="147"/>
      <c r="HL262" s="147"/>
      <c r="HM262" s="147"/>
      <c r="HN262" s="147"/>
      <c r="HO262" s="147"/>
      <c r="HP262" s="147"/>
      <c r="HQ262" s="147"/>
      <c r="HR262" s="147"/>
      <c r="HS262" s="147"/>
      <c r="HT262" s="147"/>
      <c r="HU262" s="147"/>
      <c r="HV262" s="147"/>
      <c r="HW262" s="147"/>
      <c r="HX262" s="147"/>
      <c r="HY262" s="147"/>
      <c r="HZ262" s="147"/>
      <c r="IA262" s="147"/>
      <c r="IB262" s="147"/>
      <c r="IC262" s="147"/>
      <c r="ID262" s="147"/>
      <c r="IE262" s="147"/>
      <c r="IF262" s="147"/>
      <c r="IG262" s="147"/>
      <c r="IH262" s="147"/>
      <c r="II262" s="147"/>
      <c r="IJ262" s="147"/>
      <c r="IK262" s="147"/>
      <c r="IL262" s="147"/>
      <c r="IM262" s="147"/>
      <c r="IN262" s="147"/>
      <c r="IO262" s="147"/>
      <c r="IP262" s="147"/>
      <c r="IQ262" s="147"/>
      <c r="IR262" s="147"/>
      <c r="IS262" s="147"/>
      <c r="IT262" s="147"/>
      <c r="IU262" s="147"/>
      <c r="IV262" s="147"/>
    </row>
    <row r="263" spans="1:256" s="72" customFormat="1" ht="13.5" customHeight="1" x14ac:dyDescent="0.25">
      <c r="A263" s="72" t="s">
        <v>138</v>
      </c>
      <c r="B263" s="59" t="s">
        <v>878</v>
      </c>
      <c r="C263" s="24">
        <v>7200</v>
      </c>
      <c r="D263" s="398"/>
      <c r="G263" s="361"/>
      <c r="H263" s="12"/>
    </row>
    <row r="264" spans="1:256" s="72" customFormat="1" ht="13.5" customHeight="1" x14ac:dyDescent="0.25">
      <c r="A264" s="72" t="s">
        <v>49</v>
      </c>
      <c r="B264" s="24" t="s">
        <v>87</v>
      </c>
      <c r="C264" s="24">
        <v>486200</v>
      </c>
      <c r="D264" s="363"/>
      <c r="E264" s="427"/>
      <c r="F264" s="352"/>
      <c r="G264" s="363"/>
      <c r="H264" s="12"/>
      <c r="J264" s="23"/>
    </row>
    <row r="265" spans="1:256" s="72" customFormat="1" ht="13.5" customHeight="1" x14ac:dyDescent="0.25">
      <c r="A265" s="72" t="s">
        <v>889</v>
      </c>
      <c r="B265" s="43" t="s">
        <v>877</v>
      </c>
      <c r="C265" s="24">
        <v>776250</v>
      </c>
      <c r="D265" s="363"/>
      <c r="E265" s="427"/>
      <c r="F265" s="352"/>
      <c r="G265" s="363"/>
      <c r="H265" s="12"/>
      <c r="J265" s="23"/>
    </row>
    <row r="266" spans="1:256" s="72" customFormat="1" ht="13.5" customHeight="1" x14ac:dyDescent="0.25">
      <c r="A266" s="11" t="s">
        <v>113</v>
      </c>
      <c r="B266" s="31" t="s">
        <v>114</v>
      </c>
      <c r="C266" s="31">
        <f>SUM(C267:C267)</f>
        <v>45050</v>
      </c>
      <c r="D266" s="398"/>
      <c r="G266" s="361"/>
    </row>
    <row r="267" spans="1:256" s="72" customFormat="1" ht="13.5" customHeight="1" x14ac:dyDescent="0.25">
      <c r="A267" s="12" t="s">
        <v>164</v>
      </c>
      <c r="B267" s="12" t="s">
        <v>74</v>
      </c>
      <c r="C267" s="24">
        <v>45050</v>
      </c>
      <c r="E267" s="147"/>
      <c r="G267" s="147"/>
      <c r="H267" s="398"/>
      <c r="J267" s="361"/>
      <c r="K267" s="363"/>
    </row>
    <row r="268" spans="1:256" s="72" customFormat="1" ht="13.5" customHeight="1" x14ac:dyDescent="0.25">
      <c r="A268" s="265" t="s">
        <v>115</v>
      </c>
      <c r="B268" s="31" t="s">
        <v>8</v>
      </c>
      <c r="C268" s="31">
        <f>SUM(C269:C272)</f>
        <v>2147700</v>
      </c>
      <c r="D268" s="23"/>
      <c r="E268" s="24"/>
      <c r="F268" s="361"/>
      <c r="G268" s="361"/>
      <c r="H268" s="356"/>
      <c r="I268" s="353"/>
      <c r="J268" s="12"/>
      <c r="K268" s="12"/>
      <c r="L268" s="12"/>
    </row>
    <row r="269" spans="1:256" s="265" customFormat="1" ht="13.5" customHeight="1" x14ac:dyDescent="0.25">
      <c r="A269" s="72" t="s">
        <v>92</v>
      </c>
      <c r="B269" s="24" t="s">
        <v>8</v>
      </c>
      <c r="C269" s="24">
        <v>1116220</v>
      </c>
      <c r="D269" s="23"/>
      <c r="E269" s="24"/>
      <c r="F269" s="361"/>
      <c r="G269" s="361"/>
      <c r="H269" s="413"/>
      <c r="I269" s="227"/>
      <c r="J269" s="12"/>
      <c r="K269" s="12"/>
      <c r="L269" s="12"/>
    </row>
    <row r="270" spans="1:256" s="101" customFormat="1" ht="13.5" customHeight="1" x14ac:dyDescent="0.25">
      <c r="A270" s="72" t="s">
        <v>181</v>
      </c>
      <c r="B270" s="24" t="s">
        <v>50</v>
      </c>
      <c r="C270" s="24">
        <v>6480</v>
      </c>
      <c r="D270" s="72"/>
      <c r="E270" s="72"/>
      <c r="F270" s="72"/>
      <c r="G270" s="72"/>
      <c r="H270" s="356"/>
      <c r="I270" s="12"/>
      <c r="J270" s="11"/>
      <c r="K270" s="353"/>
      <c r="L270" s="11"/>
    </row>
    <row r="271" spans="1:256" s="351" customFormat="1" ht="13.5" customHeight="1" x14ac:dyDescent="0.25">
      <c r="A271" s="72" t="s">
        <v>222</v>
      </c>
      <c r="B271" s="12" t="s">
        <v>221</v>
      </c>
      <c r="C271" s="24">
        <v>180000</v>
      </c>
      <c r="D271" s="11"/>
      <c r="E271" s="353"/>
      <c r="F271" s="369"/>
      <c r="G271" s="361"/>
    </row>
    <row r="272" spans="1:256" s="5" customFormat="1" ht="13" x14ac:dyDescent="0.25">
      <c r="A272" s="72" t="s">
        <v>90</v>
      </c>
      <c r="B272" s="24" t="s">
        <v>7</v>
      </c>
      <c r="C272" s="24">
        <f>795000+50000</f>
        <v>845000</v>
      </c>
      <c r="D272" s="72"/>
      <c r="E272" s="72"/>
      <c r="F272" s="72"/>
      <c r="G272" s="72"/>
    </row>
    <row r="273" spans="1:256" s="5" customFormat="1" ht="13.5" thickBot="1" x14ac:dyDescent="0.3">
      <c r="A273" s="72"/>
      <c r="B273" s="24"/>
      <c r="C273" s="24"/>
      <c r="D273" s="72"/>
      <c r="E273" s="72"/>
      <c r="F273" s="72"/>
      <c r="G273" s="72"/>
      <c r="I273" s="423"/>
    </row>
    <row r="274" spans="1:256" s="5" customFormat="1" ht="13.5" thickBot="1" x14ac:dyDescent="0.3">
      <c r="A274" s="1100" t="s">
        <v>4</v>
      </c>
      <c r="B274" s="1101"/>
      <c r="C274" s="670">
        <f>C275+C279</f>
        <v>113900</v>
      </c>
      <c r="D274" s="265"/>
      <c r="E274" s="265"/>
      <c r="F274" s="265"/>
      <c r="G274" s="265"/>
    </row>
    <row r="275" spans="1:256" s="5" customFormat="1" ht="13" x14ac:dyDescent="0.25">
      <c r="A275" s="265" t="s">
        <v>116</v>
      </c>
      <c r="B275" s="298" t="s">
        <v>117</v>
      </c>
      <c r="C275" s="32">
        <f>SUM(C276:C278)</f>
        <v>92900</v>
      </c>
      <c r="D275" s="356"/>
      <c r="E275" s="126"/>
      <c r="F275" s="358"/>
      <c r="G275" s="358"/>
    </row>
    <row r="276" spans="1:256" s="5" customFormat="1" ht="13" x14ac:dyDescent="0.25">
      <c r="A276" s="72" t="s">
        <v>91</v>
      </c>
      <c r="B276" s="72" t="s">
        <v>139</v>
      </c>
      <c r="C276" s="24">
        <v>26000</v>
      </c>
      <c r="D276" s="353"/>
      <c r="E276" s="403"/>
      <c r="F276" s="361"/>
      <c r="G276" s="410"/>
    </row>
    <row r="277" spans="1:256" s="1" customFormat="1" ht="13.5" customHeight="1" x14ac:dyDescent="0.25">
      <c r="A277" s="72" t="s">
        <v>57</v>
      </c>
      <c r="B277" s="72" t="s">
        <v>58</v>
      </c>
      <c r="C277" s="24">
        <v>20000</v>
      </c>
      <c r="D277" s="352"/>
      <c r="E277" s="352"/>
      <c r="F277" s="352"/>
      <c r="G277" s="410"/>
    </row>
    <row r="278" spans="1:256" s="5" customFormat="1" ht="13" x14ac:dyDescent="0.3">
      <c r="A278" s="72" t="s">
        <v>814</v>
      </c>
      <c r="B278" s="23" t="s">
        <v>815</v>
      </c>
      <c r="C278" s="55">
        <v>46900</v>
      </c>
      <c r="D278" s="212"/>
      <c r="E278" s="212"/>
      <c r="F278" s="212"/>
      <c r="G278" s="212"/>
      <c r="H278" s="212"/>
      <c r="I278" s="212"/>
      <c r="J278" s="212"/>
      <c r="K278" s="212"/>
      <c r="L278" s="212"/>
      <c r="M278" s="212"/>
      <c r="N278" s="212"/>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212"/>
      <c r="AN278" s="212"/>
      <c r="AO278" s="212"/>
      <c r="AP278" s="212"/>
      <c r="AQ278" s="212"/>
      <c r="AR278" s="212"/>
      <c r="AS278" s="212"/>
      <c r="AT278" s="212"/>
      <c r="AU278" s="212"/>
      <c r="AV278" s="212"/>
      <c r="AW278" s="212"/>
      <c r="AX278" s="212"/>
      <c r="AY278" s="212"/>
      <c r="AZ278" s="212"/>
      <c r="BA278" s="212"/>
      <c r="BB278" s="212"/>
      <c r="BC278" s="212"/>
      <c r="BD278" s="212"/>
      <c r="BE278" s="212"/>
      <c r="BF278" s="212"/>
      <c r="BG278" s="212"/>
      <c r="BH278" s="212"/>
      <c r="BI278" s="212"/>
      <c r="BJ278" s="212"/>
      <c r="BK278" s="212"/>
      <c r="BL278" s="212"/>
      <c r="BM278" s="212"/>
      <c r="BN278" s="212"/>
      <c r="BO278" s="212"/>
      <c r="BP278" s="212"/>
      <c r="BQ278" s="212"/>
      <c r="BR278" s="212"/>
      <c r="BS278" s="212"/>
      <c r="BT278" s="212"/>
      <c r="BU278" s="212"/>
      <c r="BV278" s="212"/>
      <c r="BW278" s="212"/>
      <c r="BX278" s="212"/>
      <c r="BY278" s="212"/>
      <c r="BZ278" s="212"/>
      <c r="CA278" s="212"/>
      <c r="CB278" s="212"/>
      <c r="CC278" s="212"/>
      <c r="CD278" s="212"/>
      <c r="CE278" s="212"/>
      <c r="CF278" s="212"/>
      <c r="CG278" s="212"/>
      <c r="CH278" s="212"/>
      <c r="CI278" s="212"/>
      <c r="CJ278" s="212"/>
      <c r="CK278" s="212"/>
      <c r="CL278" s="212"/>
      <c r="CM278" s="212"/>
      <c r="CN278" s="212"/>
      <c r="CO278" s="212"/>
      <c r="CP278" s="212"/>
      <c r="CQ278" s="212"/>
      <c r="CR278" s="212"/>
      <c r="CS278" s="212"/>
      <c r="CT278" s="212"/>
      <c r="CU278" s="212"/>
      <c r="CV278" s="212"/>
      <c r="CW278" s="212"/>
      <c r="CX278" s="212"/>
      <c r="CY278" s="212"/>
      <c r="CZ278" s="212"/>
      <c r="DA278" s="212"/>
      <c r="DB278" s="212"/>
      <c r="DC278" s="212"/>
      <c r="DD278" s="212"/>
      <c r="DE278" s="212"/>
      <c r="DF278" s="212"/>
      <c r="DG278" s="212"/>
      <c r="DH278" s="212"/>
      <c r="DI278" s="212"/>
      <c r="DJ278" s="212"/>
      <c r="DK278" s="212"/>
      <c r="DL278" s="212"/>
      <c r="DM278" s="212"/>
      <c r="DN278" s="212"/>
      <c r="DO278" s="212"/>
      <c r="DP278" s="212"/>
      <c r="DQ278" s="212"/>
      <c r="DR278" s="212"/>
      <c r="DS278" s="212"/>
      <c r="DT278" s="212"/>
      <c r="DU278" s="212"/>
      <c r="DV278" s="212"/>
      <c r="DW278" s="212"/>
      <c r="DX278" s="212"/>
      <c r="DY278" s="212"/>
      <c r="DZ278" s="212"/>
      <c r="EA278" s="212"/>
      <c r="EB278" s="212"/>
      <c r="EC278" s="212"/>
      <c r="ED278" s="212"/>
      <c r="EE278" s="212"/>
      <c r="EF278" s="212"/>
      <c r="EG278" s="212"/>
      <c r="EH278" s="212"/>
      <c r="EI278" s="212"/>
      <c r="EJ278" s="212"/>
      <c r="EK278" s="212"/>
      <c r="EL278" s="212"/>
      <c r="EM278" s="212"/>
      <c r="EN278" s="212"/>
      <c r="EO278" s="212"/>
      <c r="EP278" s="212"/>
      <c r="EQ278" s="212"/>
      <c r="ER278" s="212"/>
      <c r="ES278" s="212"/>
      <c r="ET278" s="212"/>
      <c r="EU278" s="212"/>
      <c r="EV278" s="212"/>
      <c r="EW278" s="212"/>
      <c r="EX278" s="212"/>
      <c r="EY278" s="212"/>
      <c r="EZ278" s="212"/>
      <c r="FA278" s="212"/>
      <c r="FB278" s="212"/>
      <c r="FC278" s="212"/>
      <c r="FD278" s="212"/>
      <c r="FE278" s="212"/>
      <c r="FF278" s="212"/>
      <c r="FG278" s="212"/>
      <c r="FH278" s="212"/>
      <c r="FI278" s="212"/>
      <c r="FJ278" s="212"/>
      <c r="FK278" s="212"/>
      <c r="FL278" s="212"/>
      <c r="FM278" s="212"/>
      <c r="FN278" s="212"/>
      <c r="FO278" s="212"/>
      <c r="FP278" s="212"/>
      <c r="FQ278" s="212"/>
      <c r="FR278" s="212"/>
      <c r="FS278" s="212"/>
      <c r="FT278" s="212"/>
      <c r="FU278" s="212"/>
      <c r="FV278" s="212"/>
      <c r="FW278" s="212"/>
      <c r="FX278" s="212"/>
      <c r="FY278" s="212"/>
      <c r="FZ278" s="212"/>
      <c r="GA278" s="212"/>
      <c r="GB278" s="212"/>
      <c r="GC278" s="212"/>
      <c r="GD278" s="212"/>
      <c r="GE278" s="212"/>
      <c r="GF278" s="212"/>
      <c r="GG278" s="212"/>
      <c r="GH278" s="212"/>
      <c r="GI278" s="212"/>
      <c r="GJ278" s="212"/>
      <c r="GK278" s="212"/>
      <c r="GL278" s="212"/>
      <c r="GM278" s="212"/>
      <c r="GN278" s="212"/>
      <c r="GO278" s="212"/>
      <c r="GP278" s="212"/>
      <c r="GQ278" s="212"/>
      <c r="GR278" s="212"/>
      <c r="GS278" s="212"/>
      <c r="GT278" s="212"/>
      <c r="GU278" s="212"/>
      <c r="GV278" s="212"/>
      <c r="GW278" s="212"/>
      <c r="GX278" s="212"/>
      <c r="GY278" s="212"/>
      <c r="GZ278" s="212"/>
      <c r="HA278" s="212"/>
      <c r="HB278" s="212"/>
      <c r="HC278" s="212"/>
      <c r="HD278" s="212"/>
      <c r="HE278" s="212"/>
      <c r="HF278" s="212"/>
      <c r="HG278" s="212"/>
      <c r="HH278" s="212"/>
      <c r="HI278" s="212"/>
      <c r="HJ278" s="212"/>
      <c r="HK278" s="212"/>
      <c r="HL278" s="212"/>
      <c r="HM278" s="212"/>
      <c r="HN278" s="212"/>
      <c r="HO278" s="212"/>
      <c r="HP278" s="212"/>
      <c r="HQ278" s="212"/>
      <c r="HR278" s="212"/>
      <c r="HS278" s="212"/>
      <c r="HT278" s="212"/>
      <c r="HU278" s="212"/>
      <c r="HV278" s="212"/>
      <c r="HW278" s="212"/>
      <c r="HX278" s="212"/>
      <c r="HY278" s="212"/>
      <c r="HZ278" s="212"/>
      <c r="IA278" s="212"/>
      <c r="IB278" s="212"/>
      <c r="IC278" s="212"/>
      <c r="ID278" s="212"/>
      <c r="IE278" s="212"/>
      <c r="IF278" s="212"/>
      <c r="IG278" s="212"/>
      <c r="IH278" s="212"/>
      <c r="II278" s="212"/>
      <c r="IJ278" s="212"/>
      <c r="IK278" s="212"/>
      <c r="IL278" s="212"/>
      <c r="IM278" s="212"/>
      <c r="IN278" s="212"/>
      <c r="IO278" s="212"/>
      <c r="IP278" s="212"/>
      <c r="IQ278" s="212"/>
      <c r="IR278" s="212"/>
      <c r="IS278" s="212"/>
      <c r="IT278" s="212"/>
      <c r="IU278" s="212"/>
      <c r="IV278" s="212"/>
    </row>
    <row r="279" spans="1:256" s="196" customFormat="1" ht="13.5" customHeight="1" x14ac:dyDescent="0.25">
      <c r="A279" s="265" t="s">
        <v>166</v>
      </c>
      <c r="B279" s="25" t="s">
        <v>134</v>
      </c>
      <c r="C279" s="31">
        <f>SUM(C280)</f>
        <v>21000</v>
      </c>
      <c r="D279" s="353"/>
      <c r="E279" s="5"/>
      <c r="F279" s="368"/>
      <c r="G279" s="410"/>
    </row>
    <row r="280" spans="1:256" s="196" customFormat="1" ht="13.5" customHeight="1" x14ac:dyDescent="0.25">
      <c r="A280" s="72" t="s">
        <v>167</v>
      </c>
      <c r="B280" s="23" t="s">
        <v>51</v>
      </c>
      <c r="C280" s="24">
        <v>21000</v>
      </c>
      <c r="D280" s="353"/>
      <c r="E280" s="353"/>
      <c r="F280" s="353"/>
      <c r="G280" s="410"/>
    </row>
    <row r="281" spans="1:256" s="196" customFormat="1" ht="13.5" customHeight="1" x14ac:dyDescent="0.25">
      <c r="A281" s="72"/>
      <c r="B281" s="23"/>
      <c r="C281" s="24"/>
      <c r="D281" s="353"/>
      <c r="E281" s="353"/>
      <c r="F281" s="353"/>
      <c r="G281" s="410"/>
    </row>
    <row r="282" spans="1:256" s="196" customFormat="1" ht="13.5" customHeight="1" thickBot="1" x14ac:dyDescent="0.3">
      <c r="A282" s="415"/>
      <c r="B282" s="415"/>
      <c r="C282" s="23"/>
      <c r="D282" s="22"/>
      <c r="E282" s="24"/>
      <c r="F282" s="233"/>
      <c r="G282" s="418"/>
    </row>
    <row r="283" spans="1:256" s="196" customFormat="1" ht="13.5" customHeight="1" x14ac:dyDescent="0.25">
      <c r="A283" s="648" t="s">
        <v>464</v>
      </c>
      <c r="B283" s="649"/>
      <c r="C283" s="690"/>
      <c r="D283" s="692" t="s">
        <v>6</v>
      </c>
      <c r="E283" s="911">
        <v>1505</v>
      </c>
      <c r="F283" s="419"/>
      <c r="G283" s="405"/>
    </row>
    <row r="284" spans="1:256" s="196" customFormat="1" ht="13.5" customHeight="1" thickBot="1" x14ac:dyDescent="0.3">
      <c r="A284" s="707"/>
      <c r="B284" s="728"/>
      <c r="C284" s="733"/>
      <c r="D284" s="734"/>
      <c r="E284" s="738"/>
      <c r="F284" s="419"/>
      <c r="G284" s="405"/>
    </row>
    <row r="285" spans="1:256" s="196" customFormat="1" ht="13.5" customHeight="1" x14ac:dyDescent="0.25">
      <c r="A285" s="1123" t="s">
        <v>931</v>
      </c>
      <c r="B285" s="1124"/>
      <c r="C285" s="1124"/>
      <c r="D285" s="1124"/>
      <c r="E285" s="1125"/>
      <c r="F285" s="419"/>
      <c r="G285" s="405"/>
    </row>
    <row r="286" spans="1:256" s="196" customFormat="1" ht="13.5" customHeight="1" x14ac:dyDescent="0.25">
      <c r="A286" s="1126"/>
      <c r="B286" s="1127"/>
      <c r="C286" s="1127"/>
      <c r="D286" s="1127"/>
      <c r="E286" s="1128"/>
      <c r="F286" s="419"/>
      <c r="G286" s="405"/>
    </row>
    <row r="287" spans="1:256" s="196" customFormat="1" ht="13.5" customHeight="1" x14ac:dyDescent="0.25">
      <c r="A287" s="1126"/>
      <c r="B287" s="1127"/>
      <c r="C287" s="1127"/>
      <c r="D287" s="1127"/>
      <c r="E287" s="1128"/>
      <c r="F287" s="419"/>
      <c r="G287" s="405"/>
    </row>
    <row r="288" spans="1:256" s="196" customFormat="1" ht="13.5" customHeight="1" x14ac:dyDescent="0.25">
      <c r="A288" s="1126"/>
      <c r="B288" s="1127"/>
      <c r="C288" s="1127"/>
      <c r="D288" s="1127"/>
      <c r="E288" s="1128"/>
    </row>
    <row r="289" spans="1:10" s="337" customFormat="1" ht="13.5" customHeight="1" x14ac:dyDescent="0.25">
      <c r="A289" s="1126"/>
      <c r="B289" s="1127"/>
      <c r="C289" s="1127"/>
      <c r="D289" s="1127"/>
      <c r="E289" s="1128"/>
      <c r="F289" s="196"/>
      <c r="G289" s="196"/>
    </row>
    <row r="290" spans="1:10" s="196" customFormat="1" ht="5.25" customHeight="1" thickBot="1" x14ac:dyDescent="0.3">
      <c r="A290" s="1129"/>
      <c r="B290" s="1130"/>
      <c r="C290" s="1130"/>
      <c r="D290" s="1130"/>
      <c r="E290" s="1131"/>
    </row>
    <row r="291" spans="1:10" s="1" customFormat="1" ht="13.5" customHeight="1" x14ac:dyDescent="0.25">
      <c r="A291" s="119" t="s">
        <v>1029</v>
      </c>
      <c r="B291" s="119"/>
      <c r="C291" s="420"/>
      <c r="D291" s="421"/>
      <c r="E291" s="422"/>
      <c r="F291" s="337"/>
      <c r="G291" s="337"/>
    </row>
    <row r="292" spans="1:10" s="1" customFormat="1" ht="13.5" customHeight="1" x14ac:dyDescent="0.25">
      <c r="A292" s="41" t="s">
        <v>686</v>
      </c>
      <c r="B292" s="41"/>
      <c r="C292" s="24"/>
      <c r="D292" s="22"/>
      <c r="E292" s="320"/>
      <c r="F292" s="196"/>
      <c r="G292" s="196"/>
    </row>
    <row r="293" spans="1:10" s="265" customFormat="1" ht="13.5" customHeight="1" x14ac:dyDescent="0.25">
      <c r="A293" s="41" t="s">
        <v>1040</v>
      </c>
      <c r="B293" s="41"/>
      <c r="C293" s="24"/>
      <c r="D293" s="22"/>
      <c r="E293" s="320"/>
      <c r="F293" s="428"/>
      <c r="G293" s="429"/>
      <c r="H293" s="11"/>
      <c r="I293" s="11"/>
      <c r="J293" s="11"/>
    </row>
    <row r="294" spans="1:10" s="101" customFormat="1" ht="13.5" customHeight="1" thickBot="1" x14ac:dyDescent="0.3">
      <c r="A294" s="76" t="s">
        <v>11</v>
      </c>
      <c r="B294" s="76"/>
      <c r="C294" s="377"/>
      <c r="D294" s="396"/>
      <c r="E294" s="378"/>
      <c r="F294" s="428"/>
      <c r="G294" s="429"/>
    </row>
    <row r="295" spans="1:10" s="12" customFormat="1" ht="13.5" customHeight="1" thickBot="1" x14ac:dyDescent="0.3">
      <c r="A295" s="762" t="s">
        <v>0</v>
      </c>
      <c r="B295" s="762"/>
      <c r="C295" s="764"/>
      <c r="D295" s="778" t="s">
        <v>465</v>
      </c>
      <c r="E295" s="766">
        <f>+C297+C323+C341+C345</f>
        <v>7391870</v>
      </c>
      <c r="F295" s="430"/>
      <c r="G295" s="431"/>
    </row>
    <row r="296" spans="1:10" s="12" customFormat="1" ht="13.5" customHeight="1" thickBot="1" x14ac:dyDescent="0.3">
      <c r="A296" s="432"/>
      <c r="B296" s="433"/>
      <c r="C296" s="434"/>
      <c r="D296" s="32"/>
      <c r="E296" s="1"/>
      <c r="F296" s="344"/>
      <c r="G296" s="431"/>
    </row>
    <row r="297" spans="1:10" s="12" customFormat="1" ht="13.5" customHeight="1" thickBot="1" x14ac:dyDescent="0.3">
      <c r="A297" s="1104" t="s">
        <v>2</v>
      </c>
      <c r="B297" s="1105"/>
      <c r="C297" s="667">
        <f>+C298+C300+C302+C304+C307+C313+C316</f>
        <v>2066910</v>
      </c>
      <c r="D297" s="402"/>
      <c r="E297" s="265"/>
      <c r="F297" s="344"/>
      <c r="G297" s="368"/>
    </row>
    <row r="298" spans="1:10" s="12" customFormat="1" ht="13.5" customHeight="1" x14ac:dyDescent="0.25">
      <c r="A298" s="11" t="s">
        <v>103</v>
      </c>
      <c r="B298" s="298" t="s">
        <v>104</v>
      </c>
      <c r="C298" s="32">
        <f>SUM(C299)</f>
        <v>978140</v>
      </c>
      <c r="D298" s="357"/>
      <c r="E298" s="101"/>
      <c r="F298" s="346"/>
      <c r="G298" s="358"/>
    </row>
    <row r="299" spans="1:10" s="3" customFormat="1" ht="13" x14ac:dyDescent="0.25">
      <c r="A299" s="12" t="s">
        <v>46</v>
      </c>
      <c r="B299" s="12" t="s">
        <v>45</v>
      </c>
      <c r="C299" s="24">
        <v>978140</v>
      </c>
      <c r="D299" s="435"/>
      <c r="E299" s="353"/>
      <c r="F299" s="353"/>
      <c r="G299" s="394"/>
      <c r="H299" s="147"/>
      <c r="I299" s="147"/>
      <c r="J299" s="147"/>
    </row>
    <row r="300" spans="1:10" s="3" customFormat="1" ht="13" x14ac:dyDescent="0.25">
      <c r="A300" s="11" t="s">
        <v>199</v>
      </c>
      <c r="B300" s="11" t="s">
        <v>219</v>
      </c>
      <c r="C300" s="31">
        <f>SUM(C301)</f>
        <v>20210</v>
      </c>
      <c r="D300" s="101"/>
      <c r="E300" s="12"/>
      <c r="F300" s="394"/>
      <c r="G300" s="12"/>
      <c r="H300" s="147"/>
      <c r="I300" s="147"/>
      <c r="J300" s="147"/>
    </row>
    <row r="301" spans="1:10" s="3" customFormat="1" ht="13" x14ac:dyDescent="0.25">
      <c r="A301" s="12" t="s">
        <v>227</v>
      </c>
      <c r="B301" s="12" t="s">
        <v>226</v>
      </c>
      <c r="C301" s="24">
        <v>20210</v>
      </c>
      <c r="D301" s="425"/>
      <c r="E301" s="12"/>
      <c r="F301" s="394"/>
      <c r="G301" s="12"/>
      <c r="H301" s="147"/>
      <c r="I301" s="147"/>
      <c r="J301" s="147"/>
    </row>
    <row r="302" spans="1:10" s="3" customFormat="1" ht="13" x14ac:dyDescent="0.25">
      <c r="A302" s="11" t="s">
        <v>105</v>
      </c>
      <c r="B302" s="11" t="s">
        <v>106</v>
      </c>
      <c r="C302" s="31">
        <f>SUM(C303)</f>
        <v>289840</v>
      </c>
      <c r="D302" s="435"/>
      <c r="E302" s="353"/>
      <c r="F302" s="353"/>
      <c r="G302" s="394"/>
      <c r="H302" s="147"/>
      <c r="I302" s="147"/>
      <c r="J302" s="147"/>
    </row>
    <row r="303" spans="1:10" s="5" customFormat="1" ht="13" x14ac:dyDescent="0.25">
      <c r="A303" s="12" t="s">
        <v>86</v>
      </c>
      <c r="B303" s="72" t="s">
        <v>66</v>
      </c>
      <c r="C303" s="24">
        <v>289840</v>
      </c>
      <c r="D303" s="435"/>
      <c r="E303" s="353"/>
      <c r="F303" s="353"/>
      <c r="G303" s="147"/>
      <c r="H303" s="147"/>
      <c r="I303" s="147"/>
      <c r="J303" s="147"/>
    </row>
    <row r="304" spans="1:10" s="5" customFormat="1" ht="13" x14ac:dyDescent="0.25">
      <c r="A304" s="11" t="s">
        <v>107</v>
      </c>
      <c r="B304" s="265" t="s">
        <v>108</v>
      </c>
      <c r="C304" s="31">
        <f>SUM(C305:C306)</f>
        <v>282790</v>
      </c>
      <c r="D304" s="435"/>
      <c r="E304" s="353"/>
      <c r="F304" s="353"/>
      <c r="G304" s="147"/>
      <c r="H304" s="147"/>
    </row>
    <row r="305" spans="1:10" s="3" customFormat="1" ht="13" x14ac:dyDescent="0.25">
      <c r="A305" s="12" t="s">
        <v>47</v>
      </c>
      <c r="B305" s="23" t="s">
        <v>48</v>
      </c>
      <c r="C305" s="24">
        <v>88050</v>
      </c>
      <c r="D305" s="435"/>
      <c r="E305" s="5"/>
      <c r="F305" s="394"/>
      <c r="G305" s="394"/>
      <c r="H305" s="5"/>
    </row>
    <row r="306" spans="1:10" s="5" customFormat="1" ht="13" x14ac:dyDescent="0.25">
      <c r="A306" s="12" t="s">
        <v>460</v>
      </c>
      <c r="B306" s="43" t="s">
        <v>461</v>
      </c>
      <c r="C306" s="24">
        <v>194740</v>
      </c>
      <c r="D306" s="404"/>
      <c r="E306" s="353"/>
      <c r="F306" s="353"/>
      <c r="G306" s="405"/>
      <c r="H306" s="72"/>
    </row>
    <row r="307" spans="1:10" s="3" customFormat="1" ht="13" x14ac:dyDescent="0.25">
      <c r="A307" s="265" t="s">
        <v>119</v>
      </c>
      <c r="B307" s="25" t="s">
        <v>109</v>
      </c>
      <c r="C307" s="31">
        <f>SUM(C308:C312)</f>
        <v>102300</v>
      </c>
      <c r="D307" s="435"/>
      <c r="E307" s="101"/>
      <c r="F307" s="394"/>
      <c r="G307" s="394"/>
    </row>
    <row r="308" spans="1:10" s="5" customFormat="1" ht="13" x14ac:dyDescent="0.25">
      <c r="A308" s="72" t="s">
        <v>150</v>
      </c>
      <c r="B308" s="24" t="s">
        <v>340</v>
      </c>
      <c r="C308" s="24">
        <v>7550</v>
      </c>
      <c r="D308" s="435"/>
      <c r="E308" s="101"/>
      <c r="F308" s="394"/>
      <c r="G308" s="394"/>
      <c r="H308" s="147"/>
      <c r="I308" s="147"/>
      <c r="J308" s="147"/>
    </row>
    <row r="309" spans="1:10" s="5" customFormat="1" ht="13" x14ac:dyDescent="0.25">
      <c r="A309" s="12" t="s">
        <v>697</v>
      </c>
      <c r="B309" s="43" t="s">
        <v>696</v>
      </c>
      <c r="C309" s="24">
        <v>10800</v>
      </c>
      <c r="D309" s="14"/>
      <c r="F309" s="361"/>
      <c r="G309" s="405"/>
    </row>
    <row r="310" spans="1:10" s="66" customFormat="1" ht="13" x14ac:dyDescent="0.3">
      <c r="A310" s="72" t="s">
        <v>816</v>
      </c>
      <c r="B310" s="24" t="s">
        <v>810</v>
      </c>
      <c r="C310" s="24">
        <v>28700</v>
      </c>
      <c r="D310" s="78"/>
      <c r="E310" s="25"/>
    </row>
    <row r="311" spans="1:10" s="66" customFormat="1" ht="13" x14ac:dyDescent="0.3">
      <c r="A311" s="72" t="s">
        <v>820</v>
      </c>
      <c r="B311" s="24" t="s">
        <v>821</v>
      </c>
      <c r="C311" s="24">
        <v>40250</v>
      </c>
      <c r="D311" s="78"/>
      <c r="E311" s="25"/>
    </row>
    <row r="312" spans="1:10" s="66" customFormat="1" ht="13" x14ac:dyDescent="0.3">
      <c r="A312" s="72" t="s">
        <v>811</v>
      </c>
      <c r="B312" s="24" t="s">
        <v>812</v>
      </c>
      <c r="C312" s="24">
        <v>15000</v>
      </c>
      <c r="D312" s="78"/>
      <c r="E312" s="25"/>
    </row>
    <row r="313" spans="1:10" s="5" customFormat="1" ht="13" x14ac:dyDescent="0.25">
      <c r="A313" s="265" t="s">
        <v>124</v>
      </c>
      <c r="B313" s="25" t="s">
        <v>123</v>
      </c>
      <c r="C313" s="31">
        <f>SUM(C314:C315)</f>
        <v>68200</v>
      </c>
      <c r="D313" s="3"/>
      <c r="E313" s="3"/>
      <c r="F313" s="3"/>
      <c r="G313" s="3"/>
    </row>
    <row r="314" spans="1:10" s="66" customFormat="1" ht="13" x14ac:dyDescent="0.3">
      <c r="A314" s="12" t="s">
        <v>230</v>
      </c>
      <c r="B314" s="43" t="s">
        <v>229</v>
      </c>
      <c r="C314" s="24">
        <v>39560</v>
      </c>
      <c r="D314" s="57"/>
      <c r="E314" s="57"/>
    </row>
    <row r="315" spans="1:10" s="5" customFormat="1" ht="13" x14ac:dyDescent="0.25">
      <c r="A315" s="72" t="s">
        <v>93</v>
      </c>
      <c r="B315" s="24" t="s">
        <v>72</v>
      </c>
      <c r="C315" s="24">
        <v>28640</v>
      </c>
      <c r="H315" s="147"/>
      <c r="I315" s="147"/>
      <c r="J315" s="147"/>
    </row>
    <row r="316" spans="1:10" s="3" customFormat="1" ht="13" x14ac:dyDescent="0.25">
      <c r="A316" s="265" t="s">
        <v>151</v>
      </c>
      <c r="B316" s="25" t="s">
        <v>125</v>
      </c>
      <c r="C316" s="31">
        <f>SUM(C317:C321)</f>
        <v>325430</v>
      </c>
      <c r="D316" s="435"/>
      <c r="E316" s="101"/>
      <c r="F316" s="394"/>
      <c r="G316" s="394"/>
      <c r="H316" s="147"/>
      <c r="I316" s="147"/>
      <c r="J316" s="147"/>
    </row>
    <row r="317" spans="1:10" s="3" customFormat="1" ht="13" x14ac:dyDescent="0.25">
      <c r="A317" s="72" t="s">
        <v>152</v>
      </c>
      <c r="B317" s="24" t="s">
        <v>65</v>
      </c>
      <c r="C317" s="24">
        <v>93870</v>
      </c>
      <c r="D317" s="353"/>
      <c r="E317" s="101"/>
      <c r="F317" s="361"/>
      <c r="G317" s="5"/>
      <c r="H317" s="147"/>
      <c r="I317" s="147"/>
      <c r="J317" s="147"/>
    </row>
    <row r="318" spans="1:10" s="265" customFormat="1" ht="13.5" customHeight="1" x14ac:dyDescent="0.25">
      <c r="A318" s="72" t="s">
        <v>244</v>
      </c>
      <c r="B318" s="24" t="s">
        <v>245</v>
      </c>
      <c r="C318" s="24">
        <v>11000</v>
      </c>
      <c r="D318" s="353"/>
      <c r="E318" s="101"/>
      <c r="F318" s="361"/>
      <c r="G318" s="5"/>
      <c r="H318" s="11"/>
      <c r="I318" s="11"/>
      <c r="J318" s="11"/>
    </row>
    <row r="319" spans="1:10" s="265" customFormat="1" ht="13.5" customHeight="1" x14ac:dyDescent="0.25">
      <c r="A319" s="72" t="s">
        <v>153</v>
      </c>
      <c r="B319" s="24" t="s">
        <v>70</v>
      </c>
      <c r="C319" s="24">
        <v>36180</v>
      </c>
      <c r="D319" s="435"/>
      <c r="E319" s="5"/>
      <c r="F319" s="361"/>
      <c r="G319" s="394"/>
      <c r="H319" s="11"/>
    </row>
    <row r="320" spans="1:10" s="101" customFormat="1" ht="13.5" customHeight="1" x14ac:dyDescent="0.25">
      <c r="A320" s="72" t="s">
        <v>155</v>
      </c>
      <c r="B320" s="23" t="s">
        <v>125</v>
      </c>
      <c r="C320" s="24">
        <v>43820</v>
      </c>
      <c r="D320" s="435"/>
      <c r="E320" s="353"/>
      <c r="F320" s="353"/>
      <c r="G320" s="394"/>
    </row>
    <row r="321" spans="1:256" s="72" customFormat="1" ht="13.5" customHeight="1" x14ac:dyDescent="0.25">
      <c r="A321" s="72" t="s">
        <v>699</v>
      </c>
      <c r="B321" s="43" t="s">
        <v>698</v>
      </c>
      <c r="C321" s="24">
        <v>140560</v>
      </c>
      <c r="D321" s="406"/>
      <c r="E321" s="353"/>
      <c r="F321" s="353"/>
      <c r="G321" s="405"/>
      <c r="H321" s="24"/>
      <c r="I321" s="12"/>
      <c r="J321" s="12"/>
    </row>
    <row r="322" spans="1:256" s="72" customFormat="1" ht="13.5" customHeight="1" thickBot="1" x14ac:dyDescent="0.3">
      <c r="B322" s="23"/>
      <c r="C322" s="23"/>
      <c r="D322" s="435"/>
      <c r="E322" s="353"/>
      <c r="F322" s="353"/>
      <c r="G322" s="394"/>
      <c r="H322" s="24"/>
      <c r="I322" s="12"/>
      <c r="J322" s="12"/>
    </row>
    <row r="323" spans="1:256" s="72" customFormat="1" ht="13.5" customHeight="1" thickBot="1" x14ac:dyDescent="0.3">
      <c r="A323" s="1096" t="s">
        <v>3</v>
      </c>
      <c r="B323" s="1097"/>
      <c r="C323" s="668">
        <f>C324+C326+C329+C333+C335</f>
        <v>2339750</v>
      </c>
      <c r="D323" s="435"/>
      <c r="E323" s="402"/>
      <c r="F323" s="402"/>
      <c r="G323" s="368"/>
      <c r="H323" s="24"/>
      <c r="I323" s="12"/>
      <c r="J323" s="12"/>
    </row>
    <row r="324" spans="1:256" s="72" customFormat="1" ht="13.5" customHeight="1" x14ac:dyDescent="0.25">
      <c r="A324" s="265" t="s">
        <v>110</v>
      </c>
      <c r="B324" s="298" t="s">
        <v>111</v>
      </c>
      <c r="C324" s="32">
        <f>SUM(C325:C325)</f>
        <v>106850</v>
      </c>
      <c r="D324" s="436"/>
      <c r="E324" s="357"/>
      <c r="F324" s="357"/>
      <c r="G324" s="358"/>
      <c r="H324" s="24"/>
      <c r="I324" s="12"/>
      <c r="J324" s="12"/>
    </row>
    <row r="325" spans="1:256" s="72" customFormat="1" ht="13.5" customHeight="1" x14ac:dyDescent="0.25">
      <c r="A325" s="72" t="s">
        <v>52</v>
      </c>
      <c r="B325" s="24" t="s">
        <v>15</v>
      </c>
      <c r="C325" s="24">
        <v>106850</v>
      </c>
      <c r="D325" s="435"/>
      <c r="E325" s="353"/>
      <c r="F325" s="353"/>
      <c r="G325" s="361"/>
      <c r="H325" s="24"/>
      <c r="I325" s="12"/>
      <c r="J325" s="12"/>
    </row>
    <row r="326" spans="1:256" s="72" customFormat="1" ht="13.5" customHeight="1" x14ac:dyDescent="0.25">
      <c r="A326" s="11" t="s">
        <v>120</v>
      </c>
      <c r="B326" s="31" t="s">
        <v>121</v>
      </c>
      <c r="C326" s="31">
        <f>SUM(C327:C328)</f>
        <v>78850</v>
      </c>
      <c r="D326" s="435"/>
      <c r="E326" s="353"/>
      <c r="F326" s="353"/>
      <c r="G326" s="361"/>
      <c r="H326" s="24"/>
    </row>
    <row r="327" spans="1:256" s="66" customFormat="1" ht="13.5" customHeight="1" x14ac:dyDescent="0.3">
      <c r="A327" s="59" t="s">
        <v>140</v>
      </c>
      <c r="B327" s="43" t="s">
        <v>141</v>
      </c>
      <c r="C327" s="60">
        <v>36000</v>
      </c>
      <c r="G327" s="60"/>
      <c r="H327" s="57"/>
      <c r="I327" s="57"/>
    </row>
    <row r="328" spans="1:256" s="72" customFormat="1" ht="13.5" customHeight="1" x14ac:dyDescent="0.25">
      <c r="A328" s="12" t="s">
        <v>136</v>
      </c>
      <c r="B328" s="12" t="s">
        <v>71</v>
      </c>
      <c r="C328" s="24">
        <v>42850</v>
      </c>
      <c r="D328" s="435"/>
      <c r="E328" s="353"/>
      <c r="F328" s="353"/>
      <c r="G328" s="361"/>
      <c r="H328" s="24"/>
    </row>
    <row r="329" spans="1:256" s="72" customFormat="1" ht="13.5" customHeight="1" x14ac:dyDescent="0.25">
      <c r="A329" s="265" t="s">
        <v>112</v>
      </c>
      <c r="B329" s="31" t="s">
        <v>157</v>
      </c>
      <c r="C329" s="31">
        <f>SUM(C330:C332)</f>
        <v>1157280</v>
      </c>
      <c r="D329" s="435"/>
      <c r="E329" s="353"/>
      <c r="F329" s="353"/>
      <c r="G329" s="361"/>
      <c r="H329" s="147"/>
      <c r="I329" s="147"/>
      <c r="J329" s="147"/>
      <c r="K329" s="147"/>
      <c r="L329" s="147"/>
      <c r="M329" s="147"/>
      <c r="N329" s="147"/>
      <c r="O329" s="147"/>
      <c r="P329" s="147"/>
      <c r="Q329" s="147"/>
      <c r="R329" s="147"/>
      <c r="S329" s="147"/>
      <c r="T329" s="147"/>
      <c r="U329" s="147"/>
      <c r="V329" s="147"/>
      <c r="W329" s="147"/>
      <c r="X329" s="147"/>
      <c r="Y329" s="147"/>
      <c r="Z329" s="147"/>
      <c r="AA329" s="147"/>
      <c r="AB329" s="147"/>
      <c r="AC329" s="147"/>
      <c r="AD329" s="147"/>
      <c r="AE329" s="147"/>
      <c r="AF329" s="147"/>
      <c r="AG329" s="147"/>
      <c r="AH329" s="147"/>
      <c r="AI329" s="147"/>
      <c r="AJ329" s="147"/>
      <c r="AK329" s="147"/>
      <c r="AL329" s="147"/>
      <c r="AM329" s="147"/>
      <c r="AN329" s="147"/>
      <c r="AO329" s="147"/>
      <c r="AP329" s="147"/>
      <c r="AQ329" s="147"/>
      <c r="AR329" s="147"/>
      <c r="AS329" s="147"/>
      <c r="AT329" s="147"/>
      <c r="AU329" s="147"/>
      <c r="AV329" s="147"/>
      <c r="AW329" s="147"/>
      <c r="AX329" s="147"/>
      <c r="AY329" s="147"/>
      <c r="AZ329" s="147"/>
      <c r="BA329" s="147"/>
      <c r="BB329" s="147"/>
      <c r="BC329" s="147"/>
      <c r="BD329" s="147"/>
      <c r="BE329" s="147"/>
      <c r="BF329" s="147"/>
      <c r="BG329" s="147"/>
      <c r="BH329" s="147"/>
      <c r="BI329" s="147"/>
      <c r="BJ329" s="147"/>
      <c r="BK329" s="147"/>
      <c r="BL329" s="147"/>
      <c r="BM329" s="147"/>
      <c r="BN329" s="147"/>
      <c r="BO329" s="147"/>
      <c r="BP329" s="147"/>
      <c r="BQ329" s="147"/>
      <c r="BR329" s="147"/>
      <c r="BS329" s="147"/>
      <c r="BT329" s="147"/>
      <c r="BU329" s="147"/>
      <c r="BV329" s="147"/>
      <c r="BW329" s="147"/>
      <c r="BX329" s="147"/>
      <c r="BY329" s="147"/>
      <c r="BZ329" s="147"/>
      <c r="CA329" s="147"/>
      <c r="CB329" s="147"/>
      <c r="CC329" s="147"/>
      <c r="CD329" s="147"/>
      <c r="CE329" s="147"/>
      <c r="CF329" s="147"/>
      <c r="CG329" s="147"/>
      <c r="CH329" s="147"/>
      <c r="CI329" s="147"/>
      <c r="CJ329" s="147"/>
      <c r="CK329" s="147"/>
      <c r="CL329" s="147"/>
      <c r="CM329" s="147"/>
      <c r="CN329" s="147"/>
      <c r="CO329" s="147"/>
      <c r="CP329" s="147"/>
      <c r="CQ329" s="147"/>
      <c r="CR329" s="147"/>
      <c r="CS329" s="147"/>
      <c r="CT329" s="147"/>
      <c r="CU329" s="147"/>
      <c r="CV329" s="147"/>
      <c r="CW329" s="147"/>
      <c r="CX329" s="147"/>
      <c r="CY329" s="147"/>
      <c r="CZ329" s="147"/>
      <c r="DA329" s="147"/>
      <c r="DB329" s="147"/>
      <c r="DC329" s="147"/>
      <c r="DD329" s="147"/>
      <c r="DE329" s="147"/>
      <c r="DF329" s="147"/>
      <c r="DG329" s="147"/>
      <c r="DH329" s="147"/>
      <c r="DI329" s="147"/>
      <c r="DJ329" s="147"/>
      <c r="DK329" s="147"/>
      <c r="DL329" s="147"/>
      <c r="DM329" s="147"/>
      <c r="DN329" s="147"/>
      <c r="DO329" s="147"/>
      <c r="DP329" s="147"/>
      <c r="DQ329" s="147"/>
      <c r="DR329" s="147"/>
      <c r="DS329" s="147"/>
      <c r="DT329" s="147"/>
      <c r="DU329" s="147"/>
      <c r="DV329" s="147"/>
      <c r="DW329" s="147"/>
      <c r="DX329" s="147"/>
      <c r="DY329" s="147"/>
      <c r="DZ329" s="147"/>
      <c r="EA329" s="147"/>
      <c r="EB329" s="147"/>
      <c r="EC329" s="147"/>
      <c r="ED329" s="147"/>
      <c r="EE329" s="147"/>
      <c r="EF329" s="147"/>
      <c r="EG329" s="147"/>
      <c r="EH329" s="147"/>
      <c r="EI329" s="147"/>
      <c r="EJ329" s="147"/>
      <c r="EK329" s="147"/>
      <c r="EL329" s="147"/>
      <c r="EM329" s="147"/>
      <c r="EN329" s="147"/>
      <c r="EO329" s="147"/>
      <c r="EP329" s="147"/>
      <c r="EQ329" s="147"/>
      <c r="ER329" s="147"/>
      <c r="ES329" s="147"/>
      <c r="ET329" s="147"/>
      <c r="EU329" s="147"/>
      <c r="EV329" s="147"/>
      <c r="EW329" s="147"/>
      <c r="EX329" s="147"/>
      <c r="EY329" s="147"/>
      <c r="EZ329" s="147"/>
      <c r="FA329" s="147"/>
      <c r="FB329" s="147"/>
      <c r="FC329" s="147"/>
      <c r="FD329" s="147"/>
      <c r="FE329" s="147"/>
      <c r="FF329" s="147"/>
      <c r="FG329" s="147"/>
      <c r="FH329" s="147"/>
      <c r="FI329" s="147"/>
      <c r="FJ329" s="147"/>
      <c r="FK329" s="147"/>
      <c r="FL329" s="147"/>
      <c r="FM329" s="147"/>
      <c r="FN329" s="147"/>
      <c r="FO329" s="147"/>
      <c r="FP329" s="147"/>
      <c r="FQ329" s="147"/>
      <c r="FR329" s="147"/>
      <c r="FS329" s="147"/>
      <c r="FT329" s="147"/>
      <c r="FU329" s="147"/>
      <c r="FV329" s="147"/>
      <c r="FW329" s="147"/>
      <c r="FX329" s="147"/>
      <c r="FY329" s="147"/>
      <c r="FZ329" s="147"/>
      <c r="GA329" s="147"/>
      <c r="GB329" s="147"/>
      <c r="GC329" s="147"/>
      <c r="GD329" s="147"/>
      <c r="GE329" s="147"/>
      <c r="GF329" s="147"/>
      <c r="GG329" s="147"/>
      <c r="GH329" s="147"/>
      <c r="GI329" s="147"/>
      <c r="GJ329" s="147"/>
      <c r="GK329" s="147"/>
      <c r="GL329" s="147"/>
      <c r="GM329" s="147"/>
      <c r="GN329" s="147"/>
      <c r="GO329" s="147"/>
      <c r="GP329" s="147"/>
      <c r="GQ329" s="147"/>
      <c r="GR329" s="147"/>
      <c r="GS329" s="147"/>
      <c r="GT329" s="147"/>
      <c r="GU329" s="147"/>
      <c r="GV329" s="147"/>
      <c r="GW329" s="147"/>
      <c r="GX329" s="147"/>
      <c r="GY329" s="147"/>
      <c r="GZ329" s="147"/>
      <c r="HA329" s="147"/>
      <c r="HB329" s="147"/>
      <c r="HC329" s="147"/>
      <c r="HD329" s="147"/>
      <c r="HE329" s="147"/>
      <c r="HF329" s="147"/>
      <c r="HG329" s="147"/>
      <c r="HH329" s="147"/>
      <c r="HI329" s="147"/>
      <c r="HJ329" s="147"/>
      <c r="HK329" s="147"/>
      <c r="HL329" s="147"/>
      <c r="HM329" s="147"/>
      <c r="HN329" s="147"/>
      <c r="HO329" s="147"/>
      <c r="HP329" s="147"/>
      <c r="HQ329" s="147"/>
      <c r="HR329" s="147"/>
      <c r="HS329" s="147"/>
      <c r="HT329" s="147"/>
      <c r="HU329" s="147"/>
      <c r="HV329" s="147"/>
      <c r="HW329" s="147"/>
      <c r="HX329" s="147"/>
      <c r="HY329" s="147"/>
      <c r="HZ329" s="147"/>
      <c r="IA329" s="147"/>
      <c r="IB329" s="147"/>
      <c r="IC329" s="147"/>
      <c r="ID329" s="147"/>
      <c r="IE329" s="147"/>
      <c r="IF329" s="147"/>
      <c r="IG329" s="147"/>
      <c r="IH329" s="147"/>
      <c r="II329" s="147"/>
      <c r="IJ329" s="147"/>
      <c r="IK329" s="147"/>
      <c r="IL329" s="147"/>
      <c r="IM329" s="147"/>
      <c r="IN329" s="147"/>
      <c r="IO329" s="147"/>
      <c r="IP329" s="147"/>
      <c r="IQ329" s="147"/>
      <c r="IR329" s="147"/>
      <c r="IS329" s="147"/>
      <c r="IT329" s="147"/>
      <c r="IU329" s="147"/>
      <c r="IV329" s="147"/>
    </row>
    <row r="330" spans="1:256" s="72" customFormat="1" ht="13.5" customHeight="1" x14ac:dyDescent="0.25">
      <c r="A330" s="72" t="s">
        <v>138</v>
      </c>
      <c r="B330" s="59" t="s">
        <v>878</v>
      </c>
      <c r="C330" s="24">
        <v>7480</v>
      </c>
      <c r="D330" s="435"/>
      <c r="E330" s="353"/>
      <c r="F330" s="353"/>
      <c r="G330" s="361"/>
      <c r="H330" s="12"/>
      <c r="I330" s="12"/>
      <c r="J330" s="12"/>
    </row>
    <row r="331" spans="1:256" s="72" customFormat="1" ht="13.5" customHeight="1" x14ac:dyDescent="0.25">
      <c r="A331" s="72" t="s">
        <v>49</v>
      </c>
      <c r="B331" s="24" t="s">
        <v>87</v>
      </c>
      <c r="C331" s="24">
        <v>874800</v>
      </c>
      <c r="E331" s="427"/>
      <c r="F331" s="358"/>
      <c r="H331" s="12"/>
      <c r="I331" s="12"/>
      <c r="J331" s="12"/>
    </row>
    <row r="332" spans="1:256" s="72" customFormat="1" ht="13.5" customHeight="1" x14ac:dyDescent="0.25">
      <c r="A332" s="72" t="s">
        <v>889</v>
      </c>
      <c r="B332" s="43" t="s">
        <v>877</v>
      </c>
      <c r="C332" s="24">
        <v>275000</v>
      </c>
      <c r="D332" s="363"/>
      <c r="E332" s="427"/>
      <c r="F332" s="352"/>
      <c r="G332" s="363"/>
      <c r="H332" s="12"/>
      <c r="J332" s="23"/>
    </row>
    <row r="333" spans="1:256" s="72" customFormat="1" ht="13.5" customHeight="1" x14ac:dyDescent="0.25">
      <c r="A333" s="11" t="s">
        <v>113</v>
      </c>
      <c r="B333" s="31" t="s">
        <v>114</v>
      </c>
      <c r="C333" s="31">
        <f>SUM(C334)</f>
        <v>81170</v>
      </c>
      <c r="E333" s="353"/>
      <c r="F333" s="358"/>
      <c r="H333" s="12"/>
      <c r="I333" s="12"/>
      <c r="J333" s="12"/>
    </row>
    <row r="334" spans="1:256" s="11" customFormat="1" ht="13.5" customHeight="1" x14ac:dyDescent="0.25">
      <c r="A334" s="12" t="s">
        <v>164</v>
      </c>
      <c r="B334" s="12" t="s">
        <v>74</v>
      </c>
      <c r="C334" s="24">
        <v>81170</v>
      </c>
      <c r="D334" s="72"/>
      <c r="E334" s="147"/>
      <c r="F334" s="72"/>
      <c r="G334" s="147"/>
    </row>
    <row r="335" spans="1:256" s="72" customFormat="1" ht="13.5" customHeight="1" x14ac:dyDescent="0.25">
      <c r="A335" s="265" t="s">
        <v>115</v>
      </c>
      <c r="B335" s="31" t="s">
        <v>8</v>
      </c>
      <c r="C335" s="31">
        <f>SUM(C336:C339)</f>
        <v>915600</v>
      </c>
      <c r="E335" s="353"/>
      <c r="F335" s="435"/>
      <c r="G335" s="361"/>
      <c r="H335" s="12"/>
      <c r="I335" s="12"/>
      <c r="J335" s="24"/>
    </row>
    <row r="336" spans="1:256" s="72" customFormat="1" ht="13.5" customHeight="1" x14ac:dyDescent="0.25">
      <c r="A336" s="72" t="s">
        <v>92</v>
      </c>
      <c r="B336" s="24" t="s">
        <v>8</v>
      </c>
      <c r="C336" s="24">
        <f>328100+100000</f>
        <v>428100</v>
      </c>
      <c r="E336" s="24"/>
      <c r="F336" s="394"/>
      <c r="G336" s="361"/>
      <c r="H336" s="12"/>
      <c r="I336" s="12"/>
      <c r="J336" s="12"/>
    </row>
    <row r="337" spans="1:256" s="147" customFormat="1" ht="13.5" customHeight="1" x14ac:dyDescent="0.25">
      <c r="A337" s="72" t="s">
        <v>181</v>
      </c>
      <c r="B337" s="24" t="s">
        <v>50</v>
      </c>
      <c r="C337" s="24">
        <v>7500</v>
      </c>
      <c r="D337" s="72"/>
      <c r="E337" s="353"/>
      <c r="F337" s="435"/>
      <c r="G337" s="361"/>
    </row>
    <row r="338" spans="1:256" s="351" customFormat="1" ht="13.5" customHeight="1" x14ac:dyDescent="0.25">
      <c r="A338" s="72" t="s">
        <v>222</v>
      </c>
      <c r="B338" s="12" t="s">
        <v>221</v>
      </c>
      <c r="C338" s="24">
        <v>100000</v>
      </c>
      <c r="D338" s="11"/>
      <c r="E338" s="353"/>
      <c r="F338" s="369"/>
      <c r="G338" s="361"/>
    </row>
    <row r="339" spans="1:256" s="147" customFormat="1" ht="13.5" customHeight="1" x14ac:dyDescent="0.25">
      <c r="A339" s="72" t="s">
        <v>90</v>
      </c>
      <c r="B339" s="24" t="s">
        <v>7</v>
      </c>
      <c r="C339" s="24">
        <v>380000</v>
      </c>
      <c r="D339" s="72"/>
      <c r="E339" s="353"/>
      <c r="F339" s="72"/>
      <c r="G339" s="361"/>
    </row>
    <row r="340" spans="1:256" s="147" customFormat="1" ht="13.5" customHeight="1" thickBot="1" x14ac:dyDescent="0.3">
      <c r="A340" s="72"/>
      <c r="B340" s="24"/>
      <c r="C340" s="24"/>
      <c r="D340" s="72"/>
      <c r="E340" s="353"/>
      <c r="F340" s="394"/>
      <c r="G340" s="361"/>
    </row>
    <row r="341" spans="1:256" ht="13.5" customHeight="1" thickBot="1" x14ac:dyDescent="0.3">
      <c r="A341" s="1115" t="s">
        <v>5</v>
      </c>
      <c r="B341" s="1116"/>
      <c r="C341" s="669">
        <f>C342</f>
        <v>2824000</v>
      </c>
      <c r="D341" s="147"/>
      <c r="E341" s="31"/>
      <c r="F341" s="21"/>
      <c r="G341" s="355"/>
    </row>
    <row r="342" spans="1:256" s="345" customFormat="1" ht="13.5" customHeight="1" x14ac:dyDescent="0.25">
      <c r="A342" s="11" t="s">
        <v>128</v>
      </c>
      <c r="B342" s="298" t="s">
        <v>129</v>
      </c>
      <c r="C342" s="32">
        <f>SUM(C343)</f>
        <v>2824000</v>
      </c>
      <c r="D342" s="351"/>
      <c r="E342" s="96"/>
      <c r="F342" s="237"/>
      <c r="G342" s="358"/>
    </row>
    <row r="343" spans="1:256" s="5" customFormat="1" ht="13" x14ac:dyDescent="0.25">
      <c r="A343" s="12" t="s">
        <v>240</v>
      </c>
      <c r="B343" s="72" t="s">
        <v>241</v>
      </c>
      <c r="C343" s="24">
        <v>2824000</v>
      </c>
      <c r="D343" s="147"/>
      <c r="E343" s="24"/>
      <c r="F343" s="12"/>
      <c r="G343" s="363"/>
      <c r="H343" s="147"/>
      <c r="I343" s="147"/>
      <c r="J343" s="147"/>
    </row>
    <row r="344" spans="1:256" s="5" customFormat="1" ht="13.5" thickBot="1" x14ac:dyDescent="0.3">
      <c r="A344" s="12"/>
      <c r="B344" s="12"/>
      <c r="C344" s="23"/>
      <c r="D344" s="96"/>
      <c r="E344" s="24"/>
      <c r="F344" s="232"/>
      <c r="G344" s="363"/>
      <c r="H344" s="147"/>
      <c r="I344" s="147"/>
      <c r="J344" s="147"/>
    </row>
    <row r="345" spans="1:256" s="5" customFormat="1" ht="13.5" thickBot="1" x14ac:dyDescent="0.3">
      <c r="A345" s="1100" t="s">
        <v>4</v>
      </c>
      <c r="B345" s="1101"/>
      <c r="C345" s="670">
        <f>C346+C351</f>
        <v>161210</v>
      </c>
      <c r="D345" s="18"/>
      <c r="E345" s="28"/>
      <c r="F345" s="437"/>
      <c r="G345" s="438"/>
      <c r="H345" s="147"/>
      <c r="I345" s="147"/>
      <c r="J345" s="147"/>
    </row>
    <row r="346" spans="1:256" s="5" customFormat="1" ht="13" x14ac:dyDescent="0.25">
      <c r="A346" s="265" t="s">
        <v>116</v>
      </c>
      <c r="B346" s="298" t="s">
        <v>117</v>
      </c>
      <c r="C346" s="32">
        <f>SUM(C347:C350)</f>
        <v>144910</v>
      </c>
      <c r="D346" s="348"/>
      <c r="E346" s="96"/>
      <c r="F346" s="345"/>
      <c r="G346" s="439"/>
    </row>
    <row r="347" spans="1:256" s="5" customFormat="1" ht="13" x14ac:dyDescent="0.25">
      <c r="A347" s="72" t="s">
        <v>91</v>
      </c>
      <c r="B347" s="72" t="s">
        <v>139</v>
      </c>
      <c r="C347" s="24">
        <v>66000</v>
      </c>
      <c r="D347" s="353"/>
      <c r="E347" s="403"/>
      <c r="F347" s="361"/>
      <c r="G347" s="410"/>
    </row>
    <row r="348" spans="1:256" s="1" customFormat="1" ht="13.5" customHeight="1" x14ac:dyDescent="0.25">
      <c r="A348" s="72" t="s">
        <v>57</v>
      </c>
      <c r="B348" s="72" t="s">
        <v>58</v>
      </c>
      <c r="C348" s="24">
        <v>20000</v>
      </c>
      <c r="D348" s="352"/>
      <c r="E348" s="352"/>
      <c r="F348" s="352"/>
      <c r="G348" s="410"/>
    </row>
    <row r="349" spans="1:256" s="1" customFormat="1" ht="13.5" customHeight="1" x14ac:dyDescent="0.25">
      <c r="A349" s="72" t="s">
        <v>162</v>
      </c>
      <c r="B349" s="72" t="s">
        <v>163</v>
      </c>
      <c r="C349" s="24">
        <v>22110</v>
      </c>
      <c r="D349" s="435"/>
      <c r="E349" s="353"/>
      <c r="F349" s="353"/>
      <c r="G349" s="394"/>
    </row>
    <row r="350" spans="1:256" s="5" customFormat="1" ht="13" x14ac:dyDescent="0.3">
      <c r="A350" s="72" t="s">
        <v>814</v>
      </c>
      <c r="B350" s="23" t="s">
        <v>815</v>
      </c>
      <c r="C350" s="55">
        <v>36800</v>
      </c>
      <c r="D350" s="212"/>
      <c r="E350" s="212"/>
      <c r="F350" s="212"/>
      <c r="G350" s="212"/>
      <c r="H350" s="212"/>
      <c r="I350" s="212"/>
      <c r="J350" s="212"/>
      <c r="K350" s="212"/>
      <c r="L350" s="212"/>
      <c r="M350" s="212"/>
      <c r="N350" s="212"/>
      <c r="O350" s="212"/>
      <c r="P350" s="212"/>
      <c r="Q350" s="212"/>
      <c r="R350" s="212"/>
      <c r="S350" s="212"/>
      <c r="T350" s="212"/>
      <c r="U350" s="212"/>
      <c r="V350" s="212"/>
      <c r="W350" s="212"/>
      <c r="X350" s="212"/>
      <c r="Y350" s="212"/>
      <c r="Z350" s="212"/>
      <c r="AA350" s="212"/>
      <c r="AB350" s="212"/>
      <c r="AC350" s="212"/>
      <c r="AD350" s="212"/>
      <c r="AE350" s="212"/>
      <c r="AF350" s="212"/>
      <c r="AG350" s="212"/>
      <c r="AH350" s="212"/>
      <c r="AI350" s="212"/>
      <c r="AJ350" s="212"/>
      <c r="AK350" s="212"/>
      <c r="AL350" s="212"/>
      <c r="AM350" s="212"/>
      <c r="AN350" s="212"/>
      <c r="AO350" s="212"/>
      <c r="AP350" s="212"/>
      <c r="AQ350" s="212"/>
      <c r="AR350" s="212"/>
      <c r="AS350" s="212"/>
      <c r="AT350" s="212"/>
      <c r="AU350" s="212"/>
      <c r="AV350" s="212"/>
      <c r="AW350" s="212"/>
      <c r="AX350" s="212"/>
      <c r="AY350" s="212"/>
      <c r="AZ350" s="212"/>
      <c r="BA350" s="212"/>
      <c r="BB350" s="212"/>
      <c r="BC350" s="212"/>
      <c r="BD350" s="212"/>
      <c r="BE350" s="212"/>
      <c r="BF350" s="212"/>
      <c r="BG350" s="212"/>
      <c r="BH350" s="212"/>
      <c r="BI350" s="212"/>
      <c r="BJ350" s="212"/>
      <c r="BK350" s="212"/>
      <c r="BL350" s="212"/>
      <c r="BM350" s="212"/>
      <c r="BN350" s="212"/>
      <c r="BO350" s="212"/>
      <c r="BP350" s="212"/>
      <c r="BQ350" s="212"/>
      <c r="BR350" s="212"/>
      <c r="BS350" s="212"/>
      <c r="BT350" s="212"/>
      <c r="BU350" s="212"/>
      <c r="BV350" s="212"/>
      <c r="BW350" s="212"/>
      <c r="BX350" s="212"/>
      <c r="BY350" s="212"/>
      <c r="BZ350" s="212"/>
      <c r="CA350" s="212"/>
      <c r="CB350" s="212"/>
      <c r="CC350" s="212"/>
      <c r="CD350" s="212"/>
      <c r="CE350" s="212"/>
      <c r="CF350" s="212"/>
      <c r="CG350" s="212"/>
      <c r="CH350" s="212"/>
      <c r="CI350" s="212"/>
      <c r="CJ350" s="212"/>
      <c r="CK350" s="212"/>
      <c r="CL350" s="212"/>
      <c r="CM350" s="212"/>
      <c r="CN350" s="212"/>
      <c r="CO350" s="212"/>
      <c r="CP350" s="212"/>
      <c r="CQ350" s="212"/>
      <c r="CR350" s="212"/>
      <c r="CS350" s="212"/>
      <c r="CT350" s="212"/>
      <c r="CU350" s="212"/>
      <c r="CV350" s="212"/>
      <c r="CW350" s="212"/>
      <c r="CX350" s="212"/>
      <c r="CY350" s="212"/>
      <c r="CZ350" s="212"/>
      <c r="DA350" s="212"/>
      <c r="DB350" s="212"/>
      <c r="DC350" s="212"/>
      <c r="DD350" s="212"/>
      <c r="DE350" s="212"/>
      <c r="DF350" s="212"/>
      <c r="DG350" s="212"/>
      <c r="DH350" s="212"/>
      <c r="DI350" s="212"/>
      <c r="DJ350" s="212"/>
      <c r="DK350" s="212"/>
      <c r="DL350" s="212"/>
      <c r="DM350" s="212"/>
      <c r="DN350" s="212"/>
      <c r="DO350" s="212"/>
      <c r="DP350" s="212"/>
      <c r="DQ350" s="212"/>
      <c r="DR350" s="212"/>
      <c r="DS350" s="212"/>
      <c r="DT350" s="212"/>
      <c r="DU350" s="212"/>
      <c r="DV350" s="212"/>
      <c r="DW350" s="212"/>
      <c r="DX350" s="212"/>
      <c r="DY350" s="212"/>
      <c r="DZ350" s="212"/>
      <c r="EA350" s="212"/>
      <c r="EB350" s="212"/>
      <c r="EC350" s="212"/>
      <c r="ED350" s="212"/>
      <c r="EE350" s="212"/>
      <c r="EF350" s="212"/>
      <c r="EG350" s="212"/>
      <c r="EH350" s="212"/>
      <c r="EI350" s="212"/>
      <c r="EJ350" s="212"/>
      <c r="EK350" s="212"/>
      <c r="EL350" s="212"/>
      <c r="EM350" s="212"/>
      <c r="EN350" s="212"/>
      <c r="EO350" s="212"/>
      <c r="EP350" s="212"/>
      <c r="EQ350" s="212"/>
      <c r="ER350" s="212"/>
      <c r="ES350" s="212"/>
      <c r="ET350" s="212"/>
      <c r="EU350" s="212"/>
      <c r="EV350" s="212"/>
      <c r="EW350" s="212"/>
      <c r="EX350" s="212"/>
      <c r="EY350" s="212"/>
      <c r="EZ350" s="212"/>
      <c r="FA350" s="212"/>
      <c r="FB350" s="212"/>
      <c r="FC350" s="212"/>
      <c r="FD350" s="212"/>
      <c r="FE350" s="212"/>
      <c r="FF350" s="212"/>
      <c r="FG350" s="212"/>
      <c r="FH350" s="212"/>
      <c r="FI350" s="212"/>
      <c r="FJ350" s="212"/>
      <c r="FK350" s="212"/>
      <c r="FL350" s="212"/>
      <c r="FM350" s="212"/>
      <c r="FN350" s="212"/>
      <c r="FO350" s="212"/>
      <c r="FP350" s="212"/>
      <c r="FQ350" s="212"/>
      <c r="FR350" s="212"/>
      <c r="FS350" s="212"/>
      <c r="FT350" s="212"/>
      <c r="FU350" s="212"/>
      <c r="FV350" s="212"/>
      <c r="FW350" s="212"/>
      <c r="FX350" s="212"/>
      <c r="FY350" s="212"/>
      <c r="FZ350" s="212"/>
      <c r="GA350" s="212"/>
      <c r="GB350" s="212"/>
      <c r="GC350" s="212"/>
      <c r="GD350" s="212"/>
      <c r="GE350" s="212"/>
      <c r="GF350" s="212"/>
      <c r="GG350" s="212"/>
      <c r="GH350" s="212"/>
      <c r="GI350" s="212"/>
      <c r="GJ350" s="212"/>
      <c r="GK350" s="212"/>
      <c r="GL350" s="212"/>
      <c r="GM350" s="212"/>
      <c r="GN350" s="212"/>
      <c r="GO350" s="212"/>
      <c r="GP350" s="212"/>
      <c r="GQ350" s="212"/>
      <c r="GR350" s="212"/>
      <c r="GS350" s="212"/>
      <c r="GT350" s="212"/>
      <c r="GU350" s="212"/>
      <c r="GV350" s="212"/>
      <c r="GW350" s="212"/>
      <c r="GX350" s="212"/>
      <c r="GY350" s="212"/>
      <c r="GZ350" s="212"/>
      <c r="HA350" s="212"/>
      <c r="HB350" s="212"/>
      <c r="HC350" s="212"/>
      <c r="HD350" s="212"/>
      <c r="HE350" s="212"/>
      <c r="HF350" s="212"/>
      <c r="HG350" s="212"/>
      <c r="HH350" s="212"/>
      <c r="HI350" s="212"/>
      <c r="HJ350" s="212"/>
      <c r="HK350" s="212"/>
      <c r="HL350" s="212"/>
      <c r="HM350" s="212"/>
      <c r="HN350" s="212"/>
      <c r="HO350" s="212"/>
      <c r="HP350" s="212"/>
      <c r="HQ350" s="212"/>
      <c r="HR350" s="212"/>
      <c r="HS350" s="212"/>
      <c r="HT350" s="212"/>
      <c r="HU350" s="212"/>
      <c r="HV350" s="212"/>
      <c r="HW350" s="212"/>
      <c r="HX350" s="212"/>
      <c r="HY350" s="212"/>
      <c r="HZ350" s="212"/>
      <c r="IA350" s="212"/>
      <c r="IB350" s="212"/>
      <c r="IC350" s="212"/>
      <c r="ID350" s="212"/>
      <c r="IE350" s="212"/>
      <c r="IF350" s="212"/>
      <c r="IG350" s="212"/>
      <c r="IH350" s="212"/>
      <c r="II350" s="212"/>
      <c r="IJ350" s="212"/>
      <c r="IK350" s="212"/>
      <c r="IL350" s="212"/>
      <c r="IM350" s="212"/>
      <c r="IN350" s="212"/>
      <c r="IO350" s="212"/>
      <c r="IP350" s="212"/>
      <c r="IQ350" s="212"/>
      <c r="IR350" s="212"/>
      <c r="IS350" s="212"/>
      <c r="IT350" s="212"/>
      <c r="IU350" s="212"/>
      <c r="IV350" s="212"/>
    </row>
    <row r="351" spans="1:256" s="196" customFormat="1" ht="13.5" customHeight="1" x14ac:dyDescent="0.25">
      <c r="A351" s="265" t="s">
        <v>166</v>
      </c>
      <c r="B351" s="25" t="s">
        <v>134</v>
      </c>
      <c r="C351" s="31">
        <f>SUM(C352)</f>
        <v>16300</v>
      </c>
      <c r="D351" s="353"/>
      <c r="E351" s="353"/>
      <c r="F351" s="353"/>
      <c r="G351" s="394"/>
    </row>
    <row r="352" spans="1:256" s="196" customFormat="1" ht="13.5" customHeight="1" x14ac:dyDescent="0.25">
      <c r="A352" s="72" t="s">
        <v>167</v>
      </c>
      <c r="B352" s="23" t="s">
        <v>51</v>
      </c>
      <c r="C352" s="24">
        <v>16300</v>
      </c>
      <c r="D352" s="435"/>
      <c r="E352" s="353"/>
      <c r="F352" s="353"/>
      <c r="G352" s="394"/>
    </row>
    <row r="353" spans="1:7" s="1" customFormat="1" ht="13.5" customHeight="1" x14ac:dyDescent="0.25">
      <c r="A353" s="12"/>
      <c r="B353" s="12"/>
      <c r="C353" s="24"/>
      <c r="D353" s="22"/>
      <c r="E353" s="440"/>
      <c r="F353" s="428"/>
      <c r="G353" s="429"/>
    </row>
    <row r="354" spans="1:7" s="1" customFormat="1" ht="13.5" customHeight="1" thickBot="1" x14ac:dyDescent="0.3">
      <c r="A354" s="12"/>
      <c r="B354" s="12"/>
      <c r="C354" s="24"/>
      <c r="D354" s="391"/>
      <c r="E354" s="390"/>
      <c r="F354" s="233"/>
      <c r="G354" s="418"/>
    </row>
    <row r="355" spans="1:7" s="1" customFormat="1" ht="13.5" customHeight="1" x14ac:dyDescent="0.25">
      <c r="A355" s="648" t="s">
        <v>647</v>
      </c>
      <c r="B355" s="649"/>
      <c r="C355" s="690"/>
      <c r="D355" s="692" t="s">
        <v>6</v>
      </c>
      <c r="E355" s="911">
        <v>1506</v>
      </c>
      <c r="F355" s="419"/>
      <c r="G355" s="405"/>
    </row>
    <row r="356" spans="1:7" s="1" customFormat="1" ht="13.5" customHeight="1" thickBot="1" x14ac:dyDescent="0.3">
      <c r="A356" s="652"/>
      <c r="B356" s="653"/>
      <c r="C356" s="693"/>
      <c r="D356" s="695"/>
      <c r="E356" s="696"/>
      <c r="F356" s="419"/>
      <c r="G356" s="405"/>
    </row>
    <row r="357" spans="1:7" s="71" customFormat="1" ht="13.5" customHeight="1" x14ac:dyDescent="0.25">
      <c r="A357" s="1123" t="s">
        <v>932</v>
      </c>
      <c r="B357" s="1124"/>
      <c r="C357" s="1124"/>
      <c r="D357" s="1124"/>
      <c r="E357" s="1125"/>
      <c r="F357" s="419"/>
      <c r="G357" s="405"/>
    </row>
    <row r="358" spans="1:7" s="71" customFormat="1" ht="13.5" customHeight="1" x14ac:dyDescent="0.25">
      <c r="A358" s="1126"/>
      <c r="B358" s="1127"/>
      <c r="C358" s="1127"/>
      <c r="D358" s="1127"/>
      <c r="E358" s="1128"/>
      <c r="F358" s="419"/>
      <c r="G358" s="405"/>
    </row>
    <row r="359" spans="1:7" s="147" customFormat="1" ht="13.5" customHeight="1" x14ac:dyDescent="0.25">
      <c r="A359" s="1126"/>
      <c r="B359" s="1127"/>
      <c r="C359" s="1127"/>
      <c r="D359" s="1127"/>
      <c r="E359" s="1128"/>
      <c r="F359" s="419"/>
      <c r="G359" s="405"/>
    </row>
    <row r="360" spans="1:7" s="12" customFormat="1" ht="13.5" customHeight="1" x14ac:dyDescent="0.25">
      <c r="A360" s="1126"/>
      <c r="B360" s="1127"/>
      <c r="C360" s="1127"/>
      <c r="D360" s="1127"/>
      <c r="E360" s="1128"/>
      <c r="F360" s="419"/>
      <c r="G360" s="405"/>
    </row>
    <row r="361" spans="1:7" s="196" customFormat="1" ht="12.75" customHeight="1" thickBot="1" x14ac:dyDescent="0.3">
      <c r="A361" s="1126"/>
      <c r="B361" s="1127"/>
      <c r="C361" s="1127"/>
      <c r="D361" s="1127"/>
      <c r="E361" s="1128"/>
      <c r="F361" s="360"/>
      <c r="G361" s="361"/>
    </row>
    <row r="362" spans="1:7" s="196" customFormat="1" ht="14.25" hidden="1" customHeight="1" thickBot="1" x14ac:dyDescent="0.3">
      <c r="A362" s="1126"/>
      <c r="B362" s="1127"/>
      <c r="C362" s="1127"/>
      <c r="D362" s="1127"/>
      <c r="E362" s="1128"/>
      <c r="F362" s="360"/>
      <c r="G362" s="361"/>
    </row>
    <row r="363" spans="1:7" s="196" customFormat="1" ht="13.5" customHeight="1" x14ac:dyDescent="0.25">
      <c r="A363" s="119" t="s">
        <v>1029</v>
      </c>
      <c r="B363" s="174"/>
      <c r="C363" s="420"/>
      <c r="D363" s="421"/>
      <c r="E363" s="422"/>
      <c r="F363" s="428"/>
      <c r="G363" s="429"/>
    </row>
    <row r="364" spans="1:7" s="161" customFormat="1" ht="13.5" customHeight="1" x14ac:dyDescent="0.25">
      <c r="A364" s="41" t="s">
        <v>634</v>
      </c>
      <c r="B364" s="12"/>
      <c r="C364" s="24"/>
      <c r="D364" s="22"/>
      <c r="E364" s="320"/>
      <c r="F364" s="428"/>
      <c r="G364" s="429"/>
    </row>
    <row r="365" spans="1:7" ht="13.5" customHeight="1" x14ac:dyDescent="0.25">
      <c r="A365" s="41" t="s">
        <v>1041</v>
      </c>
      <c r="B365" s="41"/>
      <c r="C365" s="24"/>
      <c r="D365" s="22"/>
      <c r="E365" s="320"/>
      <c r="F365" s="227"/>
      <c r="G365" s="361"/>
    </row>
    <row r="366" spans="1:7" s="345" customFormat="1" ht="13.5" customHeight="1" thickBot="1" x14ac:dyDescent="0.3">
      <c r="A366" s="76" t="s">
        <v>11</v>
      </c>
      <c r="B366" s="140"/>
      <c r="C366" s="377"/>
      <c r="D366" s="396"/>
      <c r="E366" s="378"/>
      <c r="F366" s="428"/>
      <c r="G366" s="429"/>
    </row>
    <row r="367" spans="1:7" s="12" customFormat="1" ht="13.5" customHeight="1" thickBot="1" x14ac:dyDescent="0.3">
      <c r="A367" s="762" t="s">
        <v>0</v>
      </c>
      <c r="B367" s="762"/>
      <c r="C367" s="764"/>
      <c r="D367" s="778"/>
      <c r="E367" s="665">
        <f>+C369+C393+C408</f>
        <v>4740820</v>
      </c>
      <c r="F367" s="441"/>
      <c r="G367" s="431"/>
    </row>
    <row r="368" spans="1:7" s="12" customFormat="1" ht="13.5" customHeight="1" thickBot="1" x14ac:dyDescent="0.3">
      <c r="C368" s="24"/>
      <c r="D368" s="391"/>
      <c r="E368" s="161"/>
      <c r="F368" s="344"/>
      <c r="G368" s="418"/>
    </row>
    <row r="369" spans="1:10" s="12" customFormat="1" ht="13.5" customHeight="1" thickBot="1" x14ac:dyDescent="0.3">
      <c r="A369" s="1104" t="s">
        <v>2</v>
      </c>
      <c r="B369" s="1105"/>
      <c r="C369" s="667">
        <f>C370+C372+C374+C376+C387+C379+C384</f>
        <v>1291800</v>
      </c>
      <c r="D369" s="18"/>
      <c r="E369" s="28"/>
      <c r="F369" s="344"/>
      <c r="G369" s="438"/>
    </row>
    <row r="370" spans="1:10" s="12" customFormat="1" ht="13.5" customHeight="1" x14ac:dyDescent="0.25">
      <c r="A370" s="11" t="s">
        <v>103</v>
      </c>
      <c r="B370" s="298" t="s">
        <v>104</v>
      </c>
      <c r="C370" s="32">
        <f>SUM(C371)</f>
        <v>62040</v>
      </c>
      <c r="D370" s="348"/>
      <c r="E370" s="345"/>
      <c r="F370" s="346"/>
      <c r="G370" s="439"/>
    </row>
    <row r="371" spans="1:10" s="3" customFormat="1" ht="13" x14ac:dyDescent="0.25">
      <c r="A371" s="12" t="s">
        <v>46</v>
      </c>
      <c r="B371" s="12" t="s">
        <v>45</v>
      </c>
      <c r="C371" s="24">
        <v>62040</v>
      </c>
      <c r="D371" s="12"/>
      <c r="E371" s="12"/>
      <c r="F371" s="361"/>
      <c r="G371" s="435"/>
    </row>
    <row r="372" spans="1:10" s="3" customFormat="1" ht="13" x14ac:dyDescent="0.25">
      <c r="A372" s="11" t="s">
        <v>199</v>
      </c>
      <c r="B372" s="11" t="s">
        <v>219</v>
      </c>
      <c r="C372" s="31">
        <f>SUM(C373)</f>
        <v>44350</v>
      </c>
      <c r="D372" s="12"/>
      <c r="E372" s="12"/>
      <c r="F372" s="403"/>
      <c r="G372" s="435"/>
      <c r="H372" s="443"/>
    </row>
    <row r="373" spans="1:10" s="3" customFormat="1" ht="13" x14ac:dyDescent="0.25">
      <c r="A373" s="12" t="s">
        <v>227</v>
      </c>
      <c r="B373" s="12" t="s">
        <v>226</v>
      </c>
      <c r="C373" s="24">
        <v>44350</v>
      </c>
      <c r="D373" s="12"/>
      <c r="E373" s="12"/>
      <c r="F373" s="403"/>
      <c r="G373" s="435"/>
      <c r="H373" s="443"/>
    </row>
    <row r="374" spans="1:10" s="3" customFormat="1" ht="13" x14ac:dyDescent="0.25">
      <c r="A374" s="11" t="s">
        <v>105</v>
      </c>
      <c r="B374" s="11" t="s">
        <v>106</v>
      </c>
      <c r="C374" s="31">
        <f>SUM(C375)</f>
        <v>311640</v>
      </c>
      <c r="D374" s="12"/>
      <c r="E374" s="12"/>
      <c r="F374" s="403"/>
      <c r="G374" s="435"/>
      <c r="H374" s="443"/>
    </row>
    <row r="375" spans="1:10" s="3" customFormat="1" ht="13" x14ac:dyDescent="0.25">
      <c r="A375" s="12" t="s">
        <v>86</v>
      </c>
      <c r="B375" s="72" t="s">
        <v>66</v>
      </c>
      <c r="C375" s="24">
        <v>311640</v>
      </c>
      <c r="F375" s="361"/>
      <c r="G375" s="443"/>
      <c r="H375" s="443"/>
    </row>
    <row r="376" spans="1:10" s="5" customFormat="1" ht="13" x14ac:dyDescent="0.25">
      <c r="A376" s="11" t="s">
        <v>107</v>
      </c>
      <c r="B376" s="265" t="s">
        <v>108</v>
      </c>
      <c r="C376" s="31">
        <f>SUM(C377:C378)</f>
        <v>91840</v>
      </c>
      <c r="D376" s="3"/>
      <c r="E376" s="3"/>
      <c r="F376" s="443"/>
      <c r="G376" s="442"/>
      <c r="H376" s="147"/>
    </row>
    <row r="377" spans="1:10" s="5" customFormat="1" ht="13" x14ac:dyDescent="0.25">
      <c r="A377" s="12" t="s">
        <v>47</v>
      </c>
      <c r="B377" s="23" t="s">
        <v>48</v>
      </c>
      <c r="C377" s="24">
        <v>33220</v>
      </c>
      <c r="D377" s="3"/>
      <c r="E377" s="3"/>
      <c r="F377" s="435"/>
      <c r="G377" s="353"/>
      <c r="H377" s="361"/>
      <c r="J377" s="147"/>
    </row>
    <row r="378" spans="1:10" s="3" customFormat="1" ht="13" x14ac:dyDescent="0.25">
      <c r="A378" s="12" t="s">
        <v>460</v>
      </c>
      <c r="B378" s="43" t="s">
        <v>461</v>
      </c>
      <c r="C378" s="24">
        <v>58620</v>
      </c>
      <c r="D378" s="404"/>
      <c r="E378" s="353"/>
      <c r="F378" s="353"/>
      <c r="G378" s="405"/>
      <c r="H378" s="443"/>
    </row>
    <row r="379" spans="1:10" s="3" customFormat="1" ht="13" x14ac:dyDescent="0.25">
      <c r="A379" s="265" t="s">
        <v>119</v>
      </c>
      <c r="B379" s="25" t="s">
        <v>109</v>
      </c>
      <c r="C379" s="31">
        <f>SUM(C380:C383)</f>
        <v>94500</v>
      </c>
      <c r="D379" s="435"/>
      <c r="E379" s="101"/>
      <c r="F379" s="394"/>
      <c r="G379" s="394"/>
    </row>
    <row r="380" spans="1:10" s="5" customFormat="1" ht="13" x14ac:dyDescent="0.25">
      <c r="A380" s="12" t="s">
        <v>697</v>
      </c>
      <c r="B380" s="43" t="s">
        <v>696</v>
      </c>
      <c r="C380" s="24">
        <v>15800</v>
      </c>
      <c r="D380" s="14"/>
      <c r="F380" s="361"/>
      <c r="G380" s="405"/>
    </row>
    <row r="381" spans="1:10" s="66" customFormat="1" ht="13" x14ac:dyDescent="0.3">
      <c r="A381" s="72" t="s">
        <v>816</v>
      </c>
      <c r="B381" s="24" t="s">
        <v>810</v>
      </c>
      <c r="C381" s="24">
        <v>28700</v>
      </c>
      <c r="D381" s="78"/>
      <c r="E381" s="25"/>
    </row>
    <row r="382" spans="1:10" s="66" customFormat="1" ht="13" x14ac:dyDescent="0.3">
      <c r="A382" s="72" t="s">
        <v>820</v>
      </c>
      <c r="B382" s="24" t="s">
        <v>821</v>
      </c>
      <c r="C382" s="24">
        <v>35000</v>
      </c>
      <c r="D382" s="78"/>
      <c r="E382" s="25"/>
    </row>
    <row r="383" spans="1:10" s="66" customFormat="1" ht="13" x14ac:dyDescent="0.3">
      <c r="A383" s="72" t="s">
        <v>811</v>
      </c>
      <c r="B383" s="24" t="s">
        <v>812</v>
      </c>
      <c r="C383" s="24">
        <v>15000</v>
      </c>
      <c r="D383" s="78"/>
      <c r="E383" s="25"/>
    </row>
    <row r="384" spans="1:10" s="5" customFormat="1" ht="13" x14ac:dyDescent="0.25">
      <c r="A384" s="265" t="s">
        <v>124</v>
      </c>
      <c r="B384" s="25" t="s">
        <v>123</v>
      </c>
      <c r="C384" s="31">
        <f>SUM(C385:C386)</f>
        <v>68760</v>
      </c>
      <c r="D384" s="3"/>
      <c r="E384" s="3"/>
      <c r="F384" s="3"/>
      <c r="G384" s="3"/>
    </row>
    <row r="385" spans="1:256" s="66" customFormat="1" ht="13" x14ac:dyDescent="0.3">
      <c r="A385" s="12" t="s">
        <v>230</v>
      </c>
      <c r="B385" s="43" t="s">
        <v>229</v>
      </c>
      <c r="C385" s="24">
        <v>34400</v>
      </c>
      <c r="D385" s="57"/>
      <c r="E385" s="57"/>
    </row>
    <row r="386" spans="1:256" s="5" customFormat="1" ht="13" x14ac:dyDescent="0.25">
      <c r="A386" s="72" t="s">
        <v>93</v>
      </c>
      <c r="B386" s="24" t="s">
        <v>72</v>
      </c>
      <c r="C386" s="24">
        <v>34360</v>
      </c>
      <c r="H386" s="147"/>
      <c r="I386" s="147"/>
      <c r="J386" s="147"/>
    </row>
    <row r="387" spans="1:256" s="3" customFormat="1" ht="13" x14ac:dyDescent="0.25">
      <c r="A387" s="265" t="s">
        <v>151</v>
      </c>
      <c r="B387" s="25" t="s">
        <v>125</v>
      </c>
      <c r="C387" s="31">
        <f>SUM(C388:C391)</f>
        <v>618670</v>
      </c>
      <c r="F387" s="435"/>
      <c r="G387" s="353"/>
      <c r="H387" s="147"/>
      <c r="I387" s="147"/>
      <c r="J387" s="147"/>
    </row>
    <row r="388" spans="1:256" s="265" customFormat="1" ht="13.5" customHeight="1" x14ac:dyDescent="0.25">
      <c r="A388" s="72" t="s">
        <v>152</v>
      </c>
      <c r="B388" s="24" t="s">
        <v>65</v>
      </c>
      <c r="C388" s="24">
        <v>10250</v>
      </c>
      <c r="D388" s="3"/>
      <c r="E388" s="3"/>
      <c r="F388" s="435"/>
      <c r="G388" s="353"/>
      <c r="H388" s="444"/>
    </row>
    <row r="389" spans="1:256" s="265" customFormat="1" ht="13.5" customHeight="1" x14ac:dyDescent="0.25">
      <c r="A389" s="72" t="s">
        <v>153</v>
      </c>
      <c r="B389" s="24" t="s">
        <v>70</v>
      </c>
      <c r="C389" s="24">
        <v>155790</v>
      </c>
      <c r="D389" s="435"/>
      <c r="E389" s="5"/>
      <c r="F389" s="361"/>
      <c r="G389" s="394"/>
      <c r="H389" s="11"/>
    </row>
    <row r="390" spans="1:256" s="101" customFormat="1" ht="13.5" customHeight="1" x14ac:dyDescent="0.25">
      <c r="A390" s="72" t="s">
        <v>155</v>
      </c>
      <c r="B390" s="23" t="s">
        <v>125</v>
      </c>
      <c r="C390" s="24">
        <v>49430</v>
      </c>
      <c r="D390" s="3"/>
      <c r="E390" s="3"/>
      <c r="F390" s="435"/>
      <c r="G390" s="353"/>
      <c r="H390" s="357"/>
    </row>
    <row r="391" spans="1:256" s="72" customFormat="1" ht="13.5" customHeight="1" x14ac:dyDescent="0.25">
      <c r="A391" s="72" t="s">
        <v>699</v>
      </c>
      <c r="B391" s="43" t="s">
        <v>698</v>
      </c>
      <c r="C391" s="24">
        <v>403200</v>
      </c>
      <c r="D391" s="406"/>
      <c r="E391" s="353"/>
      <c r="F391" s="353"/>
      <c r="G391" s="405"/>
      <c r="H391" s="353"/>
      <c r="J391" s="12"/>
    </row>
    <row r="392" spans="1:256" s="72" customFormat="1" ht="13.5" customHeight="1" thickBot="1" x14ac:dyDescent="0.3">
      <c r="B392" s="23"/>
      <c r="C392" s="24"/>
      <c r="D392" s="3"/>
      <c r="E392" s="3"/>
      <c r="F392" s="435"/>
      <c r="G392" s="353"/>
      <c r="H392" s="435"/>
    </row>
    <row r="393" spans="1:256" s="72" customFormat="1" ht="13.5" customHeight="1" thickBot="1" x14ac:dyDescent="0.3">
      <c r="A393" s="1096" t="s">
        <v>3</v>
      </c>
      <c r="B393" s="1097"/>
      <c r="C393" s="668">
        <f>C394+C396+C399+C401</f>
        <v>3397220</v>
      </c>
      <c r="D393" s="265"/>
      <c r="E393" s="265"/>
      <c r="F393" s="443"/>
      <c r="G393" s="402"/>
      <c r="H393" s="353"/>
      <c r="J393" s="12"/>
    </row>
    <row r="394" spans="1:256" s="72" customFormat="1" ht="13.5" customHeight="1" x14ac:dyDescent="0.25">
      <c r="A394" s="265" t="s">
        <v>110</v>
      </c>
      <c r="B394" s="298" t="s">
        <v>111</v>
      </c>
      <c r="C394" s="32">
        <f>SUM(C395:C395)</f>
        <v>245620</v>
      </c>
      <c r="D394" s="101"/>
      <c r="E394" s="101"/>
      <c r="F394" s="436"/>
      <c r="G394" s="357"/>
      <c r="H394" s="353"/>
      <c r="J394" s="12"/>
    </row>
    <row r="395" spans="1:256" s="11" customFormat="1" ht="13.5" customHeight="1" x14ac:dyDescent="0.25">
      <c r="A395" s="72" t="s">
        <v>52</v>
      </c>
      <c r="B395" s="24" t="s">
        <v>15</v>
      </c>
      <c r="C395" s="24">
        <v>245620</v>
      </c>
      <c r="D395" s="72"/>
      <c r="E395" s="72"/>
      <c r="F395" s="435"/>
      <c r="G395" s="353"/>
      <c r="H395" s="353"/>
    </row>
    <row r="396" spans="1:256" s="72" customFormat="1" ht="13.5" customHeight="1" x14ac:dyDescent="0.25">
      <c r="A396" s="265" t="s">
        <v>112</v>
      </c>
      <c r="B396" s="31" t="s">
        <v>157</v>
      </c>
      <c r="C396" s="31">
        <f>SUM(C397:C398)</f>
        <v>1190100</v>
      </c>
      <c r="D396" s="435"/>
      <c r="E396" s="353"/>
      <c r="F396" s="353"/>
      <c r="G396" s="361"/>
      <c r="H396" s="147"/>
      <c r="I396" s="147"/>
      <c r="J396" s="147"/>
      <c r="K396" s="147"/>
      <c r="L396" s="147"/>
      <c r="M396" s="147"/>
      <c r="N396" s="147"/>
      <c r="O396" s="147"/>
      <c r="P396" s="147"/>
      <c r="Q396" s="147"/>
      <c r="R396" s="147"/>
      <c r="S396" s="147"/>
      <c r="T396" s="147"/>
      <c r="U396" s="147"/>
      <c r="V396" s="147"/>
      <c r="W396" s="147"/>
      <c r="X396" s="147"/>
      <c r="Y396" s="147"/>
      <c r="Z396" s="147"/>
      <c r="AA396" s="147"/>
      <c r="AB396" s="147"/>
      <c r="AC396" s="147"/>
      <c r="AD396" s="147"/>
      <c r="AE396" s="147"/>
      <c r="AF396" s="147"/>
      <c r="AG396" s="147"/>
      <c r="AH396" s="147"/>
      <c r="AI396" s="147"/>
      <c r="AJ396" s="147"/>
      <c r="AK396" s="147"/>
      <c r="AL396" s="147"/>
      <c r="AM396" s="147"/>
      <c r="AN396" s="147"/>
      <c r="AO396" s="147"/>
      <c r="AP396" s="147"/>
      <c r="AQ396" s="147"/>
      <c r="AR396" s="147"/>
      <c r="AS396" s="147"/>
      <c r="AT396" s="147"/>
      <c r="AU396" s="147"/>
      <c r="AV396" s="147"/>
      <c r="AW396" s="147"/>
      <c r="AX396" s="147"/>
      <c r="AY396" s="147"/>
      <c r="AZ396" s="147"/>
      <c r="BA396" s="147"/>
      <c r="BB396" s="147"/>
      <c r="BC396" s="147"/>
      <c r="BD396" s="147"/>
      <c r="BE396" s="147"/>
      <c r="BF396" s="147"/>
      <c r="BG396" s="147"/>
      <c r="BH396" s="147"/>
      <c r="BI396" s="147"/>
      <c r="BJ396" s="147"/>
      <c r="BK396" s="147"/>
      <c r="BL396" s="147"/>
      <c r="BM396" s="147"/>
      <c r="BN396" s="147"/>
      <c r="BO396" s="147"/>
      <c r="BP396" s="147"/>
      <c r="BQ396" s="147"/>
      <c r="BR396" s="147"/>
      <c r="BS396" s="147"/>
      <c r="BT396" s="147"/>
      <c r="BU396" s="147"/>
      <c r="BV396" s="147"/>
      <c r="BW396" s="147"/>
      <c r="BX396" s="147"/>
      <c r="BY396" s="147"/>
      <c r="BZ396" s="147"/>
      <c r="CA396" s="147"/>
      <c r="CB396" s="147"/>
      <c r="CC396" s="147"/>
      <c r="CD396" s="147"/>
      <c r="CE396" s="147"/>
      <c r="CF396" s="147"/>
      <c r="CG396" s="147"/>
      <c r="CH396" s="147"/>
      <c r="CI396" s="147"/>
      <c r="CJ396" s="147"/>
      <c r="CK396" s="147"/>
      <c r="CL396" s="147"/>
      <c r="CM396" s="147"/>
      <c r="CN396" s="147"/>
      <c r="CO396" s="147"/>
      <c r="CP396" s="147"/>
      <c r="CQ396" s="147"/>
      <c r="CR396" s="147"/>
      <c r="CS396" s="147"/>
      <c r="CT396" s="147"/>
      <c r="CU396" s="147"/>
      <c r="CV396" s="147"/>
      <c r="CW396" s="147"/>
      <c r="CX396" s="147"/>
      <c r="CY396" s="147"/>
      <c r="CZ396" s="147"/>
      <c r="DA396" s="147"/>
      <c r="DB396" s="147"/>
      <c r="DC396" s="147"/>
      <c r="DD396" s="147"/>
      <c r="DE396" s="147"/>
      <c r="DF396" s="147"/>
      <c r="DG396" s="147"/>
      <c r="DH396" s="147"/>
      <c r="DI396" s="147"/>
      <c r="DJ396" s="147"/>
      <c r="DK396" s="147"/>
      <c r="DL396" s="147"/>
      <c r="DM396" s="147"/>
      <c r="DN396" s="147"/>
      <c r="DO396" s="147"/>
      <c r="DP396" s="147"/>
      <c r="DQ396" s="147"/>
      <c r="DR396" s="147"/>
      <c r="DS396" s="147"/>
      <c r="DT396" s="147"/>
      <c r="DU396" s="147"/>
      <c r="DV396" s="147"/>
      <c r="DW396" s="147"/>
      <c r="DX396" s="147"/>
      <c r="DY396" s="147"/>
      <c r="DZ396" s="147"/>
      <c r="EA396" s="147"/>
      <c r="EB396" s="147"/>
      <c r="EC396" s="147"/>
      <c r="ED396" s="147"/>
      <c r="EE396" s="147"/>
      <c r="EF396" s="147"/>
      <c r="EG396" s="147"/>
      <c r="EH396" s="147"/>
      <c r="EI396" s="147"/>
      <c r="EJ396" s="147"/>
      <c r="EK396" s="147"/>
      <c r="EL396" s="147"/>
      <c r="EM396" s="147"/>
      <c r="EN396" s="147"/>
      <c r="EO396" s="147"/>
      <c r="EP396" s="147"/>
      <c r="EQ396" s="147"/>
      <c r="ER396" s="147"/>
      <c r="ES396" s="147"/>
      <c r="ET396" s="147"/>
      <c r="EU396" s="147"/>
      <c r="EV396" s="147"/>
      <c r="EW396" s="147"/>
      <c r="EX396" s="147"/>
      <c r="EY396" s="147"/>
      <c r="EZ396" s="147"/>
      <c r="FA396" s="147"/>
      <c r="FB396" s="147"/>
      <c r="FC396" s="147"/>
      <c r="FD396" s="147"/>
      <c r="FE396" s="147"/>
      <c r="FF396" s="147"/>
      <c r="FG396" s="147"/>
      <c r="FH396" s="147"/>
      <c r="FI396" s="147"/>
      <c r="FJ396" s="147"/>
      <c r="FK396" s="147"/>
      <c r="FL396" s="147"/>
      <c r="FM396" s="147"/>
      <c r="FN396" s="147"/>
      <c r="FO396" s="147"/>
      <c r="FP396" s="147"/>
      <c r="FQ396" s="147"/>
      <c r="FR396" s="147"/>
      <c r="FS396" s="147"/>
      <c r="FT396" s="147"/>
      <c r="FU396" s="147"/>
      <c r="FV396" s="147"/>
      <c r="FW396" s="147"/>
      <c r="FX396" s="147"/>
      <c r="FY396" s="147"/>
      <c r="FZ396" s="147"/>
      <c r="GA396" s="147"/>
      <c r="GB396" s="147"/>
      <c r="GC396" s="147"/>
      <c r="GD396" s="147"/>
      <c r="GE396" s="147"/>
      <c r="GF396" s="147"/>
      <c r="GG396" s="147"/>
      <c r="GH396" s="147"/>
      <c r="GI396" s="147"/>
      <c r="GJ396" s="147"/>
      <c r="GK396" s="147"/>
      <c r="GL396" s="147"/>
      <c r="GM396" s="147"/>
      <c r="GN396" s="147"/>
      <c r="GO396" s="147"/>
      <c r="GP396" s="147"/>
      <c r="GQ396" s="147"/>
      <c r="GR396" s="147"/>
      <c r="GS396" s="147"/>
      <c r="GT396" s="147"/>
      <c r="GU396" s="147"/>
      <c r="GV396" s="147"/>
      <c r="GW396" s="147"/>
      <c r="GX396" s="147"/>
      <c r="GY396" s="147"/>
      <c r="GZ396" s="147"/>
      <c r="HA396" s="147"/>
      <c r="HB396" s="147"/>
      <c r="HC396" s="147"/>
      <c r="HD396" s="147"/>
      <c r="HE396" s="147"/>
      <c r="HF396" s="147"/>
      <c r="HG396" s="147"/>
      <c r="HH396" s="147"/>
      <c r="HI396" s="147"/>
      <c r="HJ396" s="147"/>
      <c r="HK396" s="147"/>
      <c r="HL396" s="147"/>
      <c r="HM396" s="147"/>
      <c r="HN396" s="147"/>
      <c r="HO396" s="147"/>
      <c r="HP396" s="147"/>
      <c r="HQ396" s="147"/>
      <c r="HR396" s="147"/>
      <c r="HS396" s="147"/>
      <c r="HT396" s="147"/>
      <c r="HU396" s="147"/>
      <c r="HV396" s="147"/>
      <c r="HW396" s="147"/>
      <c r="HX396" s="147"/>
      <c r="HY396" s="147"/>
      <c r="HZ396" s="147"/>
      <c r="IA396" s="147"/>
      <c r="IB396" s="147"/>
      <c r="IC396" s="147"/>
      <c r="ID396" s="147"/>
      <c r="IE396" s="147"/>
      <c r="IF396" s="147"/>
      <c r="IG396" s="147"/>
      <c r="IH396" s="147"/>
      <c r="II396" s="147"/>
      <c r="IJ396" s="147"/>
      <c r="IK396" s="147"/>
      <c r="IL396" s="147"/>
      <c r="IM396" s="147"/>
      <c r="IN396" s="147"/>
      <c r="IO396" s="147"/>
      <c r="IP396" s="147"/>
      <c r="IQ396" s="147"/>
      <c r="IR396" s="147"/>
      <c r="IS396" s="147"/>
      <c r="IT396" s="147"/>
      <c r="IU396" s="147"/>
      <c r="IV396" s="147"/>
    </row>
    <row r="397" spans="1:256" s="72" customFormat="1" ht="13.5" customHeight="1" x14ac:dyDescent="0.25">
      <c r="A397" s="72" t="s">
        <v>49</v>
      </c>
      <c r="B397" s="24" t="s">
        <v>87</v>
      </c>
      <c r="C397" s="24">
        <v>240100</v>
      </c>
      <c r="E397" s="427"/>
      <c r="F397" s="358"/>
      <c r="H397" s="12"/>
      <c r="I397" s="12"/>
      <c r="J397" s="12"/>
    </row>
    <row r="398" spans="1:256" s="72" customFormat="1" ht="13.5" customHeight="1" x14ac:dyDescent="0.25">
      <c r="A398" s="72" t="s">
        <v>889</v>
      </c>
      <c r="B398" s="43" t="s">
        <v>877</v>
      </c>
      <c r="C398" s="24">
        <v>950000</v>
      </c>
      <c r="D398" s="363"/>
      <c r="E398" s="427"/>
      <c r="F398" s="352"/>
      <c r="G398" s="363"/>
      <c r="H398" s="12"/>
      <c r="J398" s="23"/>
    </row>
    <row r="399" spans="1:256" s="72" customFormat="1" ht="13.5" customHeight="1" x14ac:dyDescent="0.25">
      <c r="A399" s="11" t="s">
        <v>113</v>
      </c>
      <c r="B399" s="31" t="s">
        <v>114</v>
      </c>
      <c r="C399" s="31">
        <f>SUM(C400)</f>
        <v>47000</v>
      </c>
      <c r="E399" s="353"/>
      <c r="F399" s="358"/>
      <c r="H399" s="12"/>
      <c r="I399" s="12"/>
      <c r="J399" s="12"/>
    </row>
    <row r="400" spans="1:256" s="11" customFormat="1" ht="13.5" customHeight="1" x14ac:dyDescent="0.25">
      <c r="A400" s="12" t="s">
        <v>164</v>
      </c>
      <c r="B400" s="12" t="s">
        <v>74</v>
      </c>
      <c r="C400" s="24">
        <v>47000</v>
      </c>
      <c r="D400" s="72"/>
      <c r="E400" s="147"/>
      <c r="F400" s="72"/>
      <c r="G400" s="147"/>
    </row>
    <row r="401" spans="1:256" s="72" customFormat="1" ht="13.5" customHeight="1" x14ac:dyDescent="0.25">
      <c r="A401" s="265" t="s">
        <v>115</v>
      </c>
      <c r="B401" s="31" t="s">
        <v>8</v>
      </c>
      <c r="C401" s="31">
        <f>SUM(C402:C406)</f>
        <v>1914500</v>
      </c>
      <c r="E401" s="353"/>
      <c r="F401" s="435"/>
      <c r="G401" s="361"/>
      <c r="H401" s="12"/>
      <c r="I401" s="12"/>
      <c r="J401" s="24"/>
    </row>
    <row r="402" spans="1:256" s="72" customFormat="1" ht="13.5" customHeight="1" x14ac:dyDescent="0.25">
      <c r="A402" s="72" t="s">
        <v>92</v>
      </c>
      <c r="B402" s="24" t="s">
        <v>8</v>
      </c>
      <c r="C402" s="24">
        <v>856000</v>
      </c>
      <c r="E402" s="24"/>
      <c r="F402" s="394"/>
      <c r="G402" s="361"/>
      <c r="H402" s="12"/>
      <c r="I402" s="12"/>
      <c r="J402" s="12"/>
    </row>
    <row r="403" spans="1:256" s="72" customFormat="1" ht="13.5" customHeight="1" x14ac:dyDescent="0.25">
      <c r="A403" s="72" t="s">
        <v>181</v>
      </c>
      <c r="B403" s="24" t="s">
        <v>50</v>
      </c>
      <c r="C403" s="24">
        <v>6200</v>
      </c>
      <c r="F403" s="435"/>
      <c r="G403" s="353"/>
    </row>
    <row r="404" spans="1:256" s="265" customFormat="1" ht="13.5" customHeight="1" x14ac:dyDescent="0.25">
      <c r="A404" s="72" t="s">
        <v>224</v>
      </c>
      <c r="B404" s="72" t="s">
        <v>223</v>
      </c>
      <c r="C404" s="24">
        <v>105000</v>
      </c>
      <c r="D404" s="72"/>
      <c r="E404" s="72"/>
      <c r="F404" s="361"/>
      <c r="G404" s="353"/>
    </row>
    <row r="405" spans="1:256" s="101" customFormat="1" ht="13.5" customHeight="1" x14ac:dyDescent="0.25">
      <c r="A405" s="72" t="s">
        <v>222</v>
      </c>
      <c r="B405" s="12" t="s">
        <v>221</v>
      </c>
      <c r="C405" s="24">
        <v>578400</v>
      </c>
      <c r="D405" s="11"/>
      <c r="E405" s="11"/>
      <c r="F405" s="361"/>
      <c r="G405" s="353"/>
    </row>
    <row r="406" spans="1:256" s="5" customFormat="1" ht="13" x14ac:dyDescent="0.25">
      <c r="A406" s="72" t="s">
        <v>90</v>
      </c>
      <c r="B406" s="24" t="s">
        <v>7</v>
      </c>
      <c r="C406" s="24">
        <v>368900</v>
      </c>
      <c r="D406" s="72"/>
      <c r="E406" s="72"/>
      <c r="F406" s="72"/>
      <c r="G406" s="353"/>
    </row>
    <row r="407" spans="1:256" s="5" customFormat="1" ht="13.5" thickBot="1" x14ac:dyDescent="0.3">
      <c r="A407" s="72"/>
      <c r="B407" s="24"/>
      <c r="C407" s="24"/>
      <c r="D407" s="358"/>
      <c r="E407" s="72"/>
      <c r="F407" s="445"/>
      <c r="G407" s="23"/>
    </row>
    <row r="408" spans="1:256" s="5" customFormat="1" ht="13.5" thickBot="1" x14ac:dyDescent="0.3">
      <c r="A408" s="1100" t="s">
        <v>4</v>
      </c>
      <c r="B408" s="1101"/>
      <c r="C408" s="670">
        <f>C409+C413</f>
        <v>51800</v>
      </c>
      <c r="D408" s="265"/>
      <c r="E408" s="446"/>
      <c r="F408" s="309"/>
      <c r="G408" s="24"/>
    </row>
    <row r="409" spans="1:256" s="5" customFormat="1" ht="13" x14ac:dyDescent="0.25">
      <c r="A409" s="265" t="s">
        <v>116</v>
      </c>
      <c r="B409" s="298" t="s">
        <v>117</v>
      </c>
      <c r="C409" s="32">
        <f>SUM(C410:C412)</f>
        <v>44800</v>
      </c>
      <c r="D409" s="101"/>
      <c r="E409" s="403"/>
      <c r="F409" s="359"/>
      <c r="G409" s="96"/>
    </row>
    <row r="410" spans="1:256" s="71" customFormat="1" ht="13.5" customHeight="1" x14ac:dyDescent="0.25">
      <c r="A410" s="72" t="s">
        <v>91</v>
      </c>
      <c r="B410" s="72" t="s">
        <v>139</v>
      </c>
      <c r="C410" s="24">
        <v>15000</v>
      </c>
      <c r="D410" s="353"/>
      <c r="E410" s="353"/>
      <c r="F410" s="436"/>
      <c r="G410" s="410"/>
    </row>
    <row r="411" spans="1:256" s="1" customFormat="1" ht="13.5" customHeight="1" x14ac:dyDescent="0.25">
      <c r="A411" s="72" t="s">
        <v>57</v>
      </c>
      <c r="B411" s="72" t="s">
        <v>58</v>
      </c>
      <c r="C411" s="24">
        <v>10000</v>
      </c>
      <c r="D411" s="352"/>
      <c r="E411" s="352"/>
      <c r="F411" s="352"/>
      <c r="G411" s="410"/>
    </row>
    <row r="412" spans="1:256" s="5" customFormat="1" ht="13" x14ac:dyDescent="0.3">
      <c r="A412" s="72" t="s">
        <v>814</v>
      </c>
      <c r="B412" s="23" t="s">
        <v>815</v>
      </c>
      <c r="C412" s="55">
        <v>19800</v>
      </c>
      <c r="D412" s="212"/>
      <c r="E412" s="212"/>
      <c r="F412" s="212"/>
      <c r="G412" s="212"/>
      <c r="H412" s="212"/>
      <c r="I412" s="212"/>
      <c r="J412" s="212"/>
      <c r="K412" s="212"/>
      <c r="L412" s="212"/>
      <c r="M412" s="212"/>
      <c r="N412" s="212"/>
      <c r="O412" s="212"/>
      <c r="P412" s="212"/>
      <c r="Q412" s="212"/>
      <c r="R412" s="212"/>
      <c r="S412" s="212"/>
      <c r="T412" s="212"/>
      <c r="U412" s="212"/>
      <c r="V412" s="212"/>
      <c r="W412" s="212"/>
      <c r="X412" s="212"/>
      <c r="Y412" s="212"/>
      <c r="Z412" s="212"/>
      <c r="AA412" s="212"/>
      <c r="AB412" s="212"/>
      <c r="AC412" s="212"/>
      <c r="AD412" s="212"/>
      <c r="AE412" s="212"/>
      <c r="AF412" s="212"/>
      <c r="AG412" s="212"/>
      <c r="AH412" s="212"/>
      <c r="AI412" s="212"/>
      <c r="AJ412" s="212"/>
      <c r="AK412" s="212"/>
      <c r="AL412" s="212"/>
      <c r="AM412" s="212"/>
      <c r="AN412" s="212"/>
      <c r="AO412" s="212"/>
      <c r="AP412" s="212"/>
      <c r="AQ412" s="212"/>
      <c r="AR412" s="212"/>
      <c r="AS412" s="212"/>
      <c r="AT412" s="212"/>
      <c r="AU412" s="212"/>
      <c r="AV412" s="212"/>
      <c r="AW412" s="212"/>
      <c r="AX412" s="212"/>
      <c r="AY412" s="212"/>
      <c r="AZ412" s="212"/>
      <c r="BA412" s="212"/>
      <c r="BB412" s="212"/>
      <c r="BC412" s="212"/>
      <c r="BD412" s="212"/>
      <c r="BE412" s="212"/>
      <c r="BF412" s="212"/>
      <c r="BG412" s="212"/>
      <c r="BH412" s="212"/>
      <c r="BI412" s="212"/>
      <c r="BJ412" s="212"/>
      <c r="BK412" s="212"/>
      <c r="BL412" s="212"/>
      <c r="BM412" s="212"/>
      <c r="BN412" s="212"/>
      <c r="BO412" s="212"/>
      <c r="BP412" s="212"/>
      <c r="BQ412" s="212"/>
      <c r="BR412" s="212"/>
      <c r="BS412" s="212"/>
      <c r="BT412" s="212"/>
      <c r="BU412" s="212"/>
      <c r="BV412" s="212"/>
      <c r="BW412" s="212"/>
      <c r="BX412" s="212"/>
      <c r="BY412" s="212"/>
      <c r="BZ412" s="212"/>
      <c r="CA412" s="212"/>
      <c r="CB412" s="212"/>
      <c r="CC412" s="212"/>
      <c r="CD412" s="212"/>
      <c r="CE412" s="212"/>
      <c r="CF412" s="212"/>
      <c r="CG412" s="212"/>
      <c r="CH412" s="212"/>
      <c r="CI412" s="212"/>
      <c r="CJ412" s="212"/>
      <c r="CK412" s="212"/>
      <c r="CL412" s="212"/>
      <c r="CM412" s="212"/>
      <c r="CN412" s="212"/>
      <c r="CO412" s="212"/>
      <c r="CP412" s="212"/>
      <c r="CQ412" s="212"/>
      <c r="CR412" s="212"/>
      <c r="CS412" s="212"/>
      <c r="CT412" s="212"/>
      <c r="CU412" s="212"/>
      <c r="CV412" s="212"/>
      <c r="CW412" s="212"/>
      <c r="CX412" s="212"/>
      <c r="CY412" s="212"/>
      <c r="CZ412" s="212"/>
      <c r="DA412" s="212"/>
      <c r="DB412" s="212"/>
      <c r="DC412" s="212"/>
      <c r="DD412" s="212"/>
      <c r="DE412" s="212"/>
      <c r="DF412" s="212"/>
      <c r="DG412" s="212"/>
      <c r="DH412" s="212"/>
      <c r="DI412" s="212"/>
      <c r="DJ412" s="212"/>
      <c r="DK412" s="212"/>
      <c r="DL412" s="212"/>
      <c r="DM412" s="212"/>
      <c r="DN412" s="212"/>
      <c r="DO412" s="212"/>
      <c r="DP412" s="212"/>
      <c r="DQ412" s="212"/>
      <c r="DR412" s="212"/>
      <c r="DS412" s="212"/>
      <c r="DT412" s="212"/>
      <c r="DU412" s="212"/>
      <c r="DV412" s="212"/>
      <c r="DW412" s="212"/>
      <c r="DX412" s="212"/>
      <c r="DY412" s="212"/>
      <c r="DZ412" s="212"/>
      <c r="EA412" s="212"/>
      <c r="EB412" s="212"/>
      <c r="EC412" s="212"/>
      <c r="ED412" s="212"/>
      <c r="EE412" s="212"/>
      <c r="EF412" s="212"/>
      <c r="EG412" s="212"/>
      <c r="EH412" s="212"/>
      <c r="EI412" s="212"/>
      <c r="EJ412" s="212"/>
      <c r="EK412" s="212"/>
      <c r="EL412" s="212"/>
      <c r="EM412" s="212"/>
      <c r="EN412" s="212"/>
      <c r="EO412" s="212"/>
      <c r="EP412" s="212"/>
      <c r="EQ412" s="212"/>
      <c r="ER412" s="212"/>
      <c r="ES412" s="212"/>
      <c r="ET412" s="212"/>
      <c r="EU412" s="212"/>
      <c r="EV412" s="212"/>
      <c r="EW412" s="212"/>
      <c r="EX412" s="212"/>
      <c r="EY412" s="212"/>
      <c r="EZ412" s="212"/>
      <c r="FA412" s="212"/>
      <c r="FB412" s="212"/>
      <c r="FC412" s="212"/>
      <c r="FD412" s="212"/>
      <c r="FE412" s="212"/>
      <c r="FF412" s="212"/>
      <c r="FG412" s="212"/>
      <c r="FH412" s="212"/>
      <c r="FI412" s="212"/>
      <c r="FJ412" s="212"/>
      <c r="FK412" s="212"/>
      <c r="FL412" s="212"/>
      <c r="FM412" s="212"/>
      <c r="FN412" s="212"/>
      <c r="FO412" s="212"/>
      <c r="FP412" s="212"/>
      <c r="FQ412" s="212"/>
      <c r="FR412" s="212"/>
      <c r="FS412" s="212"/>
      <c r="FT412" s="212"/>
      <c r="FU412" s="212"/>
      <c r="FV412" s="212"/>
      <c r="FW412" s="212"/>
      <c r="FX412" s="212"/>
      <c r="FY412" s="212"/>
      <c r="FZ412" s="212"/>
      <c r="GA412" s="212"/>
      <c r="GB412" s="212"/>
      <c r="GC412" s="212"/>
      <c r="GD412" s="212"/>
      <c r="GE412" s="212"/>
      <c r="GF412" s="212"/>
      <c r="GG412" s="212"/>
      <c r="GH412" s="212"/>
      <c r="GI412" s="212"/>
      <c r="GJ412" s="212"/>
      <c r="GK412" s="212"/>
      <c r="GL412" s="212"/>
      <c r="GM412" s="212"/>
      <c r="GN412" s="212"/>
      <c r="GO412" s="212"/>
      <c r="GP412" s="212"/>
      <c r="GQ412" s="212"/>
      <c r="GR412" s="212"/>
      <c r="GS412" s="212"/>
      <c r="GT412" s="212"/>
      <c r="GU412" s="212"/>
      <c r="GV412" s="212"/>
      <c r="GW412" s="212"/>
      <c r="GX412" s="212"/>
      <c r="GY412" s="212"/>
      <c r="GZ412" s="212"/>
      <c r="HA412" s="212"/>
      <c r="HB412" s="212"/>
      <c r="HC412" s="212"/>
      <c r="HD412" s="212"/>
      <c r="HE412" s="212"/>
      <c r="HF412" s="212"/>
      <c r="HG412" s="212"/>
      <c r="HH412" s="212"/>
      <c r="HI412" s="212"/>
      <c r="HJ412" s="212"/>
      <c r="HK412" s="212"/>
      <c r="HL412" s="212"/>
      <c r="HM412" s="212"/>
      <c r="HN412" s="212"/>
      <c r="HO412" s="212"/>
      <c r="HP412" s="212"/>
      <c r="HQ412" s="212"/>
      <c r="HR412" s="212"/>
      <c r="HS412" s="212"/>
      <c r="HT412" s="212"/>
      <c r="HU412" s="212"/>
      <c r="HV412" s="212"/>
      <c r="HW412" s="212"/>
      <c r="HX412" s="212"/>
      <c r="HY412" s="212"/>
      <c r="HZ412" s="212"/>
      <c r="IA412" s="212"/>
      <c r="IB412" s="212"/>
      <c r="IC412" s="212"/>
      <c r="ID412" s="212"/>
      <c r="IE412" s="212"/>
      <c r="IF412" s="212"/>
      <c r="IG412" s="212"/>
      <c r="IH412" s="212"/>
      <c r="II412" s="212"/>
      <c r="IJ412" s="212"/>
      <c r="IK412" s="212"/>
      <c r="IL412" s="212"/>
      <c r="IM412" s="212"/>
      <c r="IN412" s="212"/>
      <c r="IO412" s="212"/>
      <c r="IP412" s="212"/>
      <c r="IQ412" s="212"/>
      <c r="IR412" s="212"/>
      <c r="IS412" s="212"/>
      <c r="IT412" s="212"/>
      <c r="IU412" s="212"/>
      <c r="IV412" s="212"/>
    </row>
    <row r="413" spans="1:256" s="196" customFormat="1" ht="13.5" customHeight="1" x14ac:dyDescent="0.25">
      <c r="A413" s="265" t="s">
        <v>166</v>
      </c>
      <c r="B413" s="25" t="s">
        <v>134</v>
      </c>
      <c r="C413" s="31">
        <f>SUM(C414)</f>
        <v>7000</v>
      </c>
      <c r="D413" s="353"/>
      <c r="E413" s="353"/>
      <c r="F413" s="436"/>
      <c r="G413" s="410"/>
    </row>
    <row r="414" spans="1:256" s="196" customFormat="1" ht="13.5" customHeight="1" x14ac:dyDescent="0.25">
      <c r="A414" s="72" t="s">
        <v>167</v>
      </c>
      <c r="B414" s="23" t="s">
        <v>51</v>
      </c>
      <c r="C414" s="24">
        <v>7000</v>
      </c>
      <c r="D414" s="353"/>
      <c r="E414" s="353"/>
      <c r="F414" s="435"/>
      <c r="G414" s="410"/>
    </row>
    <row r="415" spans="1:256" s="1" customFormat="1" ht="13" x14ac:dyDescent="0.25">
      <c r="A415" s="72"/>
      <c r="B415" s="72"/>
      <c r="C415" s="23"/>
      <c r="D415" s="26"/>
      <c r="E415" s="28"/>
      <c r="F415" s="233"/>
      <c r="G415" s="418"/>
    </row>
    <row r="416" spans="1:256" s="1" customFormat="1" ht="13.5" thickBot="1" x14ac:dyDescent="0.3">
      <c r="A416" s="415"/>
      <c r="B416" s="415"/>
      <c r="C416" s="23"/>
      <c r="D416" s="22"/>
      <c r="E416" s="24"/>
      <c r="F416" s="233"/>
      <c r="G416" s="418"/>
    </row>
    <row r="417" spans="1:9" s="1" customFormat="1" ht="13" x14ac:dyDescent="0.25">
      <c r="A417" s="648" t="s">
        <v>640</v>
      </c>
      <c r="B417" s="649"/>
      <c r="C417" s="690"/>
      <c r="D417" s="692" t="s">
        <v>6</v>
      </c>
      <c r="E417" s="913" t="s">
        <v>823</v>
      </c>
      <c r="F417" s="3"/>
      <c r="G417" s="341"/>
    </row>
    <row r="418" spans="1:9" s="147" customFormat="1" ht="13.5" thickBot="1" x14ac:dyDescent="0.3">
      <c r="A418" s="707"/>
      <c r="B418" s="728" t="s">
        <v>200</v>
      </c>
      <c r="C418" s="733"/>
      <c r="D418" s="734"/>
      <c r="E418" s="735"/>
      <c r="F418" s="3"/>
      <c r="G418" s="341"/>
      <c r="I418" s="147" t="s">
        <v>200</v>
      </c>
    </row>
    <row r="419" spans="1:9" s="147" customFormat="1" ht="13" x14ac:dyDescent="0.25">
      <c r="A419" s="1123" t="s">
        <v>933</v>
      </c>
      <c r="B419" s="1124"/>
      <c r="C419" s="1124"/>
      <c r="D419" s="1124"/>
      <c r="E419" s="1125"/>
      <c r="F419" s="1"/>
      <c r="G419" s="349"/>
    </row>
    <row r="420" spans="1:9" s="147" customFormat="1" ht="13" x14ac:dyDescent="0.25">
      <c r="A420" s="1126"/>
      <c r="B420" s="1127"/>
      <c r="C420" s="1127"/>
      <c r="D420" s="1127"/>
      <c r="E420" s="1128"/>
    </row>
    <row r="421" spans="1:9" s="147" customFormat="1" ht="13" x14ac:dyDescent="0.25">
      <c r="A421" s="1126"/>
      <c r="B421" s="1127"/>
      <c r="C421" s="1127"/>
      <c r="D421" s="1127"/>
      <c r="E421" s="1128"/>
      <c r="G421" s="351"/>
    </row>
    <row r="422" spans="1:9" s="147" customFormat="1" ht="13" x14ac:dyDescent="0.25">
      <c r="A422" s="1126"/>
      <c r="B422" s="1127"/>
      <c r="C422" s="1127"/>
      <c r="D422" s="1127"/>
      <c r="E422" s="1128"/>
      <c r="G422" s="351"/>
    </row>
    <row r="423" spans="1:9" s="147" customFormat="1" ht="13" x14ac:dyDescent="0.25">
      <c r="A423" s="1126"/>
      <c r="B423" s="1127"/>
      <c r="C423" s="1127"/>
      <c r="D423" s="1127"/>
      <c r="E423" s="1128"/>
      <c r="G423" s="351"/>
    </row>
    <row r="424" spans="1:9" s="147" customFormat="1" ht="13" x14ac:dyDescent="0.3">
      <c r="A424" s="1126"/>
      <c r="B424" s="1127"/>
      <c r="C424" s="1127"/>
      <c r="D424" s="1127"/>
      <c r="E424" s="1128"/>
      <c r="F424" s="642"/>
      <c r="G424" s="642"/>
    </row>
    <row r="425" spans="1:9" s="147" customFormat="1" ht="13" x14ac:dyDescent="0.3">
      <c r="A425" s="1126"/>
      <c r="B425" s="1127"/>
      <c r="C425" s="1127"/>
      <c r="D425" s="1127"/>
      <c r="E425" s="1128"/>
      <c r="F425" s="642"/>
      <c r="G425" s="642"/>
    </row>
    <row r="426" spans="1:9" s="1" customFormat="1" ht="13" x14ac:dyDescent="0.3">
      <c r="A426" s="1126"/>
      <c r="B426" s="1127"/>
      <c r="C426" s="1127"/>
      <c r="D426" s="1127"/>
      <c r="E426" s="1128"/>
      <c r="F426" s="642"/>
      <c r="G426" s="642"/>
    </row>
    <row r="427" spans="1:9" s="1" customFormat="1" ht="13" x14ac:dyDescent="0.3">
      <c r="A427" s="1126"/>
      <c r="B427" s="1127"/>
      <c r="C427" s="1127"/>
      <c r="D427" s="1127"/>
      <c r="E427" s="1128"/>
      <c r="F427" s="642"/>
      <c r="G427" s="642"/>
    </row>
    <row r="428" spans="1:9" s="1" customFormat="1" ht="13" x14ac:dyDescent="0.3">
      <c r="A428" s="1126"/>
      <c r="B428" s="1127"/>
      <c r="C428" s="1127"/>
      <c r="D428" s="1127"/>
      <c r="E428" s="1128"/>
      <c r="F428" s="642"/>
      <c r="G428" s="642"/>
    </row>
    <row r="429" spans="1:9" s="1" customFormat="1" ht="13" x14ac:dyDescent="0.3">
      <c r="A429" s="1126"/>
      <c r="B429" s="1127"/>
      <c r="C429" s="1127"/>
      <c r="D429" s="1127"/>
      <c r="E429" s="1128"/>
      <c r="F429" s="642"/>
      <c r="G429" s="642"/>
    </row>
    <row r="430" spans="1:9" s="1" customFormat="1" ht="4.5" customHeight="1" thickBot="1" x14ac:dyDescent="0.3">
      <c r="A430" s="1129"/>
      <c r="B430" s="1130"/>
      <c r="C430" s="1130"/>
      <c r="D430" s="1130"/>
      <c r="E430" s="1131"/>
      <c r="F430" s="147"/>
      <c r="G430" s="351"/>
    </row>
    <row r="431" spans="1:9" s="3" customFormat="1" ht="13" x14ac:dyDescent="0.25">
      <c r="A431" s="41" t="s">
        <v>1029</v>
      </c>
      <c r="B431" s="12"/>
      <c r="C431" s="24"/>
      <c r="D431" s="24"/>
      <c r="E431" s="320"/>
      <c r="F431" s="1"/>
      <c r="G431" s="349"/>
    </row>
    <row r="432" spans="1:9" s="3" customFormat="1" ht="13" x14ac:dyDescent="0.25">
      <c r="A432" s="41" t="s">
        <v>634</v>
      </c>
      <c r="B432" s="41"/>
      <c r="C432" s="24"/>
      <c r="D432" s="24"/>
      <c r="E432" s="320"/>
      <c r="F432" s="1"/>
      <c r="G432" s="349"/>
    </row>
    <row r="433" spans="1:8" s="3" customFormat="1" ht="13" x14ac:dyDescent="0.25">
      <c r="A433" s="41" t="s">
        <v>1040</v>
      </c>
      <c r="B433" s="41"/>
      <c r="C433" s="24"/>
      <c r="D433" s="24"/>
      <c r="E433" s="320"/>
      <c r="F433" s="1"/>
      <c r="G433" s="349"/>
    </row>
    <row r="434" spans="1:8" s="101" customFormat="1" ht="13.5" customHeight="1" thickBot="1" x14ac:dyDescent="0.3">
      <c r="A434" s="41" t="s">
        <v>13</v>
      </c>
      <c r="B434" s="12"/>
      <c r="C434" s="24"/>
      <c r="D434" s="24"/>
      <c r="E434" s="320"/>
      <c r="F434" s="1"/>
      <c r="G434" s="349"/>
    </row>
    <row r="435" spans="1:8" s="72" customFormat="1" ht="13.5" customHeight="1" thickBot="1" x14ac:dyDescent="0.3">
      <c r="A435" s="762" t="s">
        <v>14</v>
      </c>
      <c r="B435" s="763"/>
      <c r="C435" s="764"/>
      <c r="D435" s="766"/>
      <c r="E435" s="772">
        <f>+C437+C453+C469+C475</f>
        <v>3641690</v>
      </c>
      <c r="F435" s="18"/>
      <c r="G435" s="88"/>
      <c r="H435" s="12"/>
    </row>
    <row r="436" spans="1:8" s="1" customFormat="1" ht="13.5" thickBot="1" x14ac:dyDescent="0.3">
      <c r="A436" s="11"/>
      <c r="B436" s="11"/>
      <c r="C436" s="31"/>
      <c r="D436" s="31"/>
      <c r="E436" s="206"/>
      <c r="F436" s="3"/>
      <c r="G436" s="341"/>
    </row>
    <row r="437" spans="1:8" s="1" customFormat="1" ht="13.5" thickBot="1" x14ac:dyDescent="0.3">
      <c r="A437" s="1104" t="s">
        <v>2</v>
      </c>
      <c r="B437" s="1105"/>
      <c r="C437" s="667">
        <f>C438+C440+C442+C444+C446+C448</f>
        <v>809230</v>
      </c>
      <c r="D437" s="18"/>
      <c r="E437" s="380"/>
      <c r="F437" s="3"/>
      <c r="G437" s="341"/>
    </row>
    <row r="438" spans="1:8" s="1" customFormat="1" ht="13" x14ac:dyDescent="0.25">
      <c r="A438" s="11" t="s">
        <v>103</v>
      </c>
      <c r="B438" s="298" t="s">
        <v>104</v>
      </c>
      <c r="C438" s="32">
        <f>SUM(C439)</f>
        <v>24000</v>
      </c>
      <c r="D438" s="348"/>
      <c r="E438" s="101"/>
      <c r="F438" s="101"/>
      <c r="G438" s="349"/>
    </row>
    <row r="439" spans="1:8" s="3" customFormat="1" ht="13" x14ac:dyDescent="0.25">
      <c r="A439" s="12" t="s">
        <v>46</v>
      </c>
      <c r="B439" s="72" t="s">
        <v>45</v>
      </c>
      <c r="C439" s="24">
        <v>24000</v>
      </c>
      <c r="D439" s="96"/>
      <c r="E439" s="72"/>
      <c r="F439" s="31"/>
      <c r="G439" s="96"/>
    </row>
    <row r="440" spans="1:8" s="3" customFormat="1" ht="13" x14ac:dyDescent="0.25">
      <c r="A440" s="298" t="s">
        <v>388</v>
      </c>
      <c r="B440" s="298" t="s">
        <v>219</v>
      </c>
      <c r="C440" s="31">
        <f>SUM(C441)</f>
        <v>40000</v>
      </c>
      <c r="D440" s="14"/>
      <c r="E440" s="381"/>
      <c r="F440" s="1"/>
      <c r="G440" s="349"/>
    </row>
    <row r="441" spans="1:8" s="3" customFormat="1" ht="13" x14ac:dyDescent="0.25">
      <c r="A441" s="12" t="s">
        <v>227</v>
      </c>
      <c r="B441" s="101" t="s">
        <v>226</v>
      </c>
      <c r="C441" s="24">
        <v>40000</v>
      </c>
      <c r="D441" s="14"/>
      <c r="E441" s="381"/>
      <c r="F441" s="1"/>
      <c r="G441" s="349"/>
    </row>
    <row r="442" spans="1:8" s="3" customFormat="1" ht="14.25" customHeight="1" x14ac:dyDescent="0.25">
      <c r="A442" s="11" t="s">
        <v>105</v>
      </c>
      <c r="B442" s="11" t="s">
        <v>106</v>
      </c>
      <c r="C442" s="32">
        <f>SUM(C443)</f>
        <v>250270</v>
      </c>
      <c r="D442" s="14"/>
      <c r="E442" s="14"/>
      <c r="F442" s="1"/>
      <c r="G442" s="349"/>
    </row>
    <row r="443" spans="1:8" s="72" customFormat="1" ht="12.75" customHeight="1" x14ac:dyDescent="0.25">
      <c r="A443" s="12" t="s">
        <v>86</v>
      </c>
      <c r="B443" s="72" t="s">
        <v>66</v>
      </c>
      <c r="C443" s="24">
        <v>250270</v>
      </c>
      <c r="D443" s="364"/>
      <c r="E443" s="18"/>
      <c r="F443" s="3"/>
      <c r="G443" s="341"/>
    </row>
    <row r="444" spans="1:8" s="72" customFormat="1" ht="12.75" customHeight="1" x14ac:dyDescent="0.25">
      <c r="A444" s="11" t="s">
        <v>107</v>
      </c>
      <c r="B444" s="265" t="s">
        <v>108</v>
      </c>
      <c r="C444" s="31">
        <f>SUM(C445)</f>
        <v>15060</v>
      </c>
      <c r="D444" s="18"/>
      <c r="E444" s="18"/>
      <c r="F444" s="3"/>
      <c r="G444" s="341"/>
    </row>
    <row r="445" spans="1:8" s="5" customFormat="1" ht="13" x14ac:dyDescent="0.25">
      <c r="A445" s="12" t="s">
        <v>47</v>
      </c>
      <c r="B445" s="23" t="s">
        <v>48</v>
      </c>
      <c r="C445" s="24">
        <v>15060</v>
      </c>
      <c r="D445" s="18"/>
      <c r="E445" s="18"/>
      <c r="F445" s="3"/>
      <c r="G445" s="341"/>
    </row>
    <row r="446" spans="1:8" s="72" customFormat="1" ht="12.75" customHeight="1" x14ac:dyDescent="0.25">
      <c r="A446" s="265" t="s">
        <v>124</v>
      </c>
      <c r="B446" s="25" t="s">
        <v>123</v>
      </c>
      <c r="C446" s="31">
        <f>SUM(C447)</f>
        <v>338900</v>
      </c>
      <c r="D446" s="18"/>
      <c r="E446" s="18"/>
      <c r="F446" s="3"/>
      <c r="G446" s="341"/>
    </row>
    <row r="447" spans="1:8" s="72" customFormat="1" ht="12.75" customHeight="1" x14ac:dyDescent="0.25">
      <c r="A447" s="72" t="s">
        <v>93</v>
      </c>
      <c r="B447" s="23" t="s">
        <v>72</v>
      </c>
      <c r="C447" s="24">
        <v>338900</v>
      </c>
      <c r="D447" s="365"/>
      <c r="E447" s="18"/>
      <c r="F447" s="3"/>
      <c r="G447" s="341"/>
    </row>
    <row r="448" spans="1:8" s="130" customFormat="1" ht="12.75" customHeight="1" x14ac:dyDescent="0.25">
      <c r="A448" s="265" t="s">
        <v>151</v>
      </c>
      <c r="B448" s="25" t="s">
        <v>364</v>
      </c>
      <c r="C448" s="31">
        <f>SUM(C449:C451)</f>
        <v>141000</v>
      </c>
      <c r="D448" s="365"/>
      <c r="E448" s="18"/>
      <c r="F448" s="3"/>
      <c r="G448" s="341"/>
    </row>
    <row r="449" spans="1:256" s="130" customFormat="1" ht="12.75" customHeight="1" x14ac:dyDescent="0.25">
      <c r="A449" s="72" t="s">
        <v>153</v>
      </c>
      <c r="B449" s="23" t="s">
        <v>70</v>
      </c>
      <c r="C449" s="24">
        <v>15000</v>
      </c>
      <c r="D449" s="78"/>
      <c r="E449" s="25"/>
      <c r="F449" s="101"/>
      <c r="G449" s="96"/>
    </row>
    <row r="450" spans="1:256" s="126" customFormat="1" ht="12.75" customHeight="1" x14ac:dyDescent="0.25">
      <c r="A450" s="72" t="s">
        <v>155</v>
      </c>
      <c r="B450" s="23" t="s">
        <v>364</v>
      </c>
      <c r="C450" s="24">
        <v>76800</v>
      </c>
      <c r="D450" s="366"/>
      <c r="E450" s="18"/>
      <c r="F450" s="3"/>
      <c r="G450" s="341"/>
      <c r="H450" s="348"/>
    </row>
    <row r="451" spans="1:256" s="130" customFormat="1" ht="12.75" customHeight="1" x14ac:dyDescent="0.25">
      <c r="A451" s="72" t="s">
        <v>699</v>
      </c>
      <c r="B451" s="43" t="s">
        <v>698</v>
      </c>
      <c r="C451" s="24">
        <v>49200</v>
      </c>
      <c r="D451" s="366"/>
      <c r="E451" s="18"/>
      <c r="F451" s="3"/>
      <c r="G451" s="341"/>
      <c r="H451" s="27"/>
    </row>
    <row r="452" spans="1:256" s="130" customFormat="1" ht="12.75" customHeight="1" thickBot="1" x14ac:dyDescent="0.3">
      <c r="A452" s="72"/>
      <c r="B452" s="23"/>
      <c r="C452" s="23"/>
      <c r="D452" s="366"/>
      <c r="E452" s="18"/>
      <c r="F452" s="3"/>
      <c r="G452" s="341"/>
      <c r="H452" s="27"/>
    </row>
    <row r="453" spans="1:256" s="130" customFormat="1" ht="12.75" customHeight="1" thickBot="1" x14ac:dyDescent="0.3">
      <c r="A453" s="1096" t="s">
        <v>3</v>
      </c>
      <c r="B453" s="1097"/>
      <c r="C453" s="668">
        <f>C454+C456+C458+C461+C463</f>
        <v>2382460</v>
      </c>
      <c r="D453" s="365"/>
      <c r="E453" s="18"/>
      <c r="F453" s="3"/>
      <c r="G453" s="341"/>
      <c r="H453" s="14"/>
    </row>
    <row r="454" spans="1:256" s="130" customFormat="1" ht="12.75" customHeight="1" x14ac:dyDescent="0.25">
      <c r="A454" s="11" t="s">
        <v>110</v>
      </c>
      <c r="B454" s="11" t="s">
        <v>111</v>
      </c>
      <c r="C454" s="32">
        <f>SUM(C455)</f>
        <v>439680</v>
      </c>
      <c r="D454" s="126"/>
      <c r="E454" s="126"/>
      <c r="F454" s="349"/>
      <c r="G454" s="367"/>
      <c r="H454" s="14"/>
    </row>
    <row r="455" spans="1:256" s="130" customFormat="1" ht="12.75" customHeight="1" x14ac:dyDescent="0.25">
      <c r="A455" s="12" t="s">
        <v>52</v>
      </c>
      <c r="B455" s="12" t="s">
        <v>15</v>
      </c>
      <c r="C455" s="24">
        <v>439680</v>
      </c>
      <c r="F455" s="101"/>
      <c r="G455" s="366"/>
      <c r="H455" s="14"/>
    </row>
    <row r="456" spans="1:256" s="72" customFormat="1" ht="13.5" customHeight="1" x14ac:dyDescent="0.25">
      <c r="A456" s="265" t="s">
        <v>112</v>
      </c>
      <c r="B456" s="11" t="s">
        <v>157</v>
      </c>
      <c r="C456" s="31">
        <f>SUM(C457:C457)</f>
        <v>357250</v>
      </c>
      <c r="D456" s="130"/>
      <c r="E456" s="130"/>
      <c r="F456" s="101"/>
      <c r="G456" s="366"/>
      <c r="H456" s="147"/>
      <c r="I456" s="147"/>
      <c r="J456" s="147"/>
      <c r="K456" s="147"/>
      <c r="L456" s="147"/>
      <c r="M456" s="147"/>
      <c r="N456" s="147"/>
      <c r="O456" s="147"/>
      <c r="P456" s="147"/>
      <c r="Q456" s="147"/>
      <c r="R456" s="147"/>
      <c r="S456" s="147"/>
      <c r="T456" s="147"/>
      <c r="U456" s="147"/>
      <c r="V456" s="147"/>
      <c r="W456" s="147"/>
      <c r="X456" s="147"/>
      <c r="Y456" s="147"/>
      <c r="Z456" s="147"/>
      <c r="AA456" s="147"/>
      <c r="AB456" s="147"/>
      <c r="AC456" s="147"/>
      <c r="AD456" s="147"/>
      <c r="AE456" s="147"/>
      <c r="AF456" s="147"/>
      <c r="AG456" s="147"/>
      <c r="AH456" s="147"/>
      <c r="AI456" s="147"/>
      <c r="AJ456" s="147"/>
      <c r="AK456" s="147"/>
      <c r="AL456" s="147"/>
      <c r="AM456" s="147"/>
      <c r="AN456" s="147"/>
      <c r="AO456" s="147"/>
      <c r="AP456" s="147"/>
      <c r="AQ456" s="147"/>
      <c r="AR456" s="147"/>
      <c r="AS456" s="147"/>
      <c r="AT456" s="147"/>
      <c r="AU456" s="147"/>
      <c r="AV456" s="147"/>
      <c r="AW456" s="147"/>
      <c r="AX456" s="147"/>
      <c r="AY456" s="147"/>
      <c r="AZ456" s="147"/>
      <c r="BA456" s="147"/>
      <c r="BB456" s="147"/>
      <c r="BC456" s="147"/>
      <c r="BD456" s="147"/>
      <c r="BE456" s="147"/>
      <c r="BF456" s="147"/>
      <c r="BG456" s="147"/>
      <c r="BH456" s="147"/>
      <c r="BI456" s="147"/>
      <c r="BJ456" s="147"/>
      <c r="BK456" s="147"/>
      <c r="BL456" s="147"/>
      <c r="BM456" s="147"/>
      <c r="BN456" s="147"/>
      <c r="BO456" s="147"/>
      <c r="BP456" s="147"/>
      <c r="BQ456" s="147"/>
      <c r="BR456" s="147"/>
      <c r="BS456" s="147"/>
      <c r="BT456" s="147"/>
      <c r="BU456" s="147"/>
      <c r="BV456" s="147"/>
      <c r="BW456" s="147"/>
      <c r="BX456" s="147"/>
      <c r="BY456" s="147"/>
      <c r="BZ456" s="147"/>
      <c r="CA456" s="147"/>
      <c r="CB456" s="147"/>
      <c r="CC456" s="147"/>
      <c r="CD456" s="147"/>
      <c r="CE456" s="147"/>
      <c r="CF456" s="147"/>
      <c r="CG456" s="147"/>
      <c r="CH456" s="147"/>
      <c r="CI456" s="147"/>
      <c r="CJ456" s="147"/>
      <c r="CK456" s="147"/>
      <c r="CL456" s="147"/>
      <c r="CM456" s="147"/>
      <c r="CN456" s="147"/>
      <c r="CO456" s="147"/>
      <c r="CP456" s="147"/>
      <c r="CQ456" s="147"/>
      <c r="CR456" s="147"/>
      <c r="CS456" s="147"/>
      <c r="CT456" s="147"/>
      <c r="CU456" s="147"/>
      <c r="CV456" s="147"/>
      <c r="CW456" s="147"/>
      <c r="CX456" s="147"/>
      <c r="CY456" s="147"/>
      <c r="CZ456" s="147"/>
      <c r="DA456" s="147"/>
      <c r="DB456" s="147"/>
      <c r="DC456" s="147"/>
      <c r="DD456" s="147"/>
      <c r="DE456" s="147"/>
      <c r="DF456" s="147"/>
      <c r="DG456" s="147"/>
      <c r="DH456" s="147"/>
      <c r="DI456" s="147"/>
      <c r="DJ456" s="147"/>
      <c r="DK456" s="147"/>
      <c r="DL456" s="147"/>
      <c r="DM456" s="147"/>
      <c r="DN456" s="147"/>
      <c r="DO456" s="147"/>
      <c r="DP456" s="147"/>
      <c r="DQ456" s="147"/>
      <c r="DR456" s="147"/>
      <c r="DS456" s="147"/>
      <c r="DT456" s="147"/>
      <c r="DU456" s="147"/>
      <c r="DV456" s="147"/>
      <c r="DW456" s="147"/>
      <c r="DX456" s="147"/>
      <c r="DY456" s="147"/>
      <c r="DZ456" s="147"/>
      <c r="EA456" s="147"/>
      <c r="EB456" s="147"/>
      <c r="EC456" s="147"/>
      <c r="ED456" s="147"/>
      <c r="EE456" s="147"/>
      <c r="EF456" s="147"/>
      <c r="EG456" s="147"/>
      <c r="EH456" s="147"/>
      <c r="EI456" s="147"/>
      <c r="EJ456" s="147"/>
      <c r="EK456" s="147"/>
      <c r="EL456" s="147"/>
      <c r="EM456" s="147"/>
      <c r="EN456" s="147"/>
      <c r="EO456" s="147"/>
      <c r="EP456" s="147"/>
      <c r="EQ456" s="147"/>
      <c r="ER456" s="147"/>
      <c r="ES456" s="147"/>
      <c r="ET456" s="147"/>
      <c r="EU456" s="147"/>
      <c r="EV456" s="147"/>
      <c r="EW456" s="147"/>
      <c r="EX456" s="147"/>
      <c r="EY456" s="147"/>
      <c r="EZ456" s="147"/>
      <c r="FA456" s="147"/>
      <c r="FB456" s="147"/>
      <c r="FC456" s="147"/>
      <c r="FD456" s="147"/>
      <c r="FE456" s="147"/>
      <c r="FF456" s="147"/>
      <c r="FG456" s="147"/>
      <c r="FH456" s="147"/>
      <c r="FI456" s="147"/>
      <c r="FJ456" s="147"/>
      <c r="FK456" s="147"/>
      <c r="FL456" s="147"/>
      <c r="FM456" s="147"/>
      <c r="FN456" s="147"/>
      <c r="FO456" s="147"/>
      <c r="FP456" s="147"/>
      <c r="FQ456" s="147"/>
      <c r="FR456" s="147"/>
      <c r="FS456" s="147"/>
      <c r="FT456" s="147"/>
      <c r="FU456" s="147"/>
      <c r="FV456" s="147"/>
      <c r="FW456" s="147"/>
      <c r="FX456" s="147"/>
      <c r="FY456" s="147"/>
      <c r="FZ456" s="147"/>
      <c r="GA456" s="147"/>
      <c r="GB456" s="147"/>
      <c r="GC456" s="147"/>
      <c r="GD456" s="147"/>
      <c r="GE456" s="147"/>
      <c r="GF456" s="147"/>
      <c r="GG456" s="147"/>
      <c r="GH456" s="147"/>
      <c r="GI456" s="147"/>
      <c r="GJ456" s="147"/>
      <c r="GK456" s="147"/>
      <c r="GL456" s="147"/>
      <c r="GM456" s="147"/>
      <c r="GN456" s="147"/>
      <c r="GO456" s="147"/>
      <c r="GP456" s="147"/>
      <c r="GQ456" s="147"/>
      <c r="GR456" s="147"/>
      <c r="GS456" s="147"/>
      <c r="GT456" s="147"/>
      <c r="GU456" s="147"/>
      <c r="GV456" s="147"/>
      <c r="GW456" s="147"/>
      <c r="GX456" s="147"/>
      <c r="GY456" s="147"/>
      <c r="GZ456" s="147"/>
      <c r="HA456" s="147"/>
      <c r="HB456" s="147"/>
      <c r="HC456" s="147"/>
      <c r="HD456" s="147"/>
      <c r="HE456" s="147"/>
      <c r="HF456" s="147"/>
      <c r="HG456" s="147"/>
      <c r="HH456" s="147"/>
      <c r="HI456" s="147"/>
      <c r="HJ456" s="147"/>
      <c r="HK456" s="147"/>
      <c r="HL456" s="147"/>
      <c r="HM456" s="147"/>
      <c r="HN456" s="147"/>
      <c r="HO456" s="147"/>
      <c r="HP456" s="147"/>
      <c r="HQ456" s="147"/>
      <c r="HR456" s="147"/>
      <c r="HS456" s="147"/>
      <c r="HT456" s="147"/>
      <c r="HU456" s="147"/>
      <c r="HV456" s="147"/>
      <c r="HW456" s="147"/>
      <c r="HX456" s="147"/>
      <c r="HY456" s="147"/>
      <c r="HZ456" s="147"/>
      <c r="IA456" s="147"/>
      <c r="IB456" s="147"/>
      <c r="IC456" s="147"/>
      <c r="ID456" s="147"/>
      <c r="IE456" s="147"/>
      <c r="IF456" s="147"/>
      <c r="IG456" s="147"/>
      <c r="IH456" s="147"/>
      <c r="II456" s="147"/>
      <c r="IJ456" s="147"/>
      <c r="IK456" s="147"/>
      <c r="IL456" s="147"/>
      <c r="IM456" s="147"/>
      <c r="IN456" s="147"/>
      <c r="IO456" s="147"/>
      <c r="IP456" s="147"/>
      <c r="IQ456" s="147"/>
      <c r="IR456" s="147"/>
      <c r="IS456" s="147"/>
      <c r="IT456" s="147"/>
      <c r="IU456" s="147"/>
      <c r="IV456" s="147"/>
    </row>
    <row r="457" spans="1:256" s="72" customFormat="1" ht="12.75" customHeight="1" x14ac:dyDescent="0.25">
      <c r="A457" s="72" t="s">
        <v>49</v>
      </c>
      <c r="B457" s="23" t="s">
        <v>87</v>
      </c>
      <c r="C457" s="24">
        <v>357250</v>
      </c>
      <c r="D457" s="130"/>
      <c r="E457" s="130"/>
      <c r="F457" s="14"/>
      <c r="G457" s="369"/>
    </row>
    <row r="458" spans="1:256" s="130" customFormat="1" ht="12.75" customHeight="1" x14ac:dyDescent="0.25">
      <c r="A458" s="265" t="s">
        <v>113</v>
      </c>
      <c r="B458" s="25" t="s">
        <v>114</v>
      </c>
      <c r="C458" s="31">
        <f>SUM(C459:C460)</f>
        <v>62900</v>
      </c>
      <c r="F458" s="14"/>
      <c r="G458" s="361"/>
      <c r="H458" s="364"/>
    </row>
    <row r="459" spans="1:256" s="130" customFormat="1" ht="12.75" customHeight="1" x14ac:dyDescent="0.25">
      <c r="A459" s="12" t="s">
        <v>164</v>
      </c>
      <c r="B459" s="12" t="s">
        <v>74</v>
      </c>
      <c r="C459" s="24">
        <v>15000</v>
      </c>
      <c r="D459" s="72"/>
      <c r="E459" s="72"/>
      <c r="F459" s="72"/>
      <c r="G459" s="424"/>
      <c r="H459" s="71"/>
    </row>
    <row r="460" spans="1:256" s="72" customFormat="1" ht="12.75" customHeight="1" x14ac:dyDescent="0.25">
      <c r="A460" s="72" t="s">
        <v>88</v>
      </c>
      <c r="B460" s="23" t="s">
        <v>64</v>
      </c>
      <c r="C460" s="24">
        <v>47900</v>
      </c>
      <c r="G460" s="370"/>
      <c r="H460" s="12"/>
    </row>
    <row r="461" spans="1:256" s="72" customFormat="1" ht="12.75" customHeight="1" x14ac:dyDescent="0.25">
      <c r="A461" s="265" t="s">
        <v>132</v>
      </c>
      <c r="B461" s="25" t="s">
        <v>56</v>
      </c>
      <c r="C461" s="31">
        <f>SUM(C462)</f>
        <v>93700</v>
      </c>
      <c r="G461" s="370"/>
      <c r="H461" s="364"/>
    </row>
    <row r="462" spans="1:256" s="5" customFormat="1" ht="13" x14ac:dyDescent="0.25">
      <c r="A462" s="72" t="s">
        <v>55</v>
      </c>
      <c r="B462" s="72" t="s">
        <v>56</v>
      </c>
      <c r="C462" s="24">
        <v>93700</v>
      </c>
      <c r="D462" s="130"/>
      <c r="E462" s="130"/>
      <c r="F462" s="130"/>
      <c r="G462" s="370"/>
      <c r="H462" s="120"/>
    </row>
    <row r="463" spans="1:256" s="130" customFormat="1" ht="12.75" customHeight="1" x14ac:dyDescent="0.25">
      <c r="A463" s="265" t="s">
        <v>115</v>
      </c>
      <c r="B463" s="25" t="s">
        <v>8</v>
      </c>
      <c r="C463" s="31">
        <f>SUM(C464:C467)</f>
        <v>1428930</v>
      </c>
      <c r="F463" s="371"/>
      <c r="G463" s="364"/>
    </row>
    <row r="464" spans="1:256" s="130" customFormat="1" ht="12.75" customHeight="1" x14ac:dyDescent="0.25">
      <c r="A464" s="72" t="s">
        <v>92</v>
      </c>
      <c r="B464" s="23" t="s">
        <v>8</v>
      </c>
      <c r="C464" s="24">
        <v>500630</v>
      </c>
      <c r="D464" s="72"/>
      <c r="E464" s="72"/>
      <c r="F464" s="371"/>
      <c r="G464" s="369"/>
    </row>
    <row r="465" spans="1:11" s="265" customFormat="1" ht="13.5" customHeight="1" x14ac:dyDescent="0.25">
      <c r="A465" s="72" t="s">
        <v>181</v>
      </c>
      <c r="B465" s="23" t="s">
        <v>50</v>
      </c>
      <c r="C465" s="24">
        <v>8600</v>
      </c>
      <c r="D465" s="72"/>
      <c r="E465" s="72"/>
      <c r="F465" s="372"/>
      <c r="G465" s="361"/>
    </row>
    <row r="466" spans="1:11" s="101" customFormat="1" ht="13.5" customHeight="1" x14ac:dyDescent="0.25">
      <c r="A466" s="72" t="s">
        <v>222</v>
      </c>
      <c r="B466" s="12" t="s">
        <v>221</v>
      </c>
      <c r="C466" s="24">
        <v>205350</v>
      </c>
      <c r="D466" s="5"/>
      <c r="E466" s="5"/>
      <c r="F466" s="120"/>
      <c r="G466" s="24"/>
    </row>
    <row r="467" spans="1:11" s="71" customFormat="1" ht="13.5" customHeight="1" x14ac:dyDescent="0.25">
      <c r="A467" s="72" t="s">
        <v>90</v>
      </c>
      <c r="B467" s="23" t="s">
        <v>7</v>
      </c>
      <c r="C467" s="22">
        <v>714350</v>
      </c>
      <c r="E467" s="364"/>
      <c r="F467" s="372"/>
      <c r="G467" s="341"/>
      <c r="K467" s="147"/>
    </row>
    <row r="468" spans="1:11" s="72" customFormat="1" ht="13.5" customHeight="1" thickBot="1" x14ac:dyDescent="0.3">
      <c r="C468" s="96"/>
      <c r="D468" s="14"/>
      <c r="E468" s="364"/>
      <c r="F468" s="372"/>
      <c r="G468" s="341"/>
    </row>
    <row r="469" spans="1:11" s="72" customFormat="1" ht="13.5" customHeight="1" thickBot="1" x14ac:dyDescent="0.3">
      <c r="A469" s="1115" t="s">
        <v>5</v>
      </c>
      <c r="B469" s="1116"/>
      <c r="C469" s="669">
        <f>C470</f>
        <v>372000</v>
      </c>
      <c r="D469" s="352"/>
      <c r="E469" s="353"/>
      <c r="F469" s="354"/>
      <c r="G469" s="355"/>
    </row>
    <row r="470" spans="1:11" s="72" customFormat="1" ht="13.5" customHeight="1" x14ac:dyDescent="0.25">
      <c r="A470" s="11" t="s">
        <v>128</v>
      </c>
      <c r="B470" s="298" t="s">
        <v>129</v>
      </c>
      <c r="C470" s="32">
        <f>SUM(C471:C473)</f>
        <v>372000</v>
      </c>
      <c r="D470" s="356"/>
      <c r="E470" s="357"/>
      <c r="F470" s="357"/>
      <c r="G470" s="358"/>
    </row>
    <row r="471" spans="1:11" s="130" customFormat="1" ht="12.75" customHeight="1" x14ac:dyDescent="0.25">
      <c r="A471" s="12" t="s">
        <v>353</v>
      </c>
      <c r="B471" s="12" t="s">
        <v>354</v>
      </c>
      <c r="C471" s="24">
        <v>247000</v>
      </c>
      <c r="D471" s="359"/>
      <c r="E471" s="24"/>
      <c r="F471" s="360"/>
      <c r="G471" s="361"/>
    </row>
    <row r="472" spans="1:11" s="72" customFormat="1" x14ac:dyDescent="0.25">
      <c r="A472" s="12" t="s">
        <v>146</v>
      </c>
      <c r="B472" s="43" t="s">
        <v>145</v>
      </c>
      <c r="C472" s="24">
        <v>75000</v>
      </c>
      <c r="D472" s="359"/>
      <c r="E472" s="24"/>
      <c r="F472" s="360"/>
      <c r="G472" s="361"/>
    </row>
    <row r="473" spans="1:11" s="130" customFormat="1" ht="12.75" customHeight="1" x14ac:dyDescent="0.25">
      <c r="A473" s="12" t="s">
        <v>144</v>
      </c>
      <c r="B473" s="24" t="s">
        <v>12</v>
      </c>
      <c r="C473" s="24">
        <v>50000</v>
      </c>
      <c r="D473" s="362"/>
      <c r="E473" s="353"/>
      <c r="F473" s="352"/>
      <c r="G473" s="363"/>
    </row>
    <row r="474" spans="1:11" s="130" customFormat="1" ht="12.75" customHeight="1" thickBot="1" x14ac:dyDescent="0.3">
      <c r="A474" s="72"/>
      <c r="B474" s="24"/>
      <c r="C474" s="24"/>
      <c r="D474" s="362"/>
      <c r="E474" s="353"/>
      <c r="F474" s="352"/>
      <c r="G474" s="363"/>
    </row>
    <row r="475" spans="1:11" s="5" customFormat="1" ht="13.5" thickBot="1" x14ac:dyDescent="0.3">
      <c r="A475" s="1100" t="s">
        <v>4</v>
      </c>
      <c r="B475" s="1101"/>
      <c r="C475" s="670">
        <f>+C476+C478</f>
        <v>78000</v>
      </c>
      <c r="D475" s="14"/>
      <c r="E475" s="364"/>
      <c r="F475" s="374"/>
      <c r="G475" s="341"/>
    </row>
    <row r="476" spans="1:11" s="5" customFormat="1" ht="13" x14ac:dyDescent="0.25">
      <c r="A476" s="265" t="s">
        <v>116</v>
      </c>
      <c r="B476" s="265" t="s">
        <v>117</v>
      </c>
      <c r="C476" s="25">
        <f>SUM(C477)</f>
        <v>26000</v>
      </c>
      <c r="D476" s="28"/>
      <c r="E476" s="345"/>
      <c r="F476" s="196"/>
      <c r="G476" s="342"/>
    </row>
    <row r="477" spans="1:11" ht="13.5" customHeight="1" x14ac:dyDescent="0.25">
      <c r="A477" s="72" t="s">
        <v>91</v>
      </c>
      <c r="B477" s="72" t="s">
        <v>139</v>
      </c>
      <c r="C477" s="24">
        <v>26000</v>
      </c>
      <c r="D477" s="28"/>
      <c r="E477" s="345"/>
      <c r="F477" s="196"/>
      <c r="G477" s="342"/>
    </row>
    <row r="478" spans="1:11" s="1" customFormat="1" ht="13.5" customHeight="1" x14ac:dyDescent="0.25">
      <c r="A478" s="265" t="s">
        <v>166</v>
      </c>
      <c r="B478" s="25" t="s">
        <v>135</v>
      </c>
      <c r="C478" s="31">
        <f>SUM(C479)</f>
        <v>52000</v>
      </c>
      <c r="D478" s="28"/>
      <c r="E478" s="345"/>
      <c r="F478" s="196"/>
      <c r="G478" s="342"/>
    </row>
    <row r="479" spans="1:11" s="1" customFormat="1" ht="13" x14ac:dyDescent="0.25">
      <c r="A479" s="72" t="s">
        <v>167</v>
      </c>
      <c r="B479" s="23" t="s">
        <v>51</v>
      </c>
      <c r="C479" s="24">
        <v>52000</v>
      </c>
      <c r="D479" s="18"/>
      <c r="E479" s="349"/>
      <c r="G479" s="341"/>
    </row>
    <row r="480" spans="1:11" s="1" customFormat="1" ht="13" x14ac:dyDescent="0.25">
      <c r="A480" s="72"/>
      <c r="B480" s="23"/>
      <c r="C480" s="24"/>
      <c r="D480" s="18"/>
      <c r="E480" s="349"/>
      <c r="G480" s="341"/>
    </row>
    <row r="481" spans="1:7" customFormat="1" ht="13" thickBot="1" x14ac:dyDescent="0.3">
      <c r="A481" s="415"/>
      <c r="B481" s="415"/>
      <c r="C481" s="23"/>
      <c r="D481" s="22"/>
      <c r="E481" s="24"/>
      <c r="F481" s="233"/>
      <c r="G481" s="418"/>
    </row>
    <row r="482" spans="1:7" customFormat="1" ht="13" x14ac:dyDescent="0.25">
      <c r="A482" s="1117" t="s">
        <v>935</v>
      </c>
      <c r="B482" s="1118"/>
      <c r="C482" s="1119"/>
      <c r="D482" s="692" t="s">
        <v>6</v>
      </c>
      <c r="E482" s="911">
        <v>1508</v>
      </c>
      <c r="F482" s="419"/>
      <c r="G482" s="405"/>
    </row>
    <row r="483" spans="1:7" customFormat="1" ht="13.5" thickBot="1" x14ac:dyDescent="0.3">
      <c r="A483" s="1120"/>
      <c r="B483" s="1121"/>
      <c r="C483" s="1122"/>
      <c r="D483" s="734"/>
      <c r="E483" s="738"/>
      <c r="F483" s="419"/>
      <c r="G483" s="405"/>
    </row>
    <row r="484" spans="1:7" customFormat="1" ht="12.5" x14ac:dyDescent="0.25">
      <c r="A484" s="1123" t="s">
        <v>936</v>
      </c>
      <c r="B484" s="1124"/>
      <c r="C484" s="1124"/>
      <c r="D484" s="1124"/>
      <c r="E484" s="1125"/>
    </row>
    <row r="485" spans="1:7" customFormat="1" ht="12.5" x14ac:dyDescent="0.25">
      <c r="A485" s="1126"/>
      <c r="B485" s="1127"/>
      <c r="C485" s="1127"/>
      <c r="D485" s="1127"/>
      <c r="E485" s="1128"/>
    </row>
    <row r="486" spans="1:7" customFormat="1" ht="12.5" x14ac:dyDescent="0.25">
      <c r="A486" s="1126"/>
      <c r="B486" s="1127"/>
      <c r="C486" s="1127"/>
      <c r="D486" s="1127"/>
      <c r="E486" s="1128"/>
    </row>
    <row r="487" spans="1:7" customFormat="1" ht="12.5" x14ac:dyDescent="0.25">
      <c r="A487" s="1126"/>
      <c r="B487" s="1127"/>
      <c r="C487" s="1127"/>
      <c r="D487" s="1127"/>
      <c r="E487" s="1128"/>
    </row>
    <row r="488" spans="1:7" customFormat="1" ht="13" thickBot="1" x14ac:dyDescent="0.3">
      <c r="A488" s="1129"/>
      <c r="B488" s="1130"/>
      <c r="C488" s="1130"/>
      <c r="D488" s="1130"/>
      <c r="E488" s="1131"/>
    </row>
    <row r="489" spans="1:7" s="183" customFormat="1" ht="12.5" x14ac:dyDescent="0.25">
      <c r="A489" s="41" t="s">
        <v>1029</v>
      </c>
      <c r="B489" s="12"/>
      <c r="C489" s="143"/>
      <c r="D489" s="71"/>
      <c r="E489" s="141"/>
    </row>
    <row r="490" spans="1:7" s="183" customFormat="1" ht="12.5" x14ac:dyDescent="0.25">
      <c r="A490" s="41" t="s">
        <v>686</v>
      </c>
      <c r="B490" s="12"/>
      <c r="C490" s="143"/>
      <c r="D490" s="71"/>
      <c r="E490" s="141"/>
    </row>
    <row r="491" spans="1:7" s="183" customFormat="1" ht="12.5" x14ac:dyDescent="0.25">
      <c r="A491" s="41" t="s">
        <v>1040</v>
      </c>
      <c r="B491" s="12"/>
      <c r="C491" s="143"/>
      <c r="D491" s="71"/>
      <c r="E491" s="141"/>
    </row>
    <row r="492" spans="1:7" customFormat="1" ht="13" thickBot="1" x14ac:dyDescent="0.3">
      <c r="A492" s="41" t="s">
        <v>11</v>
      </c>
      <c r="B492" s="140"/>
      <c r="C492" s="139"/>
      <c r="D492" s="447"/>
      <c r="E492" s="137"/>
    </row>
    <row r="493" spans="1:7" customFormat="1" ht="13" thickBot="1" x14ac:dyDescent="0.3">
      <c r="A493" s="762" t="s">
        <v>0</v>
      </c>
      <c r="B493" s="763"/>
      <c r="C493" s="764"/>
      <c r="D493" s="766"/>
      <c r="E493" s="772">
        <f>+C495+C511+C528+C533</f>
        <v>2342160</v>
      </c>
      <c r="F493" s="448"/>
    </row>
    <row r="494" spans="1:7" customFormat="1" ht="13" thickBot="1" x14ac:dyDescent="0.3">
      <c r="A494" s="12"/>
      <c r="B494" s="12"/>
      <c r="C494" s="24"/>
      <c r="D494" s="24"/>
      <c r="E494" s="24"/>
    </row>
    <row r="495" spans="1:7" customFormat="1" ht="13" thickBot="1" x14ac:dyDescent="0.3">
      <c r="A495" s="1104" t="s">
        <v>2</v>
      </c>
      <c r="B495" s="1105"/>
      <c r="C495" s="667">
        <f>C496+C498+C500+C502+C504+C506</f>
        <v>438360</v>
      </c>
      <c r="D495" s="23"/>
      <c r="E495" s="108"/>
    </row>
    <row r="496" spans="1:7" customFormat="1" ht="12.5" x14ac:dyDescent="0.25">
      <c r="A496" s="11" t="s">
        <v>103</v>
      </c>
      <c r="B496" s="298" t="s">
        <v>104</v>
      </c>
      <c r="C496" s="32">
        <f>SUM(C497)</f>
        <v>45210</v>
      </c>
      <c r="D496" s="208"/>
      <c r="E496" s="101"/>
    </row>
    <row r="497" spans="1:8" customFormat="1" ht="12.5" x14ac:dyDescent="0.25">
      <c r="A497" s="12" t="s">
        <v>46</v>
      </c>
      <c r="B497" s="72" t="s">
        <v>45</v>
      </c>
      <c r="C497" s="24">
        <v>45210</v>
      </c>
      <c r="D497" s="96"/>
      <c r="E497" s="31"/>
    </row>
    <row r="498" spans="1:8" customFormat="1" ht="12.5" x14ac:dyDescent="0.25">
      <c r="A498" s="11" t="s">
        <v>199</v>
      </c>
      <c r="B498" s="265" t="s">
        <v>219</v>
      </c>
      <c r="C498" s="31">
        <f>SUM(C499)</f>
        <v>20400</v>
      </c>
      <c r="D498" s="23"/>
      <c r="E498" s="23"/>
    </row>
    <row r="499" spans="1:8" customFormat="1" ht="12.5" x14ac:dyDescent="0.25">
      <c r="A499" s="12" t="s">
        <v>227</v>
      </c>
      <c r="B499" s="12" t="s">
        <v>226</v>
      </c>
      <c r="C499" s="24">
        <v>20400</v>
      </c>
      <c r="D499" s="78"/>
      <c r="E499" s="25"/>
    </row>
    <row r="500" spans="1:8" customFormat="1" ht="12.5" x14ac:dyDescent="0.25">
      <c r="A500" s="11" t="s">
        <v>105</v>
      </c>
      <c r="B500" s="265" t="s">
        <v>106</v>
      </c>
      <c r="C500" s="32">
        <f>SUM(C501)</f>
        <v>119600</v>
      </c>
      <c r="D500" s="96"/>
      <c r="E500" s="131"/>
    </row>
    <row r="501" spans="1:8" customFormat="1" ht="12.5" x14ac:dyDescent="0.25">
      <c r="A501" s="12" t="s">
        <v>86</v>
      </c>
      <c r="B501" s="12" t="s">
        <v>66</v>
      </c>
      <c r="C501" s="24">
        <v>119600</v>
      </c>
      <c r="D501" s="23"/>
      <c r="E501" s="23"/>
    </row>
    <row r="502" spans="1:8" s="5" customFormat="1" ht="13.5" customHeight="1" x14ac:dyDescent="0.25">
      <c r="A502" s="11" t="s">
        <v>107</v>
      </c>
      <c r="B502" s="265" t="s">
        <v>108</v>
      </c>
      <c r="C502" s="32">
        <f>SUM(C503:C503)</f>
        <v>32400</v>
      </c>
      <c r="D502" s="96"/>
      <c r="E502" s="131"/>
      <c r="F502"/>
      <c r="G502"/>
      <c r="H502" s="147"/>
    </row>
    <row r="503" spans="1:8" customFormat="1" ht="12.5" x14ac:dyDescent="0.25">
      <c r="A503" s="12" t="s">
        <v>47</v>
      </c>
      <c r="B503" s="23" t="s">
        <v>48</v>
      </c>
      <c r="C503" s="24">
        <v>32400</v>
      </c>
      <c r="D503" s="23"/>
      <c r="E503" s="23"/>
    </row>
    <row r="504" spans="1:8" customFormat="1" ht="12.5" x14ac:dyDescent="0.25">
      <c r="A504" s="265" t="s">
        <v>124</v>
      </c>
      <c r="B504" s="265" t="s">
        <v>123</v>
      </c>
      <c r="C504" s="31">
        <f>SUM(C505)</f>
        <v>67380</v>
      </c>
      <c r="D504" s="23"/>
      <c r="E504" s="23"/>
    </row>
    <row r="505" spans="1:8" customFormat="1" ht="12.5" x14ac:dyDescent="0.25">
      <c r="A505" s="72" t="s">
        <v>93</v>
      </c>
      <c r="B505" s="23" t="s">
        <v>72</v>
      </c>
      <c r="C505" s="24">
        <v>67380</v>
      </c>
      <c r="D505" s="23"/>
      <c r="E505" s="23"/>
    </row>
    <row r="506" spans="1:8" customFormat="1" ht="12.5" x14ac:dyDescent="0.25">
      <c r="A506" s="265" t="s">
        <v>151</v>
      </c>
      <c r="B506" s="25" t="s">
        <v>133</v>
      </c>
      <c r="C506" s="31">
        <f>SUM(C507:C509)</f>
        <v>153370</v>
      </c>
      <c r="D506" s="23"/>
      <c r="E506" s="23"/>
    </row>
    <row r="507" spans="1:8" s="130" customFormat="1" ht="12.75" customHeight="1" x14ac:dyDescent="0.25">
      <c r="A507" s="72" t="s">
        <v>153</v>
      </c>
      <c r="B507" s="23" t="s">
        <v>70</v>
      </c>
      <c r="C507" s="24">
        <v>13320</v>
      </c>
      <c r="D507" s="78"/>
      <c r="E507" s="25"/>
      <c r="F507"/>
      <c r="G507"/>
    </row>
    <row r="508" spans="1:8" customFormat="1" ht="12.5" x14ac:dyDescent="0.25">
      <c r="A508" s="72" t="s">
        <v>154</v>
      </c>
      <c r="B508" s="23" t="s">
        <v>125</v>
      </c>
      <c r="C508" s="24">
        <v>73880</v>
      </c>
      <c r="D508" s="23"/>
      <c r="E508" s="23"/>
    </row>
    <row r="509" spans="1:8" customFormat="1" ht="13" x14ac:dyDescent="0.25">
      <c r="A509" s="72" t="s">
        <v>699</v>
      </c>
      <c r="B509" s="43" t="s">
        <v>698</v>
      </c>
      <c r="C509" s="24">
        <v>66170</v>
      </c>
      <c r="D509" s="366"/>
      <c r="E509" s="18"/>
      <c r="F509" s="3"/>
      <c r="G509" s="341"/>
    </row>
    <row r="510" spans="1:8" customFormat="1" ht="13" thickBot="1" x14ac:dyDescent="0.3">
      <c r="A510" s="72"/>
      <c r="B510" s="23"/>
      <c r="C510" s="23"/>
      <c r="D510" s="23"/>
      <c r="E510" s="23"/>
    </row>
    <row r="511" spans="1:8" customFormat="1" ht="13" thickBot="1" x14ac:dyDescent="0.3">
      <c r="A511" s="1096" t="s">
        <v>3</v>
      </c>
      <c r="B511" s="1097"/>
      <c r="C511" s="668">
        <f>+C514+C516+C520+C522+C512</f>
        <v>1781100</v>
      </c>
      <c r="D511" s="23"/>
      <c r="E511" s="23"/>
    </row>
    <row r="512" spans="1:8" customFormat="1" ht="12.5" x14ac:dyDescent="0.25">
      <c r="A512" s="11" t="s">
        <v>110</v>
      </c>
      <c r="B512" s="298" t="s">
        <v>111</v>
      </c>
      <c r="C512" s="32">
        <f>SUM(C513:C513)</f>
        <v>234100</v>
      </c>
      <c r="D512" s="96"/>
      <c r="E512" s="96"/>
    </row>
    <row r="513" spans="1:11" customFormat="1" ht="12.5" x14ac:dyDescent="0.25">
      <c r="A513" s="12" t="s">
        <v>52</v>
      </c>
      <c r="B513" s="12" t="s">
        <v>15</v>
      </c>
      <c r="C513" s="24">
        <v>234100</v>
      </c>
      <c r="D513" s="23"/>
      <c r="E513" s="23"/>
    </row>
    <row r="514" spans="1:11" customFormat="1" ht="12.5" x14ac:dyDescent="0.25">
      <c r="A514" s="11" t="s">
        <v>120</v>
      </c>
      <c r="B514" s="11" t="s">
        <v>121</v>
      </c>
      <c r="C514" s="31">
        <f>SUM(C515)</f>
        <v>19200</v>
      </c>
      <c r="D514" s="23"/>
      <c r="E514" s="23"/>
    </row>
    <row r="515" spans="1:11" customFormat="1" ht="12.5" x14ac:dyDescent="0.25">
      <c r="A515" s="12" t="s">
        <v>136</v>
      </c>
      <c r="B515" s="12" t="s">
        <v>71</v>
      </c>
      <c r="C515" s="24">
        <v>19200</v>
      </c>
      <c r="D515" s="78"/>
      <c r="E515" s="25"/>
    </row>
    <row r="516" spans="1:11" customFormat="1" ht="12.5" x14ac:dyDescent="0.25">
      <c r="A516" s="11" t="s">
        <v>112</v>
      </c>
      <c r="B516" s="11" t="s">
        <v>157</v>
      </c>
      <c r="C516" s="31">
        <f>SUM(C517:C519)</f>
        <v>688300</v>
      </c>
      <c r="D516" s="78"/>
      <c r="E516" s="25"/>
    </row>
    <row r="517" spans="1:11" customFormat="1" ht="12.5" x14ac:dyDescent="0.25">
      <c r="A517" s="12" t="s">
        <v>138</v>
      </c>
      <c r="B517" s="59" t="s">
        <v>878</v>
      </c>
      <c r="C517" s="24">
        <v>9000</v>
      </c>
      <c r="D517" s="23"/>
      <c r="E517" s="23"/>
    </row>
    <row r="518" spans="1:11" customFormat="1" ht="12.5" x14ac:dyDescent="0.25">
      <c r="A518" s="72" t="s">
        <v>156</v>
      </c>
      <c r="B518" s="24" t="s">
        <v>87</v>
      </c>
      <c r="C518" s="24">
        <v>484300</v>
      </c>
      <c r="E518" s="72"/>
      <c r="F518" s="121"/>
      <c r="G518" s="12"/>
    </row>
    <row r="519" spans="1:11" s="72" customFormat="1" ht="13.5" customHeight="1" x14ac:dyDescent="0.25">
      <c r="A519" s="72" t="s">
        <v>889</v>
      </c>
      <c r="B519" s="43" t="s">
        <v>877</v>
      </c>
      <c r="C519" s="24">
        <v>195000</v>
      </c>
      <c r="D519" s="363"/>
      <c r="E519" s="427"/>
      <c r="F519" s="352"/>
      <c r="G519" s="363"/>
      <c r="H519" s="12"/>
      <c r="J519" s="23"/>
    </row>
    <row r="520" spans="1:11" customFormat="1" ht="13" x14ac:dyDescent="0.25">
      <c r="A520" s="11" t="s">
        <v>132</v>
      </c>
      <c r="B520" s="31" t="s">
        <v>56</v>
      </c>
      <c r="C520" s="31">
        <f>SUM(C521)</f>
        <v>74300</v>
      </c>
      <c r="E520" s="120"/>
      <c r="G520" s="24"/>
    </row>
    <row r="521" spans="1:11" customFormat="1" ht="13" x14ac:dyDescent="0.25">
      <c r="A521" s="12" t="s">
        <v>55</v>
      </c>
      <c r="B521" s="24" t="s">
        <v>56</v>
      </c>
      <c r="C521" s="24">
        <f>24300+50000</f>
        <v>74300</v>
      </c>
      <c r="E521" s="120"/>
      <c r="G521" s="24"/>
    </row>
    <row r="522" spans="1:11" customFormat="1" ht="12.5" x14ac:dyDescent="0.25">
      <c r="A522" s="11" t="s">
        <v>115</v>
      </c>
      <c r="B522" s="31" t="s">
        <v>8</v>
      </c>
      <c r="C522" s="31">
        <f>SUM(C523:C526)</f>
        <v>765200</v>
      </c>
      <c r="E522" s="23"/>
      <c r="G522" s="23"/>
    </row>
    <row r="523" spans="1:11" customFormat="1" ht="13" x14ac:dyDescent="0.25">
      <c r="A523" s="12" t="s">
        <v>89</v>
      </c>
      <c r="B523" s="24" t="s">
        <v>8</v>
      </c>
      <c r="C523" s="24">
        <f>291600+200000</f>
        <v>491600</v>
      </c>
      <c r="E523" s="120"/>
      <c r="F523" s="121"/>
      <c r="G523" s="24"/>
    </row>
    <row r="524" spans="1:11" customFormat="1" ht="13" x14ac:dyDescent="0.25">
      <c r="A524" s="12" t="s">
        <v>181</v>
      </c>
      <c r="B524" s="24" t="s">
        <v>50</v>
      </c>
      <c r="C524" s="24">
        <v>8000</v>
      </c>
      <c r="D524" s="120"/>
      <c r="E524" s="120"/>
    </row>
    <row r="525" spans="1:11" customFormat="1" ht="13" x14ac:dyDescent="0.25">
      <c r="A525" s="12" t="s">
        <v>222</v>
      </c>
      <c r="B525" s="24" t="s">
        <v>469</v>
      </c>
      <c r="C525" s="24">
        <v>234000</v>
      </c>
      <c r="D525" s="120"/>
      <c r="E525" s="120"/>
    </row>
    <row r="526" spans="1:11" customFormat="1" ht="13" x14ac:dyDescent="0.25">
      <c r="A526" s="12" t="s">
        <v>90</v>
      </c>
      <c r="B526" s="24" t="s">
        <v>7</v>
      </c>
      <c r="C526" s="24">
        <v>31600</v>
      </c>
      <c r="D526" s="31"/>
      <c r="E526" s="38"/>
      <c r="H526" s="31"/>
      <c r="I526" s="183"/>
      <c r="J526" s="183"/>
      <c r="K526" s="183"/>
    </row>
    <row r="527" spans="1:11" customFormat="1" ht="13.5" thickBot="1" x14ac:dyDescent="0.3">
      <c r="A527" s="12"/>
      <c r="B527" s="24"/>
      <c r="C527" s="24"/>
      <c r="D527" s="31"/>
      <c r="E527" s="38"/>
    </row>
    <row r="528" spans="1:11" customFormat="1" ht="13" thickBot="1" x14ac:dyDescent="0.3">
      <c r="A528" s="1115" t="s">
        <v>5</v>
      </c>
      <c r="B528" s="1116"/>
      <c r="C528" s="669">
        <f>+C529</f>
        <v>70400</v>
      </c>
      <c r="D528" s="12"/>
      <c r="E528" s="12"/>
    </row>
    <row r="529" spans="1:7" customFormat="1" ht="12.5" x14ac:dyDescent="0.25">
      <c r="A529" s="265" t="s">
        <v>128</v>
      </c>
      <c r="B529" s="265" t="s">
        <v>129</v>
      </c>
      <c r="C529" s="31">
        <f>SUM(C530:C531)</f>
        <v>70400</v>
      </c>
      <c r="D529" s="79"/>
      <c r="E529" s="25"/>
    </row>
    <row r="530" spans="1:7" customFormat="1" ht="12.5" x14ac:dyDescent="0.25">
      <c r="A530" s="72" t="s">
        <v>256</v>
      </c>
      <c r="B530" s="72" t="s">
        <v>257</v>
      </c>
      <c r="C530" s="24">
        <v>36000</v>
      </c>
      <c r="G530" s="24"/>
    </row>
    <row r="531" spans="1:7" customFormat="1" ht="12.5" x14ac:dyDescent="0.25">
      <c r="A531" s="72" t="s">
        <v>144</v>
      </c>
      <c r="B531" s="24" t="s">
        <v>12</v>
      </c>
      <c r="C531" s="24">
        <v>34400</v>
      </c>
      <c r="D531" s="78"/>
      <c r="E531" s="25"/>
    </row>
    <row r="532" spans="1:7" customFormat="1" ht="13" thickBot="1" x14ac:dyDescent="0.3">
      <c r="A532" s="12"/>
      <c r="B532" s="12"/>
      <c r="C532" s="24"/>
      <c r="D532" s="24"/>
      <c r="E532" s="23"/>
    </row>
    <row r="533" spans="1:7" customFormat="1" ht="13" thickBot="1" x14ac:dyDescent="0.3">
      <c r="A533" s="1100" t="s">
        <v>4</v>
      </c>
      <c r="B533" s="1101"/>
      <c r="C533" s="670">
        <f>+C534+C537</f>
        <v>52300</v>
      </c>
      <c r="D533" s="23"/>
      <c r="E533" s="23"/>
    </row>
    <row r="534" spans="1:7" s="5" customFormat="1" ht="13" x14ac:dyDescent="0.25">
      <c r="A534" s="265" t="s">
        <v>116</v>
      </c>
      <c r="B534" s="298" t="s">
        <v>117</v>
      </c>
      <c r="C534" s="31">
        <f>SUM(C535:C536)</f>
        <v>38100</v>
      </c>
      <c r="D534" s="78"/>
      <c r="E534" s="78"/>
      <c r="F534"/>
      <c r="G534"/>
    </row>
    <row r="535" spans="1:7" customFormat="1" ht="12.5" x14ac:dyDescent="0.25">
      <c r="A535" s="72" t="s">
        <v>91</v>
      </c>
      <c r="B535" s="23" t="s">
        <v>9</v>
      </c>
      <c r="C535" s="24">
        <v>20100</v>
      </c>
      <c r="D535" s="78"/>
      <c r="E535" s="25"/>
    </row>
    <row r="536" spans="1:7" customFormat="1" ht="13" x14ac:dyDescent="0.25">
      <c r="A536" s="72" t="s">
        <v>57</v>
      </c>
      <c r="B536" s="72" t="s">
        <v>58</v>
      </c>
      <c r="C536" s="24">
        <v>18000</v>
      </c>
      <c r="D536" s="352"/>
      <c r="E536" s="352"/>
      <c r="F536" s="352"/>
      <c r="G536" s="410"/>
    </row>
    <row r="537" spans="1:7" customFormat="1" ht="12.5" x14ac:dyDescent="0.25">
      <c r="A537" s="265" t="s">
        <v>166</v>
      </c>
      <c r="B537" s="25" t="s">
        <v>135</v>
      </c>
      <c r="C537" s="31">
        <f>SUM(C538)</f>
        <v>14200</v>
      </c>
      <c r="D537" s="78"/>
      <c r="E537" s="25"/>
    </row>
    <row r="538" spans="1:7" customFormat="1" ht="12.5" x14ac:dyDescent="0.25">
      <c r="A538" s="72" t="s">
        <v>167</v>
      </c>
      <c r="B538" s="23" t="s">
        <v>51</v>
      </c>
      <c r="C538" s="24">
        <v>14200</v>
      </c>
      <c r="D538" s="78"/>
      <c r="E538" s="25"/>
    </row>
    <row r="539" spans="1:7" customFormat="1" ht="12.5" x14ac:dyDescent="0.25">
      <c r="A539" s="72"/>
      <c r="B539" s="23"/>
      <c r="C539" s="23"/>
      <c r="D539" s="78"/>
      <c r="E539" s="25"/>
    </row>
    <row r="540" spans="1:7" customFormat="1" ht="13" thickBot="1" x14ac:dyDescent="0.3">
      <c r="A540" s="72"/>
      <c r="B540" s="23"/>
      <c r="C540" s="23"/>
      <c r="D540" s="78"/>
      <c r="E540" s="25"/>
    </row>
    <row r="541" spans="1:7" customFormat="1" ht="13" x14ac:dyDescent="0.25">
      <c r="A541" s="1117" t="s">
        <v>937</v>
      </c>
      <c r="B541" s="1118"/>
      <c r="C541" s="1119"/>
      <c r="D541" s="692" t="s">
        <v>6</v>
      </c>
      <c r="E541" s="911">
        <v>1509</v>
      </c>
      <c r="F541" s="419"/>
      <c r="G541" s="405"/>
    </row>
    <row r="542" spans="1:7" customFormat="1" ht="13.5" thickBot="1" x14ac:dyDescent="0.3">
      <c r="A542" s="1120"/>
      <c r="B542" s="1121"/>
      <c r="C542" s="1122"/>
      <c r="D542" s="695"/>
      <c r="E542" s="696"/>
    </row>
    <row r="543" spans="1:7" customFormat="1" ht="12.5" x14ac:dyDescent="0.25">
      <c r="A543" s="1123" t="s">
        <v>938</v>
      </c>
      <c r="B543" s="1124"/>
      <c r="C543" s="1124"/>
      <c r="D543" s="1124"/>
      <c r="E543" s="1125"/>
    </row>
    <row r="544" spans="1:7" customFormat="1" ht="12.5" x14ac:dyDescent="0.25">
      <c r="A544" s="1126"/>
      <c r="B544" s="1127"/>
      <c r="C544" s="1127"/>
      <c r="D544" s="1127"/>
      <c r="E544" s="1128"/>
    </row>
    <row r="545" spans="1:8" x14ac:dyDescent="0.25">
      <c r="A545" s="1126"/>
      <c r="B545" s="1127"/>
      <c r="C545" s="1127"/>
      <c r="D545" s="1127"/>
      <c r="E545" s="1128"/>
    </row>
    <row r="546" spans="1:8" x14ac:dyDescent="0.25">
      <c r="A546" s="1126"/>
      <c r="B546" s="1127"/>
      <c r="C546" s="1127"/>
      <c r="D546" s="1127"/>
      <c r="E546" s="1128"/>
    </row>
    <row r="547" spans="1:8" customFormat="1" ht="12.5" x14ac:dyDescent="0.25">
      <c r="A547" s="1126"/>
      <c r="B547" s="1127"/>
      <c r="C547" s="1127"/>
      <c r="D547" s="1127"/>
      <c r="E547" s="1128"/>
    </row>
    <row r="548" spans="1:8" customFormat="1" ht="4.5" customHeight="1" thickBot="1" x14ac:dyDescent="0.3">
      <c r="A548" s="1126"/>
      <c r="B548" s="1127"/>
      <c r="C548" s="1127"/>
      <c r="D548" s="1127"/>
      <c r="E548" s="1128"/>
    </row>
    <row r="549" spans="1:8" customFormat="1" ht="12.5" x14ac:dyDescent="0.25">
      <c r="A549" s="119" t="s">
        <v>1029</v>
      </c>
      <c r="B549" s="174"/>
      <c r="C549" s="173"/>
      <c r="D549" s="924"/>
      <c r="E549" s="171"/>
    </row>
    <row r="550" spans="1:8" customFormat="1" ht="12.5" x14ac:dyDescent="0.25">
      <c r="A550" s="41" t="s">
        <v>686</v>
      </c>
      <c r="B550" s="12"/>
      <c r="C550" s="143"/>
      <c r="D550" s="71"/>
      <c r="E550" s="141"/>
    </row>
    <row r="551" spans="1:8" s="183" customFormat="1" ht="12.5" x14ac:dyDescent="0.25">
      <c r="A551" s="41" t="s">
        <v>1040</v>
      </c>
      <c r="B551" s="12"/>
      <c r="C551" s="143"/>
      <c r="D551" s="71"/>
      <c r="E551" s="141"/>
    </row>
    <row r="552" spans="1:8" customFormat="1" ht="13" thickBot="1" x14ac:dyDescent="0.3">
      <c r="A552" s="76" t="s">
        <v>11</v>
      </c>
      <c r="B552" s="140"/>
      <c r="C552" s="139"/>
      <c r="D552" s="447"/>
      <c r="E552" s="137"/>
    </row>
    <row r="553" spans="1:8" customFormat="1" ht="13" thickBot="1" x14ac:dyDescent="0.3">
      <c r="A553" s="762" t="s">
        <v>0</v>
      </c>
      <c r="B553" s="763"/>
      <c r="C553" s="764"/>
      <c r="D553" s="766"/>
      <c r="E553" s="772">
        <f>(C555+C577+C593+C598)</f>
        <v>3974820</v>
      </c>
      <c r="F553" s="698"/>
    </row>
    <row r="554" spans="1:8" customFormat="1" ht="13" thickBot="1" x14ac:dyDescent="0.3">
      <c r="A554" s="72"/>
      <c r="B554" s="23"/>
      <c r="C554" s="23"/>
      <c r="D554" s="78"/>
      <c r="E554" s="25"/>
    </row>
    <row r="555" spans="1:8" customFormat="1" ht="13" thickBot="1" x14ac:dyDescent="0.3">
      <c r="A555" s="1104" t="s">
        <v>2</v>
      </c>
      <c r="B555" s="1105"/>
      <c r="C555" s="667">
        <f>+C556+C558+C560+C562+C564+C569+C572</f>
        <v>937560</v>
      </c>
      <c r="D555" s="78"/>
      <c r="E555" s="25"/>
    </row>
    <row r="556" spans="1:8" customFormat="1" ht="12.5" x14ac:dyDescent="0.25">
      <c r="A556" s="11" t="s">
        <v>103</v>
      </c>
      <c r="B556" s="298" t="s">
        <v>104</v>
      </c>
      <c r="C556" s="32">
        <f>SUM(C557)</f>
        <v>318910</v>
      </c>
      <c r="D556" s="78"/>
      <c r="E556" s="25"/>
    </row>
    <row r="557" spans="1:8" customFormat="1" ht="12.5" x14ac:dyDescent="0.25">
      <c r="A557" s="12" t="s">
        <v>46</v>
      </c>
      <c r="B557" s="72" t="s">
        <v>45</v>
      </c>
      <c r="C557" s="24">
        <v>318910</v>
      </c>
      <c r="D557" s="78"/>
      <c r="E557" s="25"/>
    </row>
    <row r="558" spans="1:8" customFormat="1" ht="12.5" x14ac:dyDescent="0.25">
      <c r="A558" s="11" t="s">
        <v>199</v>
      </c>
      <c r="B558" s="265" t="s">
        <v>219</v>
      </c>
      <c r="C558" s="31">
        <f>SUM(C559)</f>
        <v>20400</v>
      </c>
      <c r="D558" s="23"/>
      <c r="E558" s="23"/>
    </row>
    <row r="559" spans="1:8" customFormat="1" ht="12.5" x14ac:dyDescent="0.25">
      <c r="A559" s="12" t="s">
        <v>227</v>
      </c>
      <c r="B559" s="12" t="s">
        <v>226</v>
      </c>
      <c r="C559" s="24">
        <v>20400</v>
      </c>
      <c r="D559" s="78"/>
      <c r="E559" s="25"/>
    </row>
    <row r="560" spans="1:8" s="3" customFormat="1" ht="13" x14ac:dyDescent="0.25">
      <c r="A560" s="11" t="s">
        <v>105</v>
      </c>
      <c r="B560" s="11" t="s">
        <v>106</v>
      </c>
      <c r="C560" s="31">
        <f>SUM(C561)</f>
        <v>86400</v>
      </c>
      <c r="D560" s="12"/>
      <c r="E560" s="12"/>
      <c r="F560" s="403"/>
      <c r="G560" s="435"/>
      <c r="H560" s="443"/>
    </row>
    <row r="561" spans="1:10" s="3" customFormat="1" ht="13" x14ac:dyDescent="0.25">
      <c r="A561" s="12" t="s">
        <v>86</v>
      </c>
      <c r="B561" s="72" t="s">
        <v>66</v>
      </c>
      <c r="C561" s="24">
        <v>86400</v>
      </c>
      <c r="F561" s="361"/>
      <c r="G561" s="443"/>
      <c r="H561" s="443"/>
    </row>
    <row r="562" spans="1:10" s="5" customFormat="1" ht="13" x14ac:dyDescent="0.25">
      <c r="A562" s="11" t="s">
        <v>107</v>
      </c>
      <c r="B562" s="265" t="s">
        <v>108</v>
      </c>
      <c r="C562" s="31">
        <f>SUM(C563:C563)</f>
        <v>59690</v>
      </c>
      <c r="D562" s="3"/>
      <c r="E562" s="3"/>
      <c r="F562" s="443"/>
      <c r="G562" s="442"/>
      <c r="H562" s="147"/>
    </row>
    <row r="563" spans="1:10" s="5" customFormat="1" ht="13" x14ac:dyDescent="0.25">
      <c r="A563" s="12" t="s">
        <v>47</v>
      </c>
      <c r="B563" s="23" t="s">
        <v>48</v>
      </c>
      <c r="C563" s="24">
        <v>59690</v>
      </c>
      <c r="D563" s="3"/>
      <c r="E563" s="3"/>
      <c r="F563" s="435"/>
      <c r="G563" s="353"/>
      <c r="H563" s="361"/>
      <c r="J563" s="147"/>
    </row>
    <row r="564" spans="1:10" s="3" customFormat="1" ht="13" x14ac:dyDescent="0.25">
      <c r="A564" s="265" t="s">
        <v>119</v>
      </c>
      <c r="B564" s="25" t="s">
        <v>109</v>
      </c>
      <c r="C564" s="31">
        <f>SUM(C565:C568)</f>
        <v>167700</v>
      </c>
      <c r="D564" s="435"/>
      <c r="E564" s="101"/>
      <c r="F564" s="394"/>
      <c r="G564" s="394"/>
    </row>
    <row r="565" spans="1:10" s="5" customFormat="1" ht="13" x14ac:dyDescent="0.25">
      <c r="A565" s="12" t="s">
        <v>697</v>
      </c>
      <c r="B565" s="43" t="s">
        <v>696</v>
      </c>
      <c r="C565" s="24">
        <v>19000</v>
      </c>
      <c r="D565" s="14"/>
      <c r="F565" s="361"/>
      <c r="G565" s="405"/>
    </row>
    <row r="566" spans="1:10" s="66" customFormat="1" ht="13" x14ac:dyDescent="0.3">
      <c r="A566" s="72" t="s">
        <v>816</v>
      </c>
      <c r="B566" s="24" t="s">
        <v>810</v>
      </c>
      <c r="C566" s="24">
        <v>48700</v>
      </c>
      <c r="D566" s="78"/>
      <c r="E566" s="25"/>
    </row>
    <row r="567" spans="1:10" s="66" customFormat="1" ht="13" x14ac:dyDescent="0.3">
      <c r="A567" s="72" t="s">
        <v>820</v>
      </c>
      <c r="B567" s="24" t="s">
        <v>821</v>
      </c>
      <c r="C567" s="24">
        <v>65000</v>
      </c>
      <c r="D567" s="78"/>
      <c r="E567" s="25"/>
    </row>
    <row r="568" spans="1:10" s="66" customFormat="1" ht="13" x14ac:dyDescent="0.3">
      <c r="A568" s="72" t="s">
        <v>811</v>
      </c>
      <c r="B568" s="24" t="s">
        <v>812</v>
      </c>
      <c r="C568" s="24">
        <v>35000</v>
      </c>
      <c r="D568" s="78"/>
      <c r="E568" s="25"/>
    </row>
    <row r="569" spans="1:10" s="5" customFormat="1" ht="13" x14ac:dyDescent="0.25">
      <c r="A569" s="265" t="s">
        <v>124</v>
      </c>
      <c r="B569" s="25" t="s">
        <v>123</v>
      </c>
      <c r="C569" s="31">
        <f>SUM(C570:C571)</f>
        <v>113040</v>
      </c>
      <c r="D569" s="3"/>
      <c r="E569" s="3"/>
      <c r="F569" s="3"/>
      <c r="G569" s="3"/>
    </row>
    <row r="570" spans="1:10" s="66" customFormat="1" ht="13" x14ac:dyDescent="0.3">
      <c r="A570" s="12" t="s">
        <v>230</v>
      </c>
      <c r="B570" s="43" t="s">
        <v>229</v>
      </c>
      <c r="C570" s="24">
        <v>74400</v>
      </c>
      <c r="D570" s="57"/>
      <c r="E570" s="57"/>
    </row>
    <row r="571" spans="1:10" s="5" customFormat="1" ht="13" x14ac:dyDescent="0.25">
      <c r="A571" s="72" t="s">
        <v>93</v>
      </c>
      <c r="B571" s="24" t="s">
        <v>72</v>
      </c>
      <c r="C571" s="24">
        <v>38640</v>
      </c>
      <c r="H571" s="147"/>
      <c r="I571" s="147"/>
      <c r="J571" s="147"/>
    </row>
    <row r="572" spans="1:10" s="3" customFormat="1" ht="13" x14ac:dyDescent="0.25">
      <c r="A572" s="265" t="s">
        <v>151</v>
      </c>
      <c r="B572" s="25" t="s">
        <v>133</v>
      </c>
      <c r="C572" s="31">
        <f>SUM(C573:C575)</f>
        <v>171420</v>
      </c>
      <c r="D572" s="78"/>
      <c r="E572" s="25"/>
      <c r="F572"/>
      <c r="G572"/>
      <c r="H572" s="1"/>
    </row>
    <row r="573" spans="1:10" customFormat="1" ht="13" x14ac:dyDescent="0.25">
      <c r="A573" s="72" t="s">
        <v>152</v>
      </c>
      <c r="B573" s="24" t="s">
        <v>65</v>
      </c>
      <c r="C573" s="24">
        <v>92670</v>
      </c>
      <c r="D573" s="353"/>
      <c r="E573" s="353"/>
      <c r="F573" s="353"/>
      <c r="G573" s="394"/>
    </row>
    <row r="574" spans="1:10" customFormat="1" ht="13" x14ac:dyDescent="0.25">
      <c r="A574" s="72" t="s">
        <v>244</v>
      </c>
      <c r="B574" s="43" t="s">
        <v>245</v>
      </c>
      <c r="C574" s="24">
        <v>22000</v>
      </c>
      <c r="D574" s="353"/>
      <c r="E574" s="353"/>
      <c r="F574" s="353"/>
      <c r="G574" s="394"/>
    </row>
    <row r="575" spans="1:10" customFormat="1" ht="12.5" x14ac:dyDescent="0.25">
      <c r="A575" s="72" t="s">
        <v>154</v>
      </c>
      <c r="B575" s="23" t="s">
        <v>125</v>
      </c>
      <c r="C575" s="24">
        <v>56750</v>
      </c>
      <c r="D575" s="78"/>
      <c r="E575" s="25"/>
    </row>
    <row r="576" spans="1:10" customFormat="1" ht="13" thickBot="1" x14ac:dyDescent="0.3">
      <c r="A576" s="72"/>
      <c r="B576" s="23"/>
      <c r="C576" s="23"/>
      <c r="D576" s="78"/>
      <c r="E576" s="25"/>
    </row>
    <row r="577" spans="1:11" customFormat="1" ht="13" thickBot="1" x14ac:dyDescent="0.3">
      <c r="A577" s="1096" t="s">
        <v>3</v>
      </c>
      <c r="B577" s="1097"/>
      <c r="C577" s="668">
        <f>+C578+C580+C583+C585+C587+C589</f>
        <v>2328160</v>
      </c>
      <c r="D577" s="78"/>
      <c r="E577" s="25"/>
    </row>
    <row r="578" spans="1:11" customFormat="1" ht="12.5" x14ac:dyDescent="0.25">
      <c r="A578" s="11" t="s">
        <v>110</v>
      </c>
      <c r="B578" s="298" t="s">
        <v>111</v>
      </c>
      <c r="C578" s="32">
        <f>SUM(C579:C579)</f>
        <v>50000</v>
      </c>
      <c r="D578" s="78"/>
      <c r="E578" s="25"/>
    </row>
    <row r="579" spans="1:11" customFormat="1" ht="12.5" x14ac:dyDescent="0.25">
      <c r="A579" s="12" t="s">
        <v>52</v>
      </c>
      <c r="B579" s="12" t="s">
        <v>15</v>
      </c>
      <c r="C579" s="24">
        <v>50000</v>
      </c>
      <c r="D579" s="78"/>
      <c r="E579" s="25"/>
    </row>
    <row r="580" spans="1:11" customFormat="1" ht="12.5" x14ac:dyDescent="0.25">
      <c r="A580" s="11" t="s">
        <v>120</v>
      </c>
      <c r="B580" s="11" t="s">
        <v>121</v>
      </c>
      <c r="C580" s="31">
        <f>SUM(C581:C582)</f>
        <v>125000</v>
      </c>
      <c r="D580" s="78"/>
      <c r="E580" s="25"/>
    </row>
    <row r="581" spans="1:11" s="66" customFormat="1" ht="13.5" customHeight="1" x14ac:dyDescent="0.3">
      <c r="A581" s="59" t="s">
        <v>140</v>
      </c>
      <c r="B581" s="43" t="s">
        <v>141</v>
      </c>
      <c r="C581" s="60">
        <v>80000</v>
      </c>
      <c r="G581" s="60"/>
      <c r="H581" s="57"/>
      <c r="I581" s="57"/>
    </row>
    <row r="582" spans="1:11" customFormat="1" ht="12.5" x14ac:dyDescent="0.25">
      <c r="A582" s="12" t="s">
        <v>136</v>
      </c>
      <c r="B582" s="12" t="s">
        <v>71</v>
      </c>
      <c r="C582" s="24">
        <v>45000</v>
      </c>
      <c r="D582" s="78"/>
      <c r="E582" s="25"/>
    </row>
    <row r="583" spans="1:11" customFormat="1" ht="12.5" x14ac:dyDescent="0.25">
      <c r="A583" s="11" t="s">
        <v>112</v>
      </c>
      <c r="B583" s="11" t="s">
        <v>157</v>
      </c>
      <c r="C583" s="31">
        <f>SUM(C584:C584)</f>
        <v>1616340</v>
      </c>
      <c r="D583" s="78"/>
      <c r="E583" s="25"/>
    </row>
    <row r="584" spans="1:11" customFormat="1" ht="12.5" x14ac:dyDescent="0.25">
      <c r="A584" s="72" t="s">
        <v>156</v>
      </c>
      <c r="B584" s="24" t="s">
        <v>87</v>
      </c>
      <c r="C584" s="24">
        <v>1616340</v>
      </c>
      <c r="D584" s="78"/>
      <c r="E584" s="25"/>
      <c r="F584" s="121"/>
    </row>
    <row r="585" spans="1:11" s="72" customFormat="1" ht="13.5" customHeight="1" x14ac:dyDescent="0.25">
      <c r="A585" s="11" t="s">
        <v>113</v>
      </c>
      <c r="B585" s="31" t="s">
        <v>114</v>
      </c>
      <c r="C585" s="31">
        <f>SUM(C586:C586)</f>
        <v>65000</v>
      </c>
      <c r="D585" s="398"/>
      <c r="G585" s="361"/>
    </row>
    <row r="586" spans="1:11" s="72" customFormat="1" ht="13.5" customHeight="1" x14ac:dyDescent="0.25">
      <c r="A586" s="12" t="s">
        <v>164</v>
      </c>
      <c r="B586" s="12" t="s">
        <v>74</v>
      </c>
      <c r="C586" s="24">
        <v>65000</v>
      </c>
      <c r="E586" s="147"/>
      <c r="G586" s="147"/>
      <c r="H586" s="398"/>
      <c r="J586" s="361"/>
      <c r="K586" s="363"/>
    </row>
    <row r="587" spans="1:11" customFormat="1" ht="12.5" x14ac:dyDescent="0.25">
      <c r="A587" s="11" t="s">
        <v>132</v>
      </c>
      <c r="B587" s="31" t="s">
        <v>56</v>
      </c>
      <c r="C587" s="31">
        <f>SUM(C588)</f>
        <v>74300</v>
      </c>
      <c r="D587" s="78"/>
      <c r="E587" s="25"/>
    </row>
    <row r="588" spans="1:11" customFormat="1" ht="12.5" x14ac:dyDescent="0.25">
      <c r="A588" s="12" t="s">
        <v>55</v>
      </c>
      <c r="B588" s="24" t="s">
        <v>56</v>
      </c>
      <c r="C588" s="24">
        <f>24300+50000</f>
        <v>74300</v>
      </c>
      <c r="D588" s="78"/>
      <c r="E588" s="25"/>
    </row>
    <row r="589" spans="1:11" customFormat="1" ht="12.5" x14ac:dyDescent="0.25">
      <c r="A589" s="11" t="s">
        <v>115</v>
      </c>
      <c r="B589" s="31" t="s">
        <v>8</v>
      </c>
      <c r="C589" s="31">
        <f>SUM(C590:C591)</f>
        <v>397520</v>
      </c>
      <c r="D589" s="78"/>
      <c r="E589" s="25"/>
    </row>
    <row r="590" spans="1:11" customFormat="1" ht="12.5" x14ac:dyDescent="0.25">
      <c r="A590" s="12" t="s">
        <v>89</v>
      </c>
      <c r="B590" s="24" t="s">
        <v>8</v>
      </c>
      <c r="C590" s="24">
        <v>290000</v>
      </c>
      <c r="D590" s="78"/>
      <c r="E590" s="25"/>
      <c r="F590" s="121"/>
    </row>
    <row r="591" spans="1:11" customFormat="1" ht="12.5" x14ac:dyDescent="0.25">
      <c r="A591" s="12" t="s">
        <v>90</v>
      </c>
      <c r="B591" s="24" t="s">
        <v>7</v>
      </c>
      <c r="C591" s="24">
        <v>107520</v>
      </c>
      <c r="D591" s="78"/>
      <c r="E591" s="25"/>
    </row>
    <row r="592" spans="1:11" customFormat="1" ht="13" thickBot="1" x14ac:dyDescent="0.3">
      <c r="A592" s="12"/>
      <c r="B592" s="24"/>
      <c r="C592" s="24"/>
      <c r="D592" s="78"/>
      <c r="E592" s="25"/>
    </row>
    <row r="593" spans="1:256" customFormat="1" ht="13" thickBot="1" x14ac:dyDescent="0.3">
      <c r="A593" s="1115" t="s">
        <v>5</v>
      </c>
      <c r="B593" s="1116"/>
      <c r="C593" s="669">
        <f>+C594</f>
        <v>550000</v>
      </c>
      <c r="D593" s="78"/>
      <c r="E593" s="25"/>
    </row>
    <row r="594" spans="1:256" customFormat="1" ht="12.5" x14ac:dyDescent="0.25">
      <c r="A594" s="265" t="s">
        <v>128</v>
      </c>
      <c r="B594" s="265" t="s">
        <v>129</v>
      </c>
      <c r="C594" s="31">
        <f>SUM(C595:C596)</f>
        <v>550000</v>
      </c>
      <c r="D594" s="78"/>
      <c r="E594" s="25"/>
    </row>
    <row r="595" spans="1:256" customFormat="1" ht="12.5" x14ac:dyDescent="0.25">
      <c r="A595" s="72" t="s">
        <v>256</v>
      </c>
      <c r="B595" s="72" t="s">
        <v>257</v>
      </c>
      <c r="C595" s="24">
        <v>230000</v>
      </c>
      <c r="D595" s="78"/>
      <c r="E595" s="25"/>
    </row>
    <row r="596" spans="1:256" customFormat="1" ht="12.5" x14ac:dyDescent="0.25">
      <c r="A596" s="72" t="s">
        <v>144</v>
      </c>
      <c r="B596" s="24" t="s">
        <v>12</v>
      </c>
      <c r="C596" s="24">
        <v>320000</v>
      </c>
      <c r="D596" s="78"/>
      <c r="E596" s="25"/>
    </row>
    <row r="597" spans="1:256" customFormat="1" ht="13" thickBot="1" x14ac:dyDescent="0.3">
      <c r="A597" s="12"/>
      <c r="B597" s="12"/>
      <c r="C597" s="24"/>
      <c r="D597" s="78"/>
      <c r="E597" s="25"/>
    </row>
    <row r="598" spans="1:256" customFormat="1" ht="13" thickBot="1" x14ac:dyDescent="0.3">
      <c r="A598" s="1100" t="s">
        <v>4</v>
      </c>
      <c r="B598" s="1101"/>
      <c r="C598" s="670">
        <f>+C599+C603</f>
        <v>159100</v>
      </c>
      <c r="D598" s="78"/>
      <c r="E598" s="25"/>
    </row>
    <row r="599" spans="1:256" s="5" customFormat="1" ht="13" x14ac:dyDescent="0.25">
      <c r="A599" s="265" t="s">
        <v>116</v>
      </c>
      <c r="B599" s="298" t="s">
        <v>117</v>
      </c>
      <c r="C599" s="31">
        <f>SUM(C600:C602)</f>
        <v>142000</v>
      </c>
      <c r="D599" s="78"/>
      <c r="E599" s="25"/>
      <c r="F599"/>
      <c r="G599"/>
      <c r="IV599" s="21">
        <f>SUM(C599:IU599)</f>
        <v>142000</v>
      </c>
    </row>
    <row r="600" spans="1:256" ht="12.5" x14ac:dyDescent="0.25">
      <c r="A600" s="72" t="s">
        <v>91</v>
      </c>
      <c r="B600" s="23" t="s">
        <v>9</v>
      </c>
      <c r="C600" s="24">
        <v>65000</v>
      </c>
      <c r="D600" s="78"/>
      <c r="E600" s="25"/>
      <c r="F600"/>
      <c r="G600"/>
    </row>
    <row r="601" spans="1:256" ht="13" x14ac:dyDescent="0.25">
      <c r="A601" s="72" t="s">
        <v>57</v>
      </c>
      <c r="B601" s="72" t="s">
        <v>58</v>
      </c>
      <c r="C601" s="24">
        <v>17000</v>
      </c>
      <c r="D601" s="352"/>
      <c r="E601" s="352"/>
      <c r="F601" s="352"/>
      <c r="G601" s="410"/>
    </row>
    <row r="602" spans="1:256" s="8" customFormat="1" ht="13.5" customHeight="1" x14ac:dyDescent="0.25">
      <c r="A602" s="72" t="s">
        <v>814</v>
      </c>
      <c r="B602" s="23" t="s">
        <v>815</v>
      </c>
      <c r="C602" s="24">
        <v>60000</v>
      </c>
      <c r="D602" s="78"/>
      <c r="E602" s="25"/>
      <c r="F602" s="99"/>
      <c r="G602" s="55"/>
      <c r="H602" s="43"/>
    </row>
    <row r="603" spans="1:256" ht="12.5" x14ac:dyDescent="0.25">
      <c r="A603" s="265" t="s">
        <v>166</v>
      </c>
      <c r="B603" s="25" t="s">
        <v>135</v>
      </c>
      <c r="C603" s="31">
        <f>SUM(C604)</f>
        <v>17100</v>
      </c>
      <c r="D603" s="78"/>
      <c r="E603" s="25"/>
      <c r="F603"/>
      <c r="G603"/>
    </row>
    <row r="604" spans="1:256" customFormat="1" ht="12.5" x14ac:dyDescent="0.25">
      <c r="A604" s="72" t="s">
        <v>167</v>
      </c>
      <c r="B604" s="23" t="s">
        <v>51</v>
      </c>
      <c r="C604" s="24">
        <v>17100</v>
      </c>
      <c r="D604" s="78"/>
      <c r="E604" s="25"/>
    </row>
    <row r="605" spans="1:256" customFormat="1" ht="12.5" x14ac:dyDescent="0.25">
      <c r="A605" s="10"/>
      <c r="B605" s="10"/>
      <c r="C605" s="28"/>
      <c r="D605" s="26"/>
      <c r="E605" s="28"/>
      <c r="F605" s="233"/>
      <c r="G605" s="418"/>
    </row>
    <row r="606" spans="1:256" x14ac:dyDescent="0.25">
      <c r="D606" s="26">
        <f>+E553+E493+E435+E367+E295+E231+E171+E113+E20</f>
        <v>107950983</v>
      </c>
    </row>
  </sheetData>
  <mergeCells count="49">
    <mergeCell ref="A482:C483"/>
    <mergeCell ref="A484:E488"/>
    <mergeCell ref="A541:C542"/>
    <mergeCell ref="A543:E548"/>
    <mergeCell ref="A219:E226"/>
    <mergeCell ref="A285:E290"/>
    <mergeCell ref="A345:B345"/>
    <mergeCell ref="A369:B369"/>
    <mergeCell ref="A393:B393"/>
    <mergeCell ref="A408:B408"/>
    <mergeCell ref="A4:C5"/>
    <mergeCell ref="A6:E15"/>
    <mergeCell ref="A99:C100"/>
    <mergeCell ref="A101:E108"/>
    <mergeCell ref="A153:C154"/>
    <mergeCell ref="A22:B22"/>
    <mergeCell ref="A45:B45"/>
    <mergeCell ref="A67:B67"/>
    <mergeCell ref="A85:B85"/>
    <mergeCell ref="A90:B90"/>
    <mergeCell ref="A437:B437"/>
    <mergeCell ref="A453:B453"/>
    <mergeCell ref="A357:E362"/>
    <mergeCell ref="A419:E430"/>
    <mergeCell ref="A323:B323"/>
    <mergeCell ref="A341:B341"/>
    <mergeCell ref="A209:B209"/>
    <mergeCell ref="A257:B257"/>
    <mergeCell ref="A274:B274"/>
    <mergeCell ref="A297:B297"/>
    <mergeCell ref="A233:B233"/>
    <mergeCell ref="A217:C218"/>
    <mergeCell ref="A173:B173"/>
    <mergeCell ref="A132:B132"/>
    <mergeCell ref="A144:B144"/>
    <mergeCell ref="A115:B115"/>
    <mergeCell ref="A155:E166"/>
    <mergeCell ref="A555:B555"/>
    <mergeCell ref="A469:B469"/>
    <mergeCell ref="A475:B475"/>
    <mergeCell ref="A191:B191"/>
    <mergeCell ref="A202:B202"/>
    <mergeCell ref="A577:B577"/>
    <mergeCell ref="A593:B593"/>
    <mergeCell ref="A598:B598"/>
    <mergeCell ref="A495:B495"/>
    <mergeCell ref="A511:B511"/>
    <mergeCell ref="A533:B533"/>
    <mergeCell ref="A528:B528"/>
  </mergeCells>
  <pageMargins left="0.78740157480314965" right="0.19685039370078741" top="0.78740157480314965" bottom="0.78740157480314965" header="0.39370078740157483" footer="0.19685039370078741"/>
  <pageSetup paperSize="9" scale="90" orientation="portrait" r:id="rId1"/>
  <headerFooter>
    <oddHeader>&amp;L&amp;"Arial Narrow,Normal"&amp;8Presupuesto Municipal 2020
&amp;R&amp;"Arial Narrow,Normal"&amp;8MUNICIPALIDAD DE VILLA MARÍA
Secretaría de Economía y Finanzas</oddHeader>
  </headerFooter>
  <rowBreaks count="10" manualBreakCount="10">
    <brk id="57" max="4" man="1"/>
    <brk id="114" max="4" man="1"/>
    <brk id="172" max="4" man="1"/>
    <brk id="232" max="4" man="1"/>
    <brk id="290" max="4" man="1"/>
    <brk id="344" max="4" man="1"/>
    <brk id="400" max="4" man="1"/>
    <brk id="462" max="4" man="1"/>
    <brk id="521" max="4" man="1"/>
    <brk id="579"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0"/>
  <sheetViews>
    <sheetView topLeftCell="A16" zoomScale="120" zoomScaleNormal="120" zoomScaleSheetLayoutView="50" workbookViewId="0">
      <selection activeCell="C20" sqref="C20"/>
    </sheetView>
  </sheetViews>
  <sheetFormatPr baseColWidth="10" defaultColWidth="11.453125" defaultRowHeight="13" x14ac:dyDescent="0.3"/>
  <cols>
    <col min="1" max="1" width="9.7265625" style="52" customWidth="1"/>
    <col min="2" max="2" width="46.7265625" style="52" customWidth="1"/>
    <col min="3" max="3" width="12.7265625" style="62" customWidth="1"/>
    <col min="4" max="4" width="10.7265625" style="62" customWidth="1"/>
    <col min="5" max="5" width="13.7265625" style="62" customWidth="1"/>
    <col min="6" max="6" width="18.453125" style="52" customWidth="1"/>
    <col min="7" max="7" width="15.453125" style="52" customWidth="1"/>
    <col min="8" max="16384" width="11.453125" style="52"/>
  </cols>
  <sheetData>
    <row r="1" spans="1:7" x14ac:dyDescent="0.3">
      <c r="A1" s="623" t="s">
        <v>629</v>
      </c>
      <c r="B1" s="623"/>
    </row>
    <row r="2" spans="1:7" x14ac:dyDescent="0.3">
      <c r="A2" s="453"/>
    </row>
    <row r="3" spans="1:7" ht="13.5" thickBot="1" x14ac:dyDescent="0.35"/>
    <row r="4" spans="1:7" s="454" customFormat="1" ht="13.5" customHeight="1" x14ac:dyDescent="0.3">
      <c r="A4" s="1231" t="s">
        <v>871</v>
      </c>
      <c r="B4" s="1232"/>
      <c r="C4" s="1233"/>
      <c r="D4" s="704" t="s">
        <v>6</v>
      </c>
      <c r="E4" s="910" t="s">
        <v>657</v>
      </c>
    </row>
    <row r="5" spans="1:7" s="454" customFormat="1" ht="13.5" thickBot="1" x14ac:dyDescent="0.35">
      <c r="A5" s="1234"/>
      <c r="B5" s="1235"/>
      <c r="C5" s="1236"/>
      <c r="D5" s="741"/>
      <c r="E5" s="742"/>
    </row>
    <row r="6" spans="1:7" ht="12.75" customHeight="1" x14ac:dyDescent="0.3">
      <c r="A6" s="1123" t="s">
        <v>869</v>
      </c>
      <c r="B6" s="1124"/>
      <c r="C6" s="1124"/>
      <c r="D6" s="1124"/>
      <c r="E6" s="1125"/>
    </row>
    <row r="7" spans="1:7" x14ac:dyDescent="0.3">
      <c r="A7" s="1126"/>
      <c r="B7" s="1127"/>
      <c r="C7" s="1127"/>
      <c r="D7" s="1127"/>
      <c r="E7" s="1128"/>
    </row>
    <row r="8" spans="1:7" x14ac:dyDescent="0.3">
      <c r="A8" s="1126"/>
      <c r="B8" s="1127"/>
      <c r="C8" s="1127"/>
      <c r="D8" s="1127"/>
      <c r="E8" s="1128"/>
    </row>
    <row r="9" spans="1:7" x14ac:dyDescent="0.3">
      <c r="A9" s="1126"/>
      <c r="B9" s="1127"/>
      <c r="C9" s="1127"/>
      <c r="D9" s="1127"/>
      <c r="E9" s="1128"/>
    </row>
    <row r="10" spans="1:7" ht="13.5" thickBot="1" x14ac:dyDescent="0.35">
      <c r="A10" s="1129"/>
      <c r="B10" s="1130"/>
      <c r="C10" s="1130"/>
      <c r="D10" s="1130"/>
      <c r="E10" s="1131"/>
    </row>
    <row r="11" spans="1:7" s="454" customFormat="1" ht="11.5" x14ac:dyDescent="0.25">
      <c r="A11" s="58" t="s">
        <v>1029</v>
      </c>
      <c r="B11" s="59"/>
      <c r="C11" s="60"/>
      <c r="D11" s="60"/>
      <c r="E11" s="61"/>
    </row>
    <row r="12" spans="1:7" s="454" customFormat="1" ht="11.5" x14ac:dyDescent="0.25">
      <c r="A12" s="58" t="s">
        <v>630</v>
      </c>
      <c r="B12" s="59"/>
      <c r="C12" s="60"/>
      <c r="D12" s="60"/>
      <c r="E12" s="61"/>
    </row>
    <row r="13" spans="1:7" s="454" customFormat="1" ht="11.5" x14ac:dyDescent="0.25">
      <c r="A13" s="58" t="s">
        <v>1040</v>
      </c>
      <c r="B13" s="59"/>
      <c r="C13" s="60"/>
      <c r="D13" s="60"/>
      <c r="E13" s="61"/>
    </row>
    <row r="14" spans="1:7" s="454" customFormat="1" ht="12" thickBot="1" x14ac:dyDescent="0.3">
      <c r="A14" s="58" t="s">
        <v>13</v>
      </c>
      <c r="B14" s="59"/>
      <c r="C14" s="60"/>
      <c r="D14" s="60"/>
      <c r="E14" s="61"/>
    </row>
    <row r="15" spans="1:7" s="454" customFormat="1" ht="12" thickBot="1" x14ac:dyDescent="0.3">
      <c r="A15" s="743" t="s">
        <v>14</v>
      </c>
      <c r="B15" s="744"/>
      <c r="C15" s="745"/>
      <c r="D15" s="746"/>
      <c r="E15" s="747">
        <f>+C17</f>
        <v>65404876</v>
      </c>
      <c r="F15" s="242"/>
      <c r="G15" s="242"/>
    </row>
    <row r="16" spans="1:7" s="234" customFormat="1" ht="12" thickBot="1" x14ac:dyDescent="0.3">
      <c r="A16" s="63"/>
      <c r="B16" s="63"/>
      <c r="C16" s="64"/>
      <c r="D16" s="64"/>
      <c r="E16" s="64"/>
    </row>
    <row r="17" spans="1:8" s="234" customFormat="1" ht="12" thickBot="1" x14ac:dyDescent="0.3">
      <c r="A17" s="1237" t="s">
        <v>1</v>
      </c>
      <c r="B17" s="1238"/>
      <c r="C17" s="748">
        <f>C18+C25+C32</f>
        <v>65404876</v>
      </c>
      <c r="D17" s="64"/>
      <c r="E17" s="455"/>
    </row>
    <row r="18" spans="1:8" s="43" customFormat="1" ht="12.75" customHeight="1" x14ac:dyDescent="0.3">
      <c r="A18" s="11" t="s">
        <v>97</v>
      </c>
      <c r="B18" s="211" t="s">
        <v>98</v>
      </c>
      <c r="C18" s="31">
        <f>SUM(C19:C24)</f>
        <v>25796455</v>
      </c>
      <c r="D18" s="22"/>
      <c r="E18" s="132"/>
      <c r="F18" s="95"/>
    </row>
    <row r="19" spans="1:8" s="8" customFormat="1" ht="12.75" customHeight="1" x14ac:dyDescent="0.3">
      <c r="A19" s="12" t="s">
        <v>23</v>
      </c>
      <c r="B19" s="24" t="s">
        <v>20</v>
      </c>
      <c r="C19" s="24">
        <f>3829609+1271437+21327605-6000000</f>
        <v>20428651</v>
      </c>
      <c r="D19" s="22"/>
      <c r="E19" s="25"/>
      <c r="F19" s="92"/>
    </row>
    <row r="20" spans="1:8" s="8" customFormat="1" ht="12.75" customHeight="1" x14ac:dyDescent="0.3">
      <c r="A20" s="12" t="s">
        <v>24</v>
      </c>
      <c r="B20" s="24" t="s">
        <v>22</v>
      </c>
      <c r="C20" s="24">
        <f>957402+3502989-1500000</f>
        <v>2960391</v>
      </c>
      <c r="D20" s="22"/>
      <c r="E20" s="25"/>
      <c r="F20" s="92"/>
    </row>
    <row r="21" spans="1:8" s="9" customFormat="1" ht="12.75" customHeight="1" x14ac:dyDescent="0.3">
      <c r="A21" s="12" t="s">
        <v>25</v>
      </c>
      <c r="B21" s="24" t="s">
        <v>76</v>
      </c>
      <c r="C21" s="24">
        <f>742737+75000</f>
        <v>817737</v>
      </c>
      <c r="D21" s="22"/>
      <c r="E21" s="25"/>
      <c r="F21" s="92"/>
    </row>
    <row r="22" spans="1:8" s="9" customFormat="1" ht="12.75" customHeight="1" x14ac:dyDescent="0.3">
      <c r="A22" s="12" t="s">
        <v>26</v>
      </c>
      <c r="B22" s="24" t="s">
        <v>77</v>
      </c>
      <c r="C22" s="24">
        <v>1</v>
      </c>
      <c r="D22" s="22"/>
      <c r="E22" s="25"/>
      <c r="F22" s="92"/>
    </row>
    <row r="23" spans="1:8" s="9" customFormat="1" ht="12.75" customHeight="1" x14ac:dyDescent="0.3">
      <c r="A23" s="12" t="s">
        <v>27</v>
      </c>
      <c r="B23" s="24" t="s">
        <v>21</v>
      </c>
      <c r="C23" s="24">
        <f>28917+941292</f>
        <v>970209</v>
      </c>
      <c r="D23" s="22"/>
      <c r="E23" s="25"/>
      <c r="F23" s="92"/>
    </row>
    <row r="24" spans="1:8" s="9" customFormat="1" ht="12.75" customHeight="1" x14ac:dyDescent="0.3">
      <c r="A24" s="12" t="s">
        <v>28</v>
      </c>
      <c r="B24" s="24" t="s">
        <v>19</v>
      </c>
      <c r="C24" s="24">
        <f>289733+99557+69583+25436+31648+48808+54701</f>
        <v>619466</v>
      </c>
      <c r="D24" s="22"/>
      <c r="E24" s="25"/>
      <c r="F24" s="92"/>
    </row>
    <row r="25" spans="1:8" s="9" customFormat="1" ht="12.75" customHeight="1" x14ac:dyDescent="0.3">
      <c r="A25" s="11" t="s">
        <v>99</v>
      </c>
      <c r="B25" s="31" t="s">
        <v>100</v>
      </c>
      <c r="C25" s="31">
        <f>SUM(C26:C31)</f>
        <v>18427301</v>
      </c>
      <c r="D25" s="22"/>
      <c r="E25" s="25"/>
      <c r="F25" s="92"/>
    </row>
    <row r="26" spans="1:8" s="9" customFormat="1" ht="12.75" customHeight="1" x14ac:dyDescent="0.3">
      <c r="A26" s="12" t="s">
        <v>30</v>
      </c>
      <c r="B26" s="24" t="s">
        <v>78</v>
      </c>
      <c r="C26" s="24">
        <f>1948876+582672+629698+159236+14325406-2000000</f>
        <v>15645888</v>
      </c>
      <c r="D26" s="22"/>
      <c r="E26" s="25"/>
      <c r="F26" s="93"/>
    </row>
    <row r="27" spans="1:8" s="8" customFormat="1" ht="12.75" customHeight="1" x14ac:dyDescent="0.3">
      <c r="A27" s="12" t="s">
        <v>31</v>
      </c>
      <c r="B27" s="24" t="s">
        <v>79</v>
      </c>
      <c r="C27" s="24">
        <f>487219+1750465+157425+559732-500000</f>
        <v>2454841</v>
      </c>
      <c r="D27" s="22"/>
      <c r="E27" s="25"/>
      <c r="F27" s="54"/>
      <c r="G27" s="43"/>
      <c r="H27" s="43"/>
    </row>
    <row r="28" spans="1:8" s="8" customFormat="1" ht="12.75" customHeight="1" x14ac:dyDescent="0.3">
      <c r="A28" s="12" t="s">
        <v>32</v>
      </c>
      <c r="B28" s="24" t="s">
        <v>80</v>
      </c>
      <c r="C28" s="24">
        <v>326569</v>
      </c>
      <c r="D28" s="22"/>
      <c r="E28" s="25"/>
      <c r="F28" s="92"/>
    </row>
    <row r="29" spans="1:8" s="9" customFormat="1" ht="12.75" customHeight="1" x14ac:dyDescent="0.3">
      <c r="A29" s="12" t="s">
        <v>33</v>
      </c>
      <c r="B29" s="24" t="s">
        <v>81</v>
      </c>
      <c r="C29" s="24">
        <v>1</v>
      </c>
      <c r="D29" s="22"/>
      <c r="E29" s="25"/>
      <c r="F29" s="92"/>
    </row>
    <row r="30" spans="1:8" s="9" customFormat="1" ht="12.75" customHeight="1" x14ac:dyDescent="0.3">
      <c r="A30" s="12" t="s">
        <v>34</v>
      </c>
      <c r="B30" s="24" t="s">
        <v>29</v>
      </c>
      <c r="C30" s="24">
        <v>1</v>
      </c>
      <c r="D30" s="22"/>
      <c r="E30" s="25"/>
      <c r="F30" s="92"/>
    </row>
    <row r="31" spans="1:8" s="9" customFormat="1" ht="12.75" customHeight="1" x14ac:dyDescent="0.3">
      <c r="A31" s="12" t="s">
        <v>83</v>
      </c>
      <c r="B31" s="24" t="s">
        <v>82</v>
      </c>
      <c r="C31" s="24">
        <v>1</v>
      </c>
      <c r="D31" s="22"/>
      <c r="E31" s="25"/>
      <c r="F31" s="93"/>
    </row>
    <row r="32" spans="1:8" s="9" customFormat="1" ht="12.75" customHeight="1" x14ac:dyDescent="0.3">
      <c r="A32" s="11" t="s">
        <v>101</v>
      </c>
      <c r="B32" s="31" t="s">
        <v>102</v>
      </c>
      <c r="C32" s="31">
        <f>SUM(C33:C38)</f>
        <v>21181120</v>
      </c>
      <c r="D32" s="22"/>
      <c r="E32" s="25"/>
      <c r="F32" s="93"/>
    </row>
    <row r="33" spans="1:6" s="8" customFormat="1" ht="12.75" customHeight="1" x14ac:dyDescent="0.3">
      <c r="A33" s="12" t="s">
        <v>39</v>
      </c>
      <c r="B33" s="24" t="s">
        <v>35</v>
      </c>
      <c r="C33" s="24">
        <f>3754396+1118136+22216662-10000000</f>
        <v>17089194</v>
      </c>
      <c r="D33" s="22"/>
      <c r="E33" s="25"/>
      <c r="F33" s="92"/>
    </row>
    <row r="34" spans="1:6" s="8" customFormat="1" ht="12.75" customHeight="1" x14ac:dyDescent="0.3">
      <c r="A34" s="12" t="s">
        <v>40</v>
      </c>
      <c r="B34" s="24" t="s">
        <v>37</v>
      </c>
      <c r="C34" s="24">
        <f>181423+46564+939600+3479734+45356+161265-2500000</f>
        <v>2353942</v>
      </c>
      <c r="D34" s="22"/>
      <c r="E34" s="25"/>
      <c r="F34" s="92"/>
    </row>
    <row r="35" spans="1:6" s="9" customFormat="1" ht="12.75" customHeight="1" x14ac:dyDescent="0.3">
      <c r="A35" s="12" t="s">
        <v>41</v>
      </c>
      <c r="B35" s="24" t="s">
        <v>84</v>
      </c>
      <c r="C35" s="24">
        <v>780840</v>
      </c>
      <c r="D35" s="22"/>
      <c r="E35" s="25"/>
      <c r="F35" s="92"/>
    </row>
    <row r="36" spans="1:6" s="9" customFormat="1" ht="12.75" customHeight="1" x14ac:dyDescent="0.3">
      <c r="A36" s="12" t="s">
        <v>42</v>
      </c>
      <c r="B36" s="24" t="s">
        <v>85</v>
      </c>
      <c r="C36" s="24">
        <v>1</v>
      </c>
      <c r="D36" s="22"/>
      <c r="E36" s="25"/>
      <c r="F36" s="92"/>
    </row>
    <row r="37" spans="1:6" s="9" customFormat="1" ht="12.75" customHeight="1" x14ac:dyDescent="0.3">
      <c r="A37" s="12" t="s">
        <v>43</v>
      </c>
      <c r="B37" s="24" t="s">
        <v>36</v>
      </c>
      <c r="C37" s="24">
        <f>29794+927348</f>
        <v>957142</v>
      </c>
      <c r="D37" s="22"/>
      <c r="E37" s="25"/>
      <c r="F37" s="92"/>
    </row>
    <row r="38" spans="1:6" s="9" customFormat="1" ht="12.75" customHeight="1" x14ac:dyDescent="0.3">
      <c r="A38" s="12" t="s">
        <v>44</v>
      </c>
      <c r="B38" s="24" t="s">
        <v>38</v>
      </c>
      <c r="C38" s="24">
        <v>1</v>
      </c>
      <c r="D38" s="22"/>
      <c r="E38" s="25"/>
      <c r="F38" s="92"/>
    </row>
    <row r="39" spans="1:6" s="9" customFormat="1" ht="12.75" customHeight="1" x14ac:dyDescent="0.3">
      <c r="A39" s="12"/>
      <c r="B39" s="24"/>
      <c r="C39" s="24"/>
      <c r="D39" s="22"/>
      <c r="E39" s="25"/>
      <c r="F39" s="92"/>
    </row>
    <row r="40" spans="1:6" ht="13.5" thickBot="1" x14ac:dyDescent="0.35">
      <c r="A40" s="70"/>
      <c r="B40" s="70"/>
      <c r="C40" s="67"/>
    </row>
    <row r="41" spans="1:6" ht="14.25" customHeight="1" x14ac:dyDescent="0.3">
      <c r="A41" s="1117" t="s">
        <v>818</v>
      </c>
      <c r="B41" s="1118"/>
      <c r="C41" s="1119"/>
      <c r="D41" s="704" t="s">
        <v>6</v>
      </c>
      <c r="E41" s="910" t="s">
        <v>658</v>
      </c>
    </row>
    <row r="42" spans="1:6" ht="12.75" customHeight="1" thickBot="1" x14ac:dyDescent="0.35">
      <c r="A42" s="1120"/>
      <c r="B42" s="1121"/>
      <c r="C42" s="1122"/>
      <c r="D42" s="708"/>
      <c r="E42" s="709"/>
    </row>
    <row r="43" spans="1:6" ht="12.75" customHeight="1" x14ac:dyDescent="0.3">
      <c r="A43" s="1123" t="s">
        <v>868</v>
      </c>
      <c r="B43" s="1124"/>
      <c r="C43" s="1124"/>
      <c r="D43" s="1124"/>
      <c r="E43" s="1125"/>
    </row>
    <row r="44" spans="1:6" x14ac:dyDescent="0.3">
      <c r="A44" s="1126"/>
      <c r="B44" s="1127"/>
      <c r="C44" s="1127"/>
      <c r="D44" s="1127"/>
      <c r="E44" s="1128"/>
    </row>
    <row r="45" spans="1:6" ht="13.5" thickBot="1" x14ac:dyDescent="0.35">
      <c r="A45" s="1126"/>
      <c r="B45" s="1127"/>
      <c r="C45" s="1127"/>
      <c r="D45" s="1127"/>
      <c r="E45" s="1128"/>
    </row>
    <row r="46" spans="1:6" s="454" customFormat="1" ht="11.5" x14ac:dyDescent="0.25">
      <c r="A46" s="456" t="s">
        <v>1029</v>
      </c>
      <c r="B46" s="170"/>
      <c r="C46" s="169"/>
      <c r="D46" s="169"/>
      <c r="E46" s="168"/>
    </row>
    <row r="47" spans="1:6" x14ac:dyDescent="0.3">
      <c r="A47" s="58" t="s">
        <v>630</v>
      </c>
      <c r="B47" s="59"/>
      <c r="C47" s="60"/>
      <c r="D47" s="60"/>
      <c r="E47" s="61"/>
    </row>
    <row r="48" spans="1:6" s="454" customFormat="1" ht="11.5" x14ac:dyDescent="0.25">
      <c r="A48" s="58" t="s">
        <v>1040</v>
      </c>
      <c r="B48" s="59"/>
      <c r="C48" s="60"/>
      <c r="D48" s="60"/>
      <c r="E48" s="61"/>
    </row>
    <row r="49" spans="1:7" ht="13.5" thickBot="1" x14ac:dyDescent="0.35">
      <c r="A49" s="167" t="s">
        <v>13</v>
      </c>
      <c r="B49" s="166"/>
      <c r="C49" s="165"/>
      <c r="D49" s="165"/>
      <c r="E49" s="164"/>
    </row>
    <row r="50" spans="1:7" ht="13.5" thickBot="1" x14ac:dyDescent="0.35">
      <c r="A50" s="743" t="s">
        <v>14</v>
      </c>
      <c r="B50" s="749"/>
      <c r="C50" s="750"/>
      <c r="D50" s="751"/>
      <c r="E50" s="747">
        <f>+C52+C76+C96+C102+D120</f>
        <v>12932865</v>
      </c>
      <c r="F50" s="62"/>
      <c r="G50" s="62"/>
    </row>
    <row r="51" spans="1:7" ht="13.5" thickBot="1" x14ac:dyDescent="0.35">
      <c r="A51" s="63"/>
      <c r="B51" s="63"/>
      <c r="C51" s="64"/>
      <c r="D51" s="64"/>
      <c r="E51" s="455"/>
    </row>
    <row r="52" spans="1:7" ht="13.5" thickBot="1" x14ac:dyDescent="0.35">
      <c r="A52" s="1102" t="s">
        <v>2</v>
      </c>
      <c r="B52" s="1103"/>
      <c r="C52" s="699">
        <f>C53+C55+C57+C59+C61+C67+C70</f>
        <v>1154490</v>
      </c>
      <c r="F52" s="244"/>
    </row>
    <row r="53" spans="1:7" x14ac:dyDescent="0.3">
      <c r="A53" s="11" t="s">
        <v>103</v>
      </c>
      <c r="B53" s="211" t="s">
        <v>492</v>
      </c>
      <c r="C53" s="64">
        <f>SUM(C54)</f>
        <v>161700</v>
      </c>
      <c r="F53" s="244"/>
    </row>
    <row r="54" spans="1:7" x14ac:dyDescent="0.3">
      <c r="A54" s="12" t="s">
        <v>46</v>
      </c>
      <c r="B54" s="8" t="s">
        <v>45</v>
      </c>
      <c r="C54" s="24">
        <v>161700</v>
      </c>
      <c r="F54" s="244"/>
    </row>
    <row r="55" spans="1:7" x14ac:dyDescent="0.3">
      <c r="A55" s="11" t="s">
        <v>105</v>
      </c>
      <c r="B55" s="556" t="s">
        <v>106</v>
      </c>
      <c r="C55" s="31">
        <f>SUM(C56:C56)</f>
        <v>295000</v>
      </c>
      <c r="F55" s="244"/>
    </row>
    <row r="56" spans="1:7" x14ac:dyDescent="0.3">
      <c r="A56" s="12" t="s">
        <v>86</v>
      </c>
      <c r="B56" s="8" t="s">
        <v>66</v>
      </c>
      <c r="C56" s="24">
        <v>295000</v>
      </c>
      <c r="F56" s="244"/>
    </row>
    <row r="57" spans="1:7" x14ac:dyDescent="0.3">
      <c r="A57" s="11" t="s">
        <v>107</v>
      </c>
      <c r="B57" s="556" t="s">
        <v>108</v>
      </c>
      <c r="C57" s="31">
        <f>SUM(C58)</f>
        <v>70080</v>
      </c>
      <c r="F57" s="244"/>
    </row>
    <row r="58" spans="1:7" x14ac:dyDescent="0.3">
      <c r="A58" s="12" t="s">
        <v>47</v>
      </c>
      <c r="B58" s="23" t="s">
        <v>48</v>
      </c>
      <c r="C58" s="24">
        <v>70080</v>
      </c>
      <c r="F58" s="244"/>
    </row>
    <row r="59" spans="1:7" x14ac:dyDescent="0.3">
      <c r="A59" s="11" t="s">
        <v>195</v>
      </c>
      <c r="B59" s="556" t="s">
        <v>194</v>
      </c>
      <c r="C59" s="31">
        <f>SUM(C60)</f>
        <v>408420</v>
      </c>
      <c r="F59" s="244"/>
    </row>
    <row r="60" spans="1:7" x14ac:dyDescent="0.3">
      <c r="A60" s="12" t="s">
        <v>193</v>
      </c>
      <c r="B60" s="8" t="s">
        <v>215</v>
      </c>
      <c r="C60" s="60">
        <v>408420</v>
      </c>
      <c r="F60" s="244"/>
    </row>
    <row r="61" spans="1:7" x14ac:dyDescent="0.3">
      <c r="A61" s="265" t="s">
        <v>119</v>
      </c>
      <c r="B61" s="25" t="s">
        <v>109</v>
      </c>
      <c r="C61" s="64">
        <f>SUM(C62:C66)</f>
        <v>97920</v>
      </c>
      <c r="F61" s="244"/>
    </row>
    <row r="62" spans="1:7" x14ac:dyDescent="0.3">
      <c r="A62" s="72" t="s">
        <v>150</v>
      </c>
      <c r="B62" s="23" t="s">
        <v>69</v>
      </c>
      <c r="C62" s="60">
        <v>12420</v>
      </c>
      <c r="F62" s="244"/>
    </row>
    <row r="63" spans="1:7" s="66" customFormat="1" x14ac:dyDescent="0.3">
      <c r="A63" s="72" t="s">
        <v>697</v>
      </c>
      <c r="B63" s="24" t="s">
        <v>696</v>
      </c>
      <c r="C63" s="24">
        <v>17000</v>
      </c>
      <c r="D63" s="78"/>
      <c r="E63" s="25"/>
    </row>
    <row r="64" spans="1:7" s="66" customFormat="1" x14ac:dyDescent="0.3">
      <c r="A64" s="72" t="s">
        <v>816</v>
      </c>
      <c r="B64" s="24" t="s">
        <v>810</v>
      </c>
      <c r="C64" s="24">
        <v>13000</v>
      </c>
      <c r="D64" s="78"/>
      <c r="E64" s="25"/>
    </row>
    <row r="65" spans="1:8" s="66" customFormat="1" x14ac:dyDescent="0.3">
      <c r="A65" s="72" t="s">
        <v>820</v>
      </c>
      <c r="B65" s="24" t="s">
        <v>821</v>
      </c>
      <c r="C65" s="24">
        <v>37500</v>
      </c>
      <c r="D65" s="78"/>
      <c r="E65" s="25"/>
    </row>
    <row r="66" spans="1:8" s="66" customFormat="1" x14ac:dyDescent="0.3">
      <c r="A66" s="72" t="s">
        <v>811</v>
      </c>
      <c r="B66" s="24" t="s">
        <v>812</v>
      </c>
      <c r="C66" s="24">
        <v>18000</v>
      </c>
      <c r="D66" s="78"/>
      <c r="E66" s="25"/>
    </row>
    <row r="67" spans="1:8" x14ac:dyDescent="0.3">
      <c r="A67" s="265" t="s">
        <v>124</v>
      </c>
      <c r="B67" s="25" t="s">
        <v>123</v>
      </c>
      <c r="C67" s="64">
        <f>SUM(C68:C69)</f>
        <v>62520</v>
      </c>
      <c r="F67" s="244"/>
    </row>
    <row r="68" spans="1:8" s="8" customFormat="1" ht="13.5" customHeight="1" x14ac:dyDescent="0.3">
      <c r="A68" s="72" t="s">
        <v>230</v>
      </c>
      <c r="B68" s="23" t="s">
        <v>819</v>
      </c>
      <c r="C68" s="60">
        <v>34100</v>
      </c>
      <c r="D68" s="68"/>
      <c r="E68" s="64"/>
      <c r="F68" s="99"/>
      <c r="G68" s="55"/>
      <c r="H68" s="43"/>
    </row>
    <row r="69" spans="1:8" x14ac:dyDescent="0.3">
      <c r="A69" s="72" t="s">
        <v>93</v>
      </c>
      <c r="B69" s="23" t="s">
        <v>72</v>
      </c>
      <c r="C69" s="60">
        <v>28420</v>
      </c>
      <c r="F69" s="244"/>
    </row>
    <row r="70" spans="1:8" x14ac:dyDescent="0.3">
      <c r="A70" s="265" t="s">
        <v>151</v>
      </c>
      <c r="B70" s="25" t="s">
        <v>125</v>
      </c>
      <c r="C70" s="64">
        <f>SUM(C71:C74)</f>
        <v>58850</v>
      </c>
      <c r="F70" s="244"/>
    </row>
    <row r="71" spans="1:8" x14ac:dyDescent="0.3">
      <c r="A71" s="72" t="s">
        <v>152</v>
      </c>
      <c r="B71" s="23" t="s">
        <v>65</v>
      </c>
      <c r="C71" s="60">
        <v>9360</v>
      </c>
      <c r="F71" s="244"/>
    </row>
    <row r="72" spans="1:8" x14ac:dyDescent="0.3">
      <c r="A72" s="72" t="s">
        <v>153</v>
      </c>
      <c r="B72" s="23" t="s">
        <v>70</v>
      </c>
      <c r="C72" s="24">
        <v>10100</v>
      </c>
      <c r="F72" s="244"/>
    </row>
    <row r="73" spans="1:8" s="226" customFormat="1" x14ac:dyDescent="0.3">
      <c r="A73" s="72" t="s">
        <v>155</v>
      </c>
      <c r="B73" s="23" t="s">
        <v>125</v>
      </c>
      <c r="C73" s="60">
        <v>8140</v>
      </c>
      <c r="E73" s="62"/>
      <c r="F73" s="457"/>
      <c r="G73" s="90"/>
    </row>
    <row r="74" spans="1:8" s="226" customFormat="1" x14ac:dyDescent="0.3">
      <c r="A74" s="72" t="s">
        <v>699</v>
      </c>
      <c r="B74" s="23" t="s">
        <v>817</v>
      </c>
      <c r="C74" s="60">
        <v>31250</v>
      </c>
      <c r="E74" s="62"/>
      <c r="F74" s="457"/>
      <c r="G74" s="90"/>
    </row>
    <row r="75" spans="1:8" s="43" customFormat="1" ht="13.5" customHeight="1" thickBot="1" x14ac:dyDescent="0.35">
      <c r="A75" s="72"/>
      <c r="B75" s="23"/>
      <c r="C75" s="67"/>
      <c r="E75" s="62"/>
      <c r="G75" s="24"/>
    </row>
    <row r="76" spans="1:8" s="43" customFormat="1" ht="13.5" customHeight="1" thickBot="1" x14ac:dyDescent="0.35">
      <c r="A76" s="1098" t="s">
        <v>3</v>
      </c>
      <c r="B76" s="1099"/>
      <c r="C76" s="700">
        <f>C77+C79+C83+C86+C88+C90</f>
        <v>1565775</v>
      </c>
      <c r="E76" s="62"/>
      <c r="G76" s="22"/>
    </row>
    <row r="77" spans="1:8" s="66" customFormat="1" x14ac:dyDescent="0.3">
      <c r="A77" s="63" t="s">
        <v>110</v>
      </c>
      <c r="B77" s="211" t="s">
        <v>111</v>
      </c>
      <c r="C77" s="64">
        <f>SUM(C78)</f>
        <v>75375</v>
      </c>
      <c r="E77" s="62"/>
      <c r="F77" s="97"/>
      <c r="G77" s="68"/>
    </row>
    <row r="78" spans="1:8" s="66" customFormat="1" x14ac:dyDescent="0.3">
      <c r="A78" s="59" t="s">
        <v>52</v>
      </c>
      <c r="B78" s="59" t="s">
        <v>15</v>
      </c>
      <c r="C78" s="24">
        <v>75375</v>
      </c>
      <c r="E78" s="62"/>
      <c r="F78" s="97"/>
      <c r="G78" s="68"/>
    </row>
    <row r="79" spans="1:8" s="66" customFormat="1" x14ac:dyDescent="0.3">
      <c r="A79" s="63" t="s">
        <v>120</v>
      </c>
      <c r="B79" s="63" t="s">
        <v>493</v>
      </c>
      <c r="C79" s="64">
        <f>SUM(C80:C82)</f>
        <v>90540</v>
      </c>
      <c r="E79" s="62"/>
      <c r="G79" s="68"/>
    </row>
    <row r="80" spans="1:8" s="66" customFormat="1" x14ac:dyDescent="0.3">
      <c r="A80" s="59" t="s">
        <v>236</v>
      </c>
      <c r="B80" s="43" t="s">
        <v>237</v>
      </c>
      <c r="C80" s="60">
        <v>29100</v>
      </c>
      <c r="E80" s="62"/>
      <c r="G80" s="68"/>
    </row>
    <row r="81" spans="1:7" s="66" customFormat="1" x14ac:dyDescent="0.3">
      <c r="A81" s="59" t="s">
        <v>140</v>
      </c>
      <c r="B81" s="59" t="s">
        <v>595</v>
      </c>
      <c r="C81" s="60">
        <v>40250</v>
      </c>
      <c r="E81" s="62"/>
      <c r="G81" s="68"/>
    </row>
    <row r="82" spans="1:7" s="66" customFormat="1" x14ac:dyDescent="0.3">
      <c r="A82" s="59" t="s">
        <v>136</v>
      </c>
      <c r="B82" s="59" t="s">
        <v>71</v>
      </c>
      <c r="C82" s="60">
        <v>21190</v>
      </c>
      <c r="E82" s="62"/>
      <c r="G82" s="68"/>
    </row>
    <row r="83" spans="1:7" s="66" customFormat="1" x14ac:dyDescent="0.3">
      <c r="A83" s="265" t="s">
        <v>112</v>
      </c>
      <c r="B83" s="63" t="s">
        <v>157</v>
      </c>
      <c r="C83" s="31">
        <f>SUM(C84:C85)</f>
        <v>859840</v>
      </c>
      <c r="E83" s="62"/>
      <c r="G83" s="68"/>
    </row>
    <row r="84" spans="1:7" s="66" customFormat="1" x14ac:dyDescent="0.3">
      <c r="A84" s="72" t="s">
        <v>138</v>
      </c>
      <c r="B84" s="59" t="s">
        <v>878</v>
      </c>
      <c r="C84" s="60">
        <v>7600</v>
      </c>
      <c r="E84" s="62"/>
      <c r="G84" s="68"/>
    </row>
    <row r="85" spans="1:7" s="66" customFormat="1" x14ac:dyDescent="0.3">
      <c r="A85" s="72" t="s">
        <v>49</v>
      </c>
      <c r="B85" s="24" t="s">
        <v>87</v>
      </c>
      <c r="C85" s="60">
        <v>852240</v>
      </c>
      <c r="D85" s="68"/>
      <c r="E85" s="62"/>
    </row>
    <row r="86" spans="1:7" s="66" customFormat="1" x14ac:dyDescent="0.3">
      <c r="A86" s="265" t="s">
        <v>113</v>
      </c>
      <c r="B86" s="31" t="s">
        <v>114</v>
      </c>
      <c r="C86" s="64">
        <f>SUM(C87:C87)</f>
        <v>8220</v>
      </c>
      <c r="D86" s="68"/>
      <c r="E86" s="62"/>
    </row>
    <row r="87" spans="1:7" s="66" customFormat="1" x14ac:dyDescent="0.3">
      <c r="A87" s="72" t="s">
        <v>88</v>
      </c>
      <c r="B87" s="24" t="s">
        <v>64</v>
      </c>
      <c r="C87" s="60">
        <v>8220</v>
      </c>
      <c r="D87" s="68"/>
      <c r="E87" s="62"/>
    </row>
    <row r="88" spans="1:7" s="66" customFormat="1" x14ac:dyDescent="0.3">
      <c r="A88" s="265" t="s">
        <v>132</v>
      </c>
      <c r="B88" s="63" t="s">
        <v>56</v>
      </c>
      <c r="C88" s="64">
        <f>SUM(C89)</f>
        <v>10580</v>
      </c>
      <c r="D88" s="68"/>
      <c r="E88" s="62"/>
    </row>
    <row r="89" spans="1:7" s="239" customFormat="1" x14ac:dyDescent="0.3">
      <c r="A89" s="72" t="s">
        <v>55</v>
      </c>
      <c r="B89" s="59" t="s">
        <v>56</v>
      </c>
      <c r="C89" s="60">
        <v>10580</v>
      </c>
      <c r="E89" s="62"/>
      <c r="G89" s="95"/>
    </row>
    <row r="90" spans="1:7" s="56" customFormat="1" x14ac:dyDescent="0.3">
      <c r="A90" s="265" t="s">
        <v>115</v>
      </c>
      <c r="B90" s="31" t="s">
        <v>8</v>
      </c>
      <c r="C90" s="64">
        <f>SUM(C91:C94)</f>
        <v>521220</v>
      </c>
      <c r="E90" s="62"/>
      <c r="F90" s="57"/>
      <c r="G90" s="60"/>
    </row>
    <row r="91" spans="1:7" s="56" customFormat="1" x14ac:dyDescent="0.3">
      <c r="A91" s="72" t="s">
        <v>92</v>
      </c>
      <c r="B91" s="24" t="s">
        <v>8</v>
      </c>
      <c r="C91" s="60">
        <v>333600</v>
      </c>
      <c r="E91" s="62"/>
      <c r="F91" s="57"/>
      <c r="G91" s="64"/>
    </row>
    <row r="92" spans="1:7" s="56" customFormat="1" x14ac:dyDescent="0.3">
      <c r="A92" s="72" t="s">
        <v>494</v>
      </c>
      <c r="B92" s="24" t="s">
        <v>50</v>
      </c>
      <c r="C92" s="60">
        <v>53640</v>
      </c>
      <c r="E92" s="62"/>
      <c r="F92" s="57"/>
      <c r="G92" s="60"/>
    </row>
    <row r="93" spans="1:7" x14ac:dyDescent="0.3">
      <c r="A93" s="72" t="s">
        <v>222</v>
      </c>
      <c r="B93" s="43" t="s">
        <v>221</v>
      </c>
      <c r="C93" s="24">
        <v>28750</v>
      </c>
      <c r="D93" s="24"/>
      <c r="E93" s="120"/>
    </row>
    <row r="94" spans="1:7" s="56" customFormat="1" x14ac:dyDescent="0.3">
      <c r="A94" s="72" t="s">
        <v>90</v>
      </c>
      <c r="B94" s="24" t="s">
        <v>7</v>
      </c>
      <c r="C94" s="60">
        <v>105230</v>
      </c>
      <c r="E94" s="62"/>
      <c r="F94" s="57"/>
      <c r="G94" s="60"/>
    </row>
    <row r="95" spans="1:7" s="56" customFormat="1" ht="13.5" thickBot="1" x14ac:dyDescent="0.35">
      <c r="A95" s="72"/>
      <c r="B95" s="24"/>
      <c r="C95" s="60"/>
      <c r="E95" s="62"/>
      <c r="F95" s="57"/>
      <c r="G95" s="60"/>
    </row>
    <row r="96" spans="1:7" s="56" customFormat="1" ht="13.5" thickBot="1" x14ac:dyDescent="0.35">
      <c r="A96" s="1142" t="s">
        <v>5</v>
      </c>
      <c r="B96" s="1143"/>
      <c r="C96" s="726">
        <f>C97</f>
        <v>917350</v>
      </c>
      <c r="E96" s="62"/>
      <c r="F96" s="57"/>
      <c r="G96" s="57"/>
    </row>
    <row r="97" spans="1:9" s="56" customFormat="1" x14ac:dyDescent="0.3">
      <c r="A97" s="265" t="s">
        <v>128</v>
      </c>
      <c r="B97" s="211" t="s">
        <v>129</v>
      </c>
      <c r="C97" s="64">
        <f>SUM(C98:C100)</f>
        <v>917350</v>
      </c>
      <c r="E97" s="62"/>
      <c r="F97" s="57"/>
      <c r="G97" s="64"/>
    </row>
    <row r="98" spans="1:9" s="56" customFormat="1" x14ac:dyDescent="0.3">
      <c r="A98" s="72" t="s">
        <v>256</v>
      </c>
      <c r="B98" s="99" t="s">
        <v>257</v>
      </c>
      <c r="C98" s="60">
        <v>101050</v>
      </c>
      <c r="E98" s="62"/>
      <c r="G98" s="60"/>
      <c r="H98" s="57"/>
      <c r="I98" s="57"/>
    </row>
    <row r="99" spans="1:9" s="56" customFormat="1" x14ac:dyDescent="0.3">
      <c r="A99" s="72" t="s">
        <v>495</v>
      </c>
      <c r="B99" s="99" t="s">
        <v>496</v>
      </c>
      <c r="C99" s="60">
        <v>16300</v>
      </c>
      <c r="E99" s="62"/>
      <c r="G99" s="60"/>
      <c r="H99" s="57"/>
      <c r="I99" s="57"/>
    </row>
    <row r="100" spans="1:9" s="56" customFormat="1" x14ac:dyDescent="0.3">
      <c r="A100" s="72" t="s">
        <v>144</v>
      </c>
      <c r="B100" s="24" t="s">
        <v>12</v>
      </c>
      <c r="C100" s="24">
        <v>800000</v>
      </c>
      <c r="E100" s="62"/>
      <c r="F100" s="57"/>
      <c r="G100" s="60"/>
    </row>
    <row r="101" spans="1:9" s="66" customFormat="1" ht="13.5" thickBot="1" x14ac:dyDescent="0.35">
      <c r="A101" s="72"/>
      <c r="B101" s="24"/>
      <c r="C101" s="24"/>
      <c r="E101" s="62"/>
      <c r="F101" s="57"/>
      <c r="G101" s="60"/>
    </row>
    <row r="102" spans="1:9" s="66" customFormat="1" ht="13.5" thickBot="1" x14ac:dyDescent="0.35">
      <c r="A102" s="1094" t="s">
        <v>4</v>
      </c>
      <c r="B102" s="1095"/>
      <c r="C102" s="702">
        <f>+C103+C105+C109</f>
        <v>133110</v>
      </c>
      <c r="E102" s="62"/>
    </row>
    <row r="103" spans="1:9" s="66" customFormat="1" x14ac:dyDescent="0.3">
      <c r="A103" s="265" t="s">
        <v>179</v>
      </c>
      <c r="B103" s="211" t="s">
        <v>178</v>
      </c>
      <c r="C103" s="64">
        <f>SUM(C104:C104)</f>
        <v>36840</v>
      </c>
      <c r="E103" s="62"/>
      <c r="G103" s="57"/>
    </row>
    <row r="104" spans="1:9" s="66" customFormat="1" x14ac:dyDescent="0.3">
      <c r="A104" s="72" t="s">
        <v>177</v>
      </c>
      <c r="B104" s="23" t="s">
        <v>381</v>
      </c>
      <c r="C104" s="24">
        <v>36840</v>
      </c>
      <c r="D104" s="57"/>
      <c r="E104" s="62"/>
    </row>
    <row r="105" spans="1:9" s="66" customFormat="1" x14ac:dyDescent="0.3">
      <c r="A105" s="265" t="s">
        <v>116</v>
      </c>
      <c r="B105" s="25" t="s">
        <v>117</v>
      </c>
      <c r="C105" s="31">
        <f>SUM(C106:C108)</f>
        <v>81270</v>
      </c>
      <c r="D105" s="68"/>
      <c r="E105" s="62"/>
    </row>
    <row r="106" spans="1:9" s="239" customFormat="1" x14ac:dyDescent="0.3">
      <c r="A106" s="72" t="s">
        <v>91</v>
      </c>
      <c r="B106" s="23" t="s">
        <v>139</v>
      </c>
      <c r="C106" s="24">
        <v>33720</v>
      </c>
      <c r="D106" s="95"/>
      <c r="E106" s="62"/>
    </row>
    <row r="107" spans="1:9" s="8" customFormat="1" ht="13.5" customHeight="1" x14ac:dyDescent="0.25">
      <c r="A107" s="72" t="s">
        <v>57</v>
      </c>
      <c r="B107" s="23" t="s">
        <v>58</v>
      </c>
      <c r="C107" s="24">
        <v>17550</v>
      </c>
      <c r="D107" s="78"/>
      <c r="E107" s="25"/>
      <c r="F107" s="99"/>
      <c r="G107" s="55"/>
      <c r="H107" s="43"/>
    </row>
    <row r="108" spans="1:9" s="8" customFormat="1" ht="13.5" customHeight="1" x14ac:dyDescent="0.25">
      <c r="A108" s="72" t="s">
        <v>814</v>
      </c>
      <c r="B108" s="23" t="s">
        <v>815</v>
      </c>
      <c r="C108" s="24">
        <v>30000</v>
      </c>
      <c r="D108" s="78"/>
      <c r="E108" s="25"/>
      <c r="F108" s="99"/>
      <c r="G108" s="55"/>
      <c r="H108" s="43"/>
    </row>
    <row r="109" spans="1:9" s="8" customFormat="1" ht="13.5" customHeight="1" x14ac:dyDescent="0.3">
      <c r="A109" s="265" t="s">
        <v>166</v>
      </c>
      <c r="B109" s="25" t="s">
        <v>134</v>
      </c>
      <c r="C109" s="31">
        <f>SUM(C110)</f>
        <v>15000</v>
      </c>
      <c r="D109" s="78"/>
      <c r="E109" s="62"/>
      <c r="F109" s="43"/>
      <c r="G109" s="73"/>
      <c r="H109" s="43"/>
    </row>
    <row r="110" spans="1:9" s="8" customFormat="1" ht="13.5" customHeight="1" x14ac:dyDescent="0.3">
      <c r="A110" s="72" t="s">
        <v>167</v>
      </c>
      <c r="B110" s="23" t="s">
        <v>51</v>
      </c>
      <c r="C110" s="24">
        <v>15000</v>
      </c>
      <c r="D110" s="78"/>
      <c r="E110" s="62"/>
      <c r="F110" s="43"/>
      <c r="G110" s="73"/>
      <c r="H110" s="43"/>
    </row>
    <row r="111" spans="1:9" s="8" customFormat="1" ht="13.5" customHeight="1" thickBot="1" x14ac:dyDescent="0.35">
      <c r="A111" s="72"/>
      <c r="B111" s="23"/>
      <c r="C111" s="24"/>
      <c r="D111" s="78"/>
      <c r="E111" s="62"/>
      <c r="F111" s="99"/>
      <c r="G111" s="55"/>
      <c r="H111" s="43"/>
    </row>
    <row r="112" spans="1:9" s="8" customFormat="1" ht="13.5" customHeight="1" x14ac:dyDescent="0.3">
      <c r="A112" s="1117" t="s">
        <v>872</v>
      </c>
      <c r="B112" s="1119"/>
      <c r="C112" s="704" t="s">
        <v>6</v>
      </c>
      <c r="D112" s="910" t="s">
        <v>769</v>
      </c>
      <c r="F112" s="99"/>
      <c r="G112" s="55"/>
      <c r="H112" s="43"/>
    </row>
    <row r="113" spans="1:8" s="8" customFormat="1" ht="13.5" customHeight="1" thickBot="1" x14ac:dyDescent="0.35">
      <c r="A113" s="1120"/>
      <c r="B113" s="1122"/>
      <c r="C113" s="708"/>
      <c r="D113" s="709"/>
      <c r="F113" s="99"/>
      <c r="G113" s="55"/>
      <c r="H113" s="43"/>
    </row>
    <row r="114" spans="1:8" s="8" customFormat="1" ht="13.5" customHeight="1" x14ac:dyDescent="0.25">
      <c r="A114" s="1123" t="s">
        <v>870</v>
      </c>
      <c r="B114" s="1124"/>
      <c r="C114" s="1124"/>
      <c r="D114" s="1125"/>
      <c r="F114" s="99"/>
      <c r="G114" s="55"/>
      <c r="H114" s="43"/>
    </row>
    <row r="115" spans="1:8" s="8" customFormat="1" ht="13.5" customHeight="1" thickBot="1" x14ac:dyDescent="0.3">
      <c r="A115" s="1129"/>
      <c r="B115" s="1130"/>
      <c r="C115" s="1130"/>
      <c r="D115" s="1131"/>
      <c r="F115" s="99"/>
      <c r="G115" s="55"/>
      <c r="H115" s="43"/>
    </row>
    <row r="116" spans="1:8" s="8" customFormat="1" ht="13.5" customHeight="1" x14ac:dyDescent="0.25">
      <c r="A116" s="456" t="s">
        <v>1029</v>
      </c>
      <c r="B116" s="170"/>
      <c r="C116" s="169"/>
      <c r="D116" s="168"/>
      <c r="F116" s="99"/>
      <c r="G116" s="55"/>
      <c r="H116" s="43"/>
    </row>
    <row r="117" spans="1:8" s="8" customFormat="1" ht="13.5" customHeight="1" x14ac:dyDescent="0.25">
      <c r="A117" s="58" t="s">
        <v>630</v>
      </c>
      <c r="B117" s="59"/>
      <c r="C117" s="60"/>
      <c r="D117" s="61"/>
      <c r="F117" s="99"/>
      <c r="G117" s="55"/>
      <c r="H117" s="43"/>
    </row>
    <row r="118" spans="1:8" s="454" customFormat="1" ht="11.5" x14ac:dyDescent="0.25">
      <c r="A118" s="58" t="s">
        <v>1040</v>
      </c>
      <c r="B118" s="59"/>
      <c r="C118" s="60"/>
      <c r="D118" s="61"/>
      <c r="E118" s="60"/>
      <c r="F118" s="70"/>
    </row>
    <row r="119" spans="1:8" s="8" customFormat="1" ht="13.5" customHeight="1" thickBot="1" x14ac:dyDescent="0.3">
      <c r="A119" s="167" t="s">
        <v>13</v>
      </c>
      <c r="B119" s="166"/>
      <c r="C119" s="165"/>
      <c r="D119" s="164"/>
      <c r="F119" s="99"/>
      <c r="G119" s="55"/>
      <c r="H119" s="43"/>
    </row>
    <row r="120" spans="1:8" s="8" customFormat="1" ht="13.5" customHeight="1" thickBot="1" x14ac:dyDescent="0.3">
      <c r="A120" s="743" t="s">
        <v>587</v>
      </c>
      <c r="B120" s="749"/>
      <c r="C120" s="751"/>
      <c r="D120" s="747">
        <f>C122+C135+C149</f>
        <v>9162140</v>
      </c>
      <c r="F120" s="99"/>
      <c r="G120" s="55"/>
      <c r="H120" s="43"/>
    </row>
    <row r="121" spans="1:8" s="8" customFormat="1" ht="13.5" customHeight="1" thickBot="1" x14ac:dyDescent="0.3">
      <c r="A121" s="63"/>
      <c r="B121" s="63"/>
      <c r="C121" s="64"/>
      <c r="D121" s="64"/>
      <c r="E121" s="455"/>
      <c r="F121" s="99"/>
      <c r="G121" s="55"/>
      <c r="H121" s="43"/>
    </row>
    <row r="122" spans="1:8" s="8" customFormat="1" ht="13.5" customHeight="1" thickBot="1" x14ac:dyDescent="0.35">
      <c r="A122" s="1102" t="s">
        <v>2</v>
      </c>
      <c r="B122" s="1103"/>
      <c r="C122" s="699">
        <f>+C123+C125+C128+C132</f>
        <v>232180</v>
      </c>
      <c r="D122" s="62"/>
      <c r="E122" s="62"/>
      <c r="F122" s="99"/>
      <c r="G122" s="55"/>
      <c r="H122" s="43"/>
    </row>
    <row r="123" spans="1:8" s="8" customFormat="1" ht="13.5" customHeight="1" x14ac:dyDescent="0.3">
      <c r="A123" s="11" t="s">
        <v>103</v>
      </c>
      <c r="B123" s="211" t="s">
        <v>492</v>
      </c>
      <c r="C123" s="563">
        <f>SUM(C124)</f>
        <v>101090</v>
      </c>
      <c r="D123" s="226"/>
      <c r="E123" s="62"/>
      <c r="F123" s="99"/>
      <c r="G123" s="55"/>
      <c r="H123" s="43"/>
    </row>
    <row r="124" spans="1:8" s="8" customFormat="1" ht="13.5" customHeight="1" x14ac:dyDescent="0.3">
      <c r="A124" s="12" t="s">
        <v>46</v>
      </c>
      <c r="B124" s="8" t="s">
        <v>45</v>
      </c>
      <c r="C124" s="24">
        <v>101090</v>
      </c>
      <c r="D124" s="43"/>
      <c r="E124" s="62"/>
      <c r="F124" s="99"/>
      <c r="G124" s="55"/>
      <c r="H124" s="43"/>
    </row>
    <row r="125" spans="1:8" s="8" customFormat="1" ht="13.5" customHeight="1" x14ac:dyDescent="0.3">
      <c r="A125" s="11" t="s">
        <v>199</v>
      </c>
      <c r="B125" s="556" t="s">
        <v>498</v>
      </c>
      <c r="C125" s="31">
        <f>SUM(C126:C127)</f>
        <v>34610</v>
      </c>
      <c r="D125" s="43"/>
      <c r="E125" s="62"/>
      <c r="F125" s="99"/>
      <c r="G125" s="55"/>
      <c r="H125" s="43"/>
    </row>
    <row r="126" spans="1:8" s="8" customFormat="1" ht="13.5" customHeight="1" x14ac:dyDescent="0.3">
      <c r="A126" s="12" t="s">
        <v>197</v>
      </c>
      <c r="B126" s="70" t="s">
        <v>499</v>
      </c>
      <c r="C126" s="60">
        <v>26890</v>
      </c>
      <c r="D126" s="66"/>
      <c r="E126" s="62"/>
      <c r="F126" s="99"/>
      <c r="G126" s="55"/>
      <c r="H126" s="43"/>
    </row>
    <row r="127" spans="1:8" s="8" customFormat="1" ht="13.5" customHeight="1" x14ac:dyDescent="0.3">
      <c r="A127" s="12" t="s">
        <v>227</v>
      </c>
      <c r="B127" s="70" t="s">
        <v>226</v>
      </c>
      <c r="C127" s="60">
        <v>7720</v>
      </c>
      <c r="D127" s="66"/>
      <c r="E127" s="62"/>
      <c r="F127" s="99"/>
      <c r="G127" s="55"/>
      <c r="H127" s="43"/>
    </row>
    <row r="128" spans="1:8" s="8" customFormat="1" ht="13.5" customHeight="1" x14ac:dyDescent="0.3">
      <c r="A128" s="11" t="s">
        <v>500</v>
      </c>
      <c r="B128" s="560" t="s">
        <v>474</v>
      </c>
      <c r="C128" s="64">
        <f>SUM(C129:C131)</f>
        <v>85850</v>
      </c>
      <c r="D128" s="66"/>
      <c r="E128" s="62"/>
      <c r="F128" s="99"/>
      <c r="G128" s="55"/>
      <c r="H128" s="43"/>
    </row>
    <row r="129" spans="1:8" s="8" customFormat="1" ht="13.5" customHeight="1" x14ac:dyDescent="0.3">
      <c r="A129" s="12" t="s">
        <v>475</v>
      </c>
      <c r="B129" s="70" t="s">
        <v>501</v>
      </c>
      <c r="C129" s="60">
        <v>23000</v>
      </c>
      <c r="D129" s="66"/>
      <c r="E129" s="62"/>
      <c r="F129" s="99"/>
      <c r="G129" s="55"/>
      <c r="H129" s="43"/>
    </row>
    <row r="130" spans="1:8" s="8" customFormat="1" ht="13.5" customHeight="1" x14ac:dyDescent="0.3">
      <c r="A130" s="12" t="s">
        <v>477</v>
      </c>
      <c r="B130" s="43" t="s">
        <v>478</v>
      </c>
      <c r="C130" s="60">
        <v>9150</v>
      </c>
      <c r="D130" s="66"/>
      <c r="E130" s="62"/>
      <c r="F130" s="99"/>
      <c r="G130" s="55"/>
      <c r="H130" s="43"/>
    </row>
    <row r="131" spans="1:8" s="8" customFormat="1" ht="13.5" customHeight="1" x14ac:dyDescent="0.3">
      <c r="A131" s="12" t="s">
        <v>479</v>
      </c>
      <c r="B131" s="70" t="s">
        <v>502</v>
      </c>
      <c r="C131" s="60">
        <v>53700</v>
      </c>
      <c r="D131" s="66"/>
      <c r="E131" s="62"/>
      <c r="F131" s="99"/>
      <c r="G131" s="55"/>
      <c r="H131" s="43"/>
    </row>
    <row r="132" spans="1:8" s="8" customFormat="1" ht="13.5" customHeight="1" x14ac:dyDescent="0.3">
      <c r="A132" s="265" t="s">
        <v>151</v>
      </c>
      <c r="B132" s="560" t="s">
        <v>125</v>
      </c>
      <c r="C132" s="64">
        <f>SUM(C133:C133)</f>
        <v>10630</v>
      </c>
      <c r="D132" s="68"/>
      <c r="E132" s="62"/>
      <c r="F132" s="99"/>
      <c r="G132" s="55"/>
      <c r="H132" s="43"/>
    </row>
    <row r="133" spans="1:8" s="8" customFormat="1" ht="13.5" customHeight="1" x14ac:dyDescent="0.3">
      <c r="A133" s="72" t="s">
        <v>155</v>
      </c>
      <c r="B133" s="23" t="s">
        <v>125</v>
      </c>
      <c r="C133" s="60">
        <v>10630</v>
      </c>
      <c r="D133" s="68"/>
      <c r="E133" s="62"/>
      <c r="F133" s="99"/>
      <c r="G133" s="55"/>
      <c r="H133" s="43"/>
    </row>
    <row r="134" spans="1:8" s="8" customFormat="1" ht="13.5" customHeight="1" thickBot="1" x14ac:dyDescent="0.35">
      <c r="A134" s="72"/>
      <c r="B134" s="23"/>
      <c r="C134" s="23"/>
      <c r="D134" s="68"/>
      <c r="E134" s="62"/>
      <c r="F134" s="99"/>
      <c r="G134" s="55"/>
      <c r="H134" s="43"/>
    </row>
    <row r="135" spans="1:8" s="8" customFormat="1" ht="13.5" customHeight="1" thickBot="1" x14ac:dyDescent="0.35">
      <c r="A135" s="1098" t="s">
        <v>3</v>
      </c>
      <c r="B135" s="1099"/>
      <c r="C135" s="700">
        <f>C136+C138+C140+C143+C145</f>
        <v>8772980</v>
      </c>
      <c r="D135" s="68"/>
      <c r="E135" s="62"/>
      <c r="F135" s="99"/>
      <c r="G135" s="55"/>
      <c r="H135" s="43"/>
    </row>
    <row r="136" spans="1:8" s="8" customFormat="1" ht="14.25" customHeight="1" x14ac:dyDescent="0.3">
      <c r="A136" s="63" t="s">
        <v>120</v>
      </c>
      <c r="B136" s="63" t="s">
        <v>493</v>
      </c>
      <c r="C136" s="563">
        <f>SUM(C137:C137)</f>
        <v>9370</v>
      </c>
      <c r="D136" s="239"/>
      <c r="E136" s="62"/>
      <c r="F136" s="99"/>
      <c r="G136" s="55"/>
      <c r="H136" s="43"/>
    </row>
    <row r="137" spans="1:8" s="8" customFormat="1" ht="13.5" customHeight="1" x14ac:dyDescent="0.3">
      <c r="A137" s="59" t="s">
        <v>136</v>
      </c>
      <c r="B137" s="59" t="s">
        <v>71</v>
      </c>
      <c r="C137" s="60">
        <v>9370</v>
      </c>
      <c r="D137" s="56"/>
      <c r="E137" s="62"/>
      <c r="F137" s="99"/>
      <c r="G137" s="55"/>
      <c r="H137" s="43"/>
    </row>
    <row r="138" spans="1:8" s="8" customFormat="1" ht="13.5" customHeight="1" x14ac:dyDescent="0.3">
      <c r="A138" s="265" t="s">
        <v>274</v>
      </c>
      <c r="B138" s="63" t="s">
        <v>275</v>
      </c>
      <c r="C138" s="64">
        <f>SUM(C139)</f>
        <v>6265630</v>
      </c>
      <c r="D138" s="56"/>
      <c r="E138" s="62"/>
      <c r="F138" s="99"/>
      <c r="G138" s="55"/>
      <c r="H138" s="43"/>
    </row>
    <row r="139" spans="1:8" s="8" customFormat="1" ht="13.5" customHeight="1" x14ac:dyDescent="0.3">
      <c r="A139" s="72" t="s">
        <v>503</v>
      </c>
      <c r="B139" s="59" t="s">
        <v>504</v>
      </c>
      <c r="C139" s="60">
        <v>6265630</v>
      </c>
      <c r="D139" s="56"/>
      <c r="E139" s="62"/>
      <c r="F139" s="99"/>
      <c r="G139" s="55"/>
      <c r="H139" s="43"/>
    </row>
    <row r="140" spans="1:8" s="8" customFormat="1" ht="13.5" customHeight="1" x14ac:dyDescent="0.3">
      <c r="A140" s="265" t="s">
        <v>112</v>
      </c>
      <c r="B140" s="63" t="s">
        <v>157</v>
      </c>
      <c r="C140" s="64">
        <f>SUM(C141:C142)</f>
        <v>2231580</v>
      </c>
      <c r="D140" s="56"/>
      <c r="E140" s="62"/>
      <c r="F140" s="99"/>
      <c r="G140" s="55"/>
      <c r="H140" s="43"/>
    </row>
    <row r="141" spans="1:8" s="8" customFormat="1" ht="13.5" customHeight="1" x14ac:dyDescent="0.3">
      <c r="A141" s="72" t="s">
        <v>138</v>
      </c>
      <c r="B141" s="59" t="s">
        <v>878</v>
      </c>
      <c r="C141" s="60">
        <v>8200</v>
      </c>
      <c r="D141" s="56"/>
      <c r="E141" s="62"/>
      <c r="F141" s="99"/>
      <c r="G141" s="55"/>
      <c r="H141" s="43"/>
    </row>
    <row r="142" spans="1:8" s="8" customFormat="1" ht="13.5" customHeight="1" x14ac:dyDescent="0.3">
      <c r="A142" s="72" t="s">
        <v>49</v>
      </c>
      <c r="B142" s="24" t="s">
        <v>87</v>
      </c>
      <c r="C142" s="60">
        <v>2223380</v>
      </c>
      <c r="D142" s="56"/>
      <c r="E142" s="62"/>
      <c r="F142" s="99"/>
      <c r="G142" s="55"/>
      <c r="H142" s="43"/>
    </row>
    <row r="143" spans="1:8" s="8" customFormat="1" ht="13.5" customHeight="1" x14ac:dyDescent="0.3">
      <c r="A143" s="265" t="s">
        <v>113</v>
      </c>
      <c r="B143" s="31" t="s">
        <v>114</v>
      </c>
      <c r="C143" s="64">
        <f>SUM(C144:C144)</f>
        <v>51600</v>
      </c>
      <c r="D143" s="56"/>
      <c r="E143" s="62"/>
      <c r="F143" s="99"/>
      <c r="G143" s="55"/>
      <c r="H143" s="43"/>
    </row>
    <row r="144" spans="1:8" s="8" customFormat="1" ht="13.5" customHeight="1" x14ac:dyDescent="0.3">
      <c r="A144" s="72" t="s">
        <v>164</v>
      </c>
      <c r="B144" s="59" t="s">
        <v>74</v>
      </c>
      <c r="C144" s="60">
        <v>51600</v>
      </c>
      <c r="D144" s="56"/>
      <c r="E144" s="62"/>
      <c r="F144" s="99"/>
      <c r="G144" s="55"/>
      <c r="H144" s="43"/>
    </row>
    <row r="145" spans="1:8" s="8" customFormat="1" ht="13.5" customHeight="1" x14ac:dyDescent="0.3">
      <c r="A145" s="265" t="s">
        <v>115</v>
      </c>
      <c r="B145" s="31" t="s">
        <v>8</v>
      </c>
      <c r="C145" s="64">
        <f>SUM(C146:C147)</f>
        <v>214800</v>
      </c>
      <c r="D145" s="66"/>
      <c r="E145" s="62"/>
      <c r="F145" s="99"/>
      <c r="G145" s="55"/>
      <c r="H145" s="43"/>
    </row>
    <row r="146" spans="1:8" s="8" customFormat="1" ht="13.5" customHeight="1" x14ac:dyDescent="0.3">
      <c r="A146" s="72" t="s">
        <v>92</v>
      </c>
      <c r="B146" s="24" t="s">
        <v>8</v>
      </c>
      <c r="C146" s="60">
        <v>189000</v>
      </c>
      <c r="D146" s="66"/>
      <c r="E146" s="62"/>
      <c r="F146" s="99"/>
      <c r="G146" s="55"/>
      <c r="H146" s="43"/>
    </row>
    <row r="147" spans="1:8" s="8" customFormat="1" ht="13.5" customHeight="1" x14ac:dyDescent="0.3">
      <c r="A147" s="72" t="s">
        <v>90</v>
      </c>
      <c r="B147" s="24" t="s">
        <v>7</v>
      </c>
      <c r="C147" s="60">
        <v>25800</v>
      </c>
      <c r="D147" s="66"/>
      <c r="E147" s="62"/>
      <c r="F147" s="99"/>
      <c r="G147" s="55"/>
      <c r="H147" s="43"/>
    </row>
    <row r="148" spans="1:8" s="8" customFormat="1" ht="13.5" customHeight="1" thickBot="1" x14ac:dyDescent="0.35">
      <c r="A148" s="72"/>
      <c r="B148" s="24"/>
      <c r="C148" s="60"/>
      <c r="D148" s="57"/>
      <c r="E148" s="62"/>
      <c r="F148" s="99"/>
      <c r="G148" s="55"/>
      <c r="H148" s="43"/>
    </row>
    <row r="149" spans="1:8" s="8" customFormat="1" ht="13.5" customHeight="1" thickBot="1" x14ac:dyDescent="0.35">
      <c r="A149" s="1094" t="s">
        <v>4</v>
      </c>
      <c r="B149" s="1095"/>
      <c r="C149" s="702">
        <f>C150+C152</f>
        <v>156980</v>
      </c>
      <c r="D149" s="68"/>
      <c r="E149" s="62"/>
      <c r="F149" s="99"/>
      <c r="G149" s="55"/>
      <c r="H149" s="43"/>
    </row>
    <row r="150" spans="1:8" s="8" customFormat="1" ht="13.5" customHeight="1" x14ac:dyDescent="0.3">
      <c r="A150" s="265" t="s">
        <v>179</v>
      </c>
      <c r="B150" s="211" t="s">
        <v>178</v>
      </c>
      <c r="C150" s="563">
        <f>SUM(C151)</f>
        <v>144240</v>
      </c>
      <c r="D150" s="95"/>
      <c r="E150" s="62"/>
      <c r="F150" s="99"/>
      <c r="G150" s="55"/>
      <c r="H150" s="43"/>
    </row>
    <row r="151" spans="1:8" s="8" customFormat="1" ht="13.5" customHeight="1" x14ac:dyDescent="0.3">
      <c r="A151" s="72" t="s">
        <v>486</v>
      </c>
      <c r="B151" s="23" t="s">
        <v>487</v>
      </c>
      <c r="C151" s="24">
        <v>144240</v>
      </c>
      <c r="D151" s="78"/>
      <c r="E151" s="62"/>
      <c r="F151" s="99"/>
      <c r="G151" s="55"/>
      <c r="H151" s="43"/>
    </row>
    <row r="152" spans="1:8" s="8" customFormat="1" ht="13.5" customHeight="1" x14ac:dyDescent="0.3">
      <c r="A152" s="265" t="s">
        <v>166</v>
      </c>
      <c r="B152" s="31" t="s">
        <v>505</v>
      </c>
      <c r="C152" s="31">
        <f>SUM(C153)</f>
        <v>12740</v>
      </c>
      <c r="D152" s="78"/>
      <c r="E152" s="62"/>
      <c r="F152" s="99"/>
      <c r="G152" s="55"/>
      <c r="H152" s="43"/>
    </row>
    <row r="153" spans="1:8" s="8" customFormat="1" ht="13.5" customHeight="1" x14ac:dyDescent="0.3">
      <c r="A153" s="72" t="s">
        <v>167</v>
      </c>
      <c r="B153" s="23" t="s">
        <v>51</v>
      </c>
      <c r="C153" s="24">
        <v>12740</v>
      </c>
      <c r="D153" s="78"/>
      <c r="E153" s="62"/>
      <c r="F153" s="99"/>
      <c r="G153" s="55"/>
      <c r="H153" s="43"/>
    </row>
    <row r="154" spans="1:8" s="8" customFormat="1" ht="13.5" customHeight="1" x14ac:dyDescent="0.3">
      <c r="A154" s="72"/>
      <c r="B154" s="23"/>
      <c r="C154" s="24"/>
      <c r="D154" s="78"/>
      <c r="E154" s="62"/>
      <c r="F154" s="99"/>
      <c r="G154" s="55"/>
      <c r="H154" s="43"/>
    </row>
    <row r="155" spans="1:8" s="8" customFormat="1" ht="13.5" customHeight="1" thickBot="1" x14ac:dyDescent="0.35">
      <c r="A155" s="72"/>
      <c r="B155" s="23"/>
      <c r="C155" s="24"/>
      <c r="D155" s="78"/>
      <c r="E155" s="62"/>
      <c r="F155" s="99"/>
      <c r="G155" s="55"/>
      <c r="H155" s="43"/>
    </row>
    <row r="156" spans="1:8" s="8" customFormat="1" ht="13.5" customHeight="1" x14ac:dyDescent="0.3">
      <c r="A156" s="715" t="s">
        <v>770</v>
      </c>
      <c r="B156" s="703"/>
      <c r="C156" s="712"/>
      <c r="D156" s="704" t="s">
        <v>6</v>
      </c>
      <c r="E156" s="910" t="s">
        <v>659</v>
      </c>
      <c r="F156" s="99"/>
      <c r="G156" s="55"/>
      <c r="H156" s="43"/>
    </row>
    <row r="157" spans="1:8" s="8" customFormat="1" ht="13.5" customHeight="1" thickBot="1" x14ac:dyDescent="0.35">
      <c r="A157" s="716"/>
      <c r="B157" s="710"/>
      <c r="C157" s="713"/>
      <c r="D157" s="753"/>
      <c r="E157" s="754"/>
      <c r="F157" s="99"/>
      <c r="G157" s="55"/>
      <c r="H157" s="43"/>
    </row>
    <row r="158" spans="1:8" s="8" customFormat="1" ht="13.5" customHeight="1" x14ac:dyDescent="0.25">
      <c r="A158" s="1123" t="s">
        <v>873</v>
      </c>
      <c r="B158" s="1124"/>
      <c r="C158" s="1124"/>
      <c r="D158" s="1124"/>
      <c r="E158" s="1125"/>
      <c r="F158" s="99"/>
      <c r="G158" s="55"/>
      <c r="H158" s="43"/>
    </row>
    <row r="159" spans="1:8" s="8" customFormat="1" ht="13.5" customHeight="1" x14ac:dyDescent="0.25">
      <c r="A159" s="1126"/>
      <c r="B159" s="1127"/>
      <c r="C159" s="1127"/>
      <c r="D159" s="1127"/>
      <c r="E159" s="1128"/>
      <c r="F159" s="99"/>
      <c r="G159" s="55"/>
      <c r="H159" s="43"/>
    </row>
    <row r="160" spans="1:8" s="8" customFormat="1" ht="24" customHeight="1" thickBot="1" x14ac:dyDescent="0.3">
      <c r="A160" s="1129"/>
      <c r="B160" s="1130"/>
      <c r="C160" s="1130"/>
      <c r="D160" s="1130"/>
      <c r="E160" s="1131"/>
      <c r="F160" s="99"/>
      <c r="G160" s="55"/>
      <c r="H160" s="43"/>
    </row>
    <row r="161" spans="1:8" s="8" customFormat="1" ht="13.5" customHeight="1" x14ac:dyDescent="0.25">
      <c r="A161" s="456" t="s">
        <v>1029</v>
      </c>
      <c r="B161" s="170"/>
      <c r="C161" s="169"/>
      <c r="D161" s="169"/>
      <c r="E161" s="168"/>
      <c r="F161" s="99"/>
      <c r="G161" s="55"/>
      <c r="H161" s="43"/>
    </row>
    <row r="162" spans="1:8" s="8" customFormat="1" ht="13.5" customHeight="1" x14ac:dyDescent="0.25">
      <c r="A162" s="58" t="s">
        <v>630</v>
      </c>
      <c r="B162" s="59"/>
      <c r="C162" s="60"/>
      <c r="D162" s="60"/>
      <c r="E162" s="61"/>
      <c r="F162" s="99"/>
      <c r="G162" s="55"/>
      <c r="H162" s="43"/>
    </row>
    <row r="163" spans="1:8" s="454" customFormat="1" ht="11.5" x14ac:dyDescent="0.25">
      <c r="A163" s="58" t="s">
        <v>1040</v>
      </c>
      <c r="B163" s="59"/>
      <c r="C163" s="60"/>
      <c r="D163" s="60"/>
      <c r="E163" s="61"/>
      <c r="F163" s="70"/>
    </row>
    <row r="164" spans="1:8" s="8" customFormat="1" ht="13.5" customHeight="1" thickBot="1" x14ac:dyDescent="0.3">
      <c r="A164" s="167" t="s">
        <v>13</v>
      </c>
      <c r="B164" s="166"/>
      <c r="C164" s="165"/>
      <c r="D164" s="165"/>
      <c r="E164" s="164"/>
      <c r="F164" s="99"/>
      <c r="G164" s="55"/>
      <c r="H164" s="43"/>
    </row>
    <row r="165" spans="1:8" s="8" customFormat="1" ht="13.5" customHeight="1" thickBot="1" x14ac:dyDescent="0.3">
      <c r="A165" s="743" t="s">
        <v>14</v>
      </c>
      <c r="B165" s="744"/>
      <c r="C165" s="750"/>
      <c r="D165" s="751"/>
      <c r="E165" s="747">
        <f>+C167+C191+C212+C218+D236+D328</f>
        <v>78470450</v>
      </c>
      <c r="F165" s="180"/>
      <c r="G165" s="55"/>
      <c r="H165" s="43"/>
    </row>
    <row r="166" spans="1:8" s="8" customFormat="1" ht="13.5" customHeight="1" thickBot="1" x14ac:dyDescent="0.3">
      <c r="A166" s="63"/>
      <c r="B166" s="63"/>
      <c r="C166" s="64"/>
      <c r="D166" s="64"/>
      <c r="E166" s="64"/>
      <c r="F166" s="99"/>
      <c r="G166" s="55"/>
      <c r="H166" s="43"/>
    </row>
    <row r="167" spans="1:8" s="8" customFormat="1" ht="13.5" customHeight="1" thickBot="1" x14ac:dyDescent="0.35">
      <c r="A167" s="1102" t="s">
        <v>2</v>
      </c>
      <c r="B167" s="1243"/>
      <c r="C167" s="699">
        <f>C168+C170+C172+C174+C176+C183+C185</f>
        <v>432490</v>
      </c>
      <c r="D167" s="68"/>
      <c r="E167" s="66"/>
      <c r="F167" s="99"/>
      <c r="G167" s="55"/>
      <c r="H167" s="43"/>
    </row>
    <row r="168" spans="1:8" s="8" customFormat="1" ht="13.5" customHeight="1" x14ac:dyDescent="0.3">
      <c r="A168" s="11" t="s">
        <v>103</v>
      </c>
      <c r="B168" s="211" t="s">
        <v>492</v>
      </c>
      <c r="C168" s="64">
        <f>SUM(C169)</f>
        <v>43720</v>
      </c>
      <c r="D168" s="57"/>
      <c r="E168" s="56"/>
      <c r="F168" s="99"/>
      <c r="G168" s="55"/>
      <c r="H168" s="43"/>
    </row>
    <row r="169" spans="1:8" s="8" customFormat="1" ht="13.5" customHeight="1" x14ac:dyDescent="0.25">
      <c r="A169" s="12" t="s">
        <v>46</v>
      </c>
      <c r="B169" s="8" t="s">
        <v>45</v>
      </c>
      <c r="C169" s="24">
        <v>43720</v>
      </c>
      <c r="D169" s="43"/>
      <c r="E169" s="43"/>
      <c r="F169" s="99"/>
      <c r="G169" s="55"/>
      <c r="H169" s="43"/>
    </row>
    <row r="170" spans="1:8" s="8" customFormat="1" ht="13.5" customHeight="1" x14ac:dyDescent="0.25">
      <c r="A170" s="11" t="s">
        <v>105</v>
      </c>
      <c r="B170" s="556" t="s">
        <v>106</v>
      </c>
      <c r="C170" s="31">
        <f>SUM(C171:C171)</f>
        <v>29000</v>
      </c>
      <c r="D170" s="22"/>
      <c r="E170" s="31"/>
      <c r="F170" s="99"/>
      <c r="G170" s="55"/>
      <c r="H170" s="43"/>
    </row>
    <row r="171" spans="1:8" s="8" customFormat="1" ht="13.5" customHeight="1" x14ac:dyDescent="0.25">
      <c r="A171" s="12" t="s">
        <v>86</v>
      </c>
      <c r="B171" s="8" t="s">
        <v>66</v>
      </c>
      <c r="C171" s="24">
        <v>29000</v>
      </c>
      <c r="D171" s="22"/>
      <c r="E171" s="64"/>
      <c r="F171" s="99"/>
      <c r="G171" s="55"/>
      <c r="H171" s="43"/>
    </row>
    <row r="172" spans="1:8" s="8" customFormat="1" ht="13.5" customHeight="1" x14ac:dyDescent="0.25">
      <c r="A172" s="11" t="s">
        <v>107</v>
      </c>
      <c r="B172" s="556" t="s">
        <v>108</v>
      </c>
      <c r="C172" s="31">
        <f>SUM(C173)</f>
        <v>28500</v>
      </c>
      <c r="D172" s="22"/>
      <c r="E172" s="64"/>
      <c r="F172" s="99"/>
      <c r="G172" s="55"/>
      <c r="H172" s="43"/>
    </row>
    <row r="173" spans="1:8" s="8" customFormat="1" ht="13.5" customHeight="1" x14ac:dyDescent="0.25">
      <c r="A173" s="12" t="s">
        <v>47</v>
      </c>
      <c r="B173" s="23" t="s">
        <v>48</v>
      </c>
      <c r="C173" s="24">
        <v>28500</v>
      </c>
      <c r="D173" s="78"/>
      <c r="E173" s="64"/>
      <c r="F173" s="99"/>
      <c r="G173" s="55"/>
      <c r="H173" s="43"/>
    </row>
    <row r="174" spans="1:8" s="8" customFormat="1" ht="13.5" customHeight="1" x14ac:dyDescent="0.25">
      <c r="A174" s="11" t="s">
        <v>195</v>
      </c>
      <c r="B174" s="556" t="s">
        <v>194</v>
      </c>
      <c r="C174" s="31">
        <f>SUM(C175)</f>
        <v>83000</v>
      </c>
      <c r="D174" s="78"/>
      <c r="E174" s="64"/>
      <c r="F174" s="99"/>
      <c r="G174" s="55"/>
      <c r="H174" s="43"/>
    </row>
    <row r="175" spans="1:8" s="8" customFormat="1" ht="13.5" customHeight="1" x14ac:dyDescent="0.3">
      <c r="A175" s="12" t="s">
        <v>193</v>
      </c>
      <c r="B175" s="8" t="s">
        <v>215</v>
      </c>
      <c r="C175" s="60">
        <v>83000</v>
      </c>
      <c r="D175" s="66"/>
      <c r="E175" s="66"/>
      <c r="F175" s="99"/>
      <c r="G175" s="55"/>
      <c r="H175" s="43"/>
    </row>
    <row r="176" spans="1:8" s="8" customFormat="1" ht="13.5" customHeight="1" x14ac:dyDescent="0.3">
      <c r="A176" s="265" t="s">
        <v>119</v>
      </c>
      <c r="B176" s="25" t="s">
        <v>109</v>
      </c>
      <c r="C176" s="64">
        <f>SUM(C177:C182)</f>
        <v>114450</v>
      </c>
      <c r="D176" s="68"/>
      <c r="E176" s="64"/>
      <c r="F176" s="99"/>
      <c r="G176" s="55"/>
      <c r="H176" s="43"/>
    </row>
    <row r="177" spans="1:8" s="8" customFormat="1" ht="13.5" customHeight="1" x14ac:dyDescent="0.3">
      <c r="A177" s="72" t="s">
        <v>190</v>
      </c>
      <c r="B177" s="23" t="s">
        <v>189</v>
      </c>
      <c r="C177" s="60">
        <v>13000</v>
      </c>
      <c r="D177" s="57"/>
      <c r="E177" s="68"/>
      <c r="F177" s="99"/>
      <c r="G177" s="55"/>
      <c r="H177" s="43"/>
    </row>
    <row r="178" spans="1:8" s="8" customFormat="1" ht="13.5" customHeight="1" x14ac:dyDescent="0.3">
      <c r="A178" s="72" t="s">
        <v>150</v>
      </c>
      <c r="B178" s="23" t="s">
        <v>69</v>
      </c>
      <c r="C178" s="60">
        <v>40200</v>
      </c>
      <c r="D178" s="68"/>
      <c r="E178" s="68"/>
      <c r="F178" s="99"/>
      <c r="G178" s="55"/>
      <c r="H178" s="43"/>
    </row>
    <row r="179" spans="1:8" s="8" customFormat="1" ht="13.5" customHeight="1" x14ac:dyDescent="0.3">
      <c r="A179" s="72" t="s">
        <v>188</v>
      </c>
      <c r="B179" s="23" t="s">
        <v>187</v>
      </c>
      <c r="C179" s="60">
        <v>12500</v>
      </c>
      <c r="D179" s="68"/>
      <c r="E179" s="64"/>
      <c r="F179" s="99"/>
      <c r="G179" s="55"/>
      <c r="H179" s="43"/>
    </row>
    <row r="180" spans="1:8" s="66" customFormat="1" x14ac:dyDescent="0.3">
      <c r="A180" s="72" t="s">
        <v>697</v>
      </c>
      <c r="B180" s="24" t="s">
        <v>696</v>
      </c>
      <c r="C180" s="24">
        <v>17000</v>
      </c>
      <c r="D180" s="78"/>
      <c r="E180" s="25"/>
    </row>
    <row r="181" spans="1:8" s="66" customFormat="1" x14ac:dyDescent="0.3">
      <c r="A181" s="72" t="s">
        <v>816</v>
      </c>
      <c r="B181" s="24" t="s">
        <v>810</v>
      </c>
      <c r="C181" s="24">
        <v>13000</v>
      </c>
      <c r="D181" s="78"/>
      <c r="E181" s="25"/>
    </row>
    <row r="182" spans="1:8" s="66" customFormat="1" x14ac:dyDescent="0.3">
      <c r="A182" s="72" t="s">
        <v>811</v>
      </c>
      <c r="B182" s="24" t="s">
        <v>812</v>
      </c>
      <c r="C182" s="24">
        <v>18750</v>
      </c>
      <c r="D182" s="78"/>
      <c r="E182" s="25"/>
    </row>
    <row r="183" spans="1:8" s="8" customFormat="1" ht="13.5" customHeight="1" x14ac:dyDescent="0.3">
      <c r="A183" s="265" t="s">
        <v>124</v>
      </c>
      <c r="B183" s="25" t="s">
        <v>123</v>
      </c>
      <c r="C183" s="64">
        <f>SUM(C184)</f>
        <v>20000</v>
      </c>
      <c r="D183" s="68"/>
      <c r="E183" s="64"/>
      <c r="F183" s="99"/>
      <c r="G183" s="55"/>
      <c r="H183" s="43"/>
    </row>
    <row r="184" spans="1:8" s="8" customFormat="1" ht="13.5" customHeight="1" x14ac:dyDescent="0.3">
      <c r="A184" s="72" t="s">
        <v>93</v>
      </c>
      <c r="B184" s="23" t="s">
        <v>72</v>
      </c>
      <c r="C184" s="60">
        <v>20000</v>
      </c>
      <c r="D184" s="68"/>
      <c r="E184" s="68"/>
      <c r="F184" s="99"/>
      <c r="G184" s="55"/>
      <c r="H184" s="43"/>
    </row>
    <row r="185" spans="1:8" s="8" customFormat="1" ht="13.5" customHeight="1" x14ac:dyDescent="0.3">
      <c r="A185" s="265" t="s">
        <v>151</v>
      </c>
      <c r="B185" s="25" t="s">
        <v>125</v>
      </c>
      <c r="C185" s="64">
        <f>SUM(C186:C189)</f>
        <v>113820</v>
      </c>
      <c r="D185" s="68"/>
      <c r="E185" s="68"/>
      <c r="F185" s="99"/>
      <c r="G185" s="55"/>
      <c r="H185" s="43"/>
    </row>
    <row r="186" spans="1:8" s="8" customFormat="1" ht="13.5" customHeight="1" x14ac:dyDescent="0.3">
      <c r="A186" s="72" t="s">
        <v>152</v>
      </c>
      <c r="B186" s="23" t="s">
        <v>65</v>
      </c>
      <c r="C186" s="60">
        <v>7250</v>
      </c>
      <c r="D186" s="68"/>
      <c r="E186" s="68"/>
      <c r="F186" s="99"/>
      <c r="G186" s="55"/>
      <c r="H186" s="43"/>
    </row>
    <row r="187" spans="1:8" s="8" customFormat="1" ht="13.5" customHeight="1" x14ac:dyDescent="0.25">
      <c r="A187" s="72" t="s">
        <v>153</v>
      </c>
      <c r="B187" s="23" t="s">
        <v>70</v>
      </c>
      <c r="C187" s="24">
        <v>26570</v>
      </c>
      <c r="D187" s="78"/>
      <c r="E187" s="25"/>
      <c r="F187" s="99"/>
      <c r="G187" s="55"/>
      <c r="H187" s="43"/>
    </row>
    <row r="188" spans="1:8" s="8" customFormat="1" ht="13.5" customHeight="1" x14ac:dyDescent="0.3">
      <c r="A188" s="72" t="s">
        <v>155</v>
      </c>
      <c r="B188" s="23" t="s">
        <v>125</v>
      </c>
      <c r="C188" s="60">
        <v>10000</v>
      </c>
      <c r="D188" s="68"/>
      <c r="E188" s="68"/>
      <c r="F188" s="99"/>
      <c r="G188" s="55"/>
      <c r="H188" s="43"/>
    </row>
    <row r="189" spans="1:8" s="226" customFormat="1" x14ac:dyDescent="0.3">
      <c r="A189" s="72" t="s">
        <v>699</v>
      </c>
      <c r="B189" s="23" t="s">
        <v>817</v>
      </c>
      <c r="C189" s="60">
        <v>70000</v>
      </c>
      <c r="E189" s="62"/>
      <c r="F189" s="457"/>
      <c r="G189" s="90"/>
    </row>
    <row r="190" spans="1:8" s="8" customFormat="1" ht="13.5" customHeight="1" thickBot="1" x14ac:dyDescent="0.35">
      <c r="A190" s="72"/>
      <c r="B190" s="23"/>
      <c r="C190" s="67"/>
      <c r="D190" s="68"/>
      <c r="E190" s="68"/>
      <c r="F190" s="99"/>
      <c r="G190" s="55"/>
      <c r="H190" s="43"/>
    </row>
    <row r="191" spans="1:8" s="8" customFormat="1" ht="13.5" customHeight="1" thickBot="1" x14ac:dyDescent="0.35">
      <c r="A191" s="1098" t="s">
        <v>3</v>
      </c>
      <c r="B191" s="1239"/>
      <c r="C191" s="700">
        <f>C192+C194+C198+C202+C204+C206</f>
        <v>1691460</v>
      </c>
      <c r="D191" s="68"/>
      <c r="E191" s="66"/>
      <c r="F191" s="99"/>
      <c r="G191" s="55"/>
      <c r="H191" s="43"/>
    </row>
    <row r="192" spans="1:8" s="8" customFormat="1" ht="13.5" customHeight="1" x14ac:dyDescent="0.3">
      <c r="A192" s="63" t="s">
        <v>110</v>
      </c>
      <c r="B192" s="211" t="s">
        <v>111</v>
      </c>
      <c r="C192" s="64">
        <f>SUM(C193)</f>
        <v>18870</v>
      </c>
      <c r="D192" s="57"/>
      <c r="E192" s="56"/>
      <c r="F192" s="99"/>
      <c r="G192" s="55"/>
      <c r="H192" s="43"/>
    </row>
    <row r="193" spans="1:8" s="8" customFormat="1" ht="13.5" customHeight="1" x14ac:dyDescent="0.25">
      <c r="A193" s="59" t="s">
        <v>52</v>
      </c>
      <c r="B193" s="59" t="s">
        <v>15</v>
      </c>
      <c r="C193" s="24">
        <v>18870</v>
      </c>
      <c r="F193" s="99"/>
      <c r="G193" s="55"/>
      <c r="H193" s="43"/>
    </row>
    <row r="194" spans="1:8" s="8" customFormat="1" ht="13.5" customHeight="1" x14ac:dyDescent="0.3">
      <c r="A194" s="63" t="s">
        <v>120</v>
      </c>
      <c r="B194" s="63" t="s">
        <v>493</v>
      </c>
      <c r="C194" s="64">
        <f>SUM(C195:C197)</f>
        <v>63640</v>
      </c>
      <c r="D194" s="56"/>
      <c r="E194" s="56"/>
      <c r="F194" s="99"/>
      <c r="G194" s="55"/>
      <c r="H194" s="43"/>
    </row>
    <row r="195" spans="1:8" s="8" customFormat="1" ht="13.5" customHeight="1" x14ac:dyDescent="0.3">
      <c r="A195" s="59" t="s">
        <v>236</v>
      </c>
      <c r="B195" s="43" t="s">
        <v>237</v>
      </c>
      <c r="C195" s="60">
        <v>30000</v>
      </c>
      <c r="D195" s="56"/>
      <c r="E195" s="56"/>
      <c r="F195" s="99"/>
      <c r="G195" s="55"/>
      <c r="H195" s="43"/>
    </row>
    <row r="196" spans="1:8" s="8" customFormat="1" ht="13.5" customHeight="1" x14ac:dyDescent="0.3">
      <c r="A196" s="59" t="s">
        <v>183</v>
      </c>
      <c r="B196" s="59" t="s">
        <v>273</v>
      </c>
      <c r="C196" s="60">
        <v>14890</v>
      </c>
      <c r="D196" s="66"/>
      <c r="E196" s="66"/>
      <c r="F196" s="99"/>
      <c r="G196" s="55"/>
      <c r="H196" s="43"/>
    </row>
    <row r="197" spans="1:8" s="8" customFormat="1" ht="13.5" customHeight="1" x14ac:dyDescent="0.3">
      <c r="A197" s="59" t="s">
        <v>136</v>
      </c>
      <c r="B197" s="59" t="s">
        <v>71</v>
      </c>
      <c r="C197" s="60">
        <v>18750</v>
      </c>
      <c r="D197" s="66"/>
      <c r="E197" s="66"/>
      <c r="F197" s="99"/>
      <c r="G197" s="55"/>
      <c r="H197" s="43"/>
    </row>
    <row r="198" spans="1:8" s="8" customFormat="1" ht="13.5" customHeight="1" x14ac:dyDescent="0.25">
      <c r="A198" s="265" t="s">
        <v>112</v>
      </c>
      <c r="B198" s="63" t="s">
        <v>157</v>
      </c>
      <c r="C198" s="31">
        <f>SUM(C199:C201)</f>
        <v>896700</v>
      </c>
      <c r="F198" s="99"/>
      <c r="G198" s="55"/>
      <c r="H198" s="43"/>
    </row>
    <row r="199" spans="1:8" s="8" customFormat="1" ht="13.5" customHeight="1" x14ac:dyDescent="0.3">
      <c r="A199" s="72" t="s">
        <v>138</v>
      </c>
      <c r="B199" s="59" t="s">
        <v>878</v>
      </c>
      <c r="C199" s="60">
        <v>7700</v>
      </c>
      <c r="D199" s="56"/>
      <c r="E199" s="56"/>
      <c r="F199" s="99"/>
      <c r="G199" s="55"/>
      <c r="H199" s="43"/>
    </row>
    <row r="200" spans="1:8" s="8" customFormat="1" ht="13.5" customHeight="1" x14ac:dyDescent="0.3">
      <c r="A200" s="72" t="s">
        <v>49</v>
      </c>
      <c r="B200" s="24" t="s">
        <v>87</v>
      </c>
      <c r="C200" s="60">
        <v>313000</v>
      </c>
      <c r="D200" s="56"/>
      <c r="E200" s="56"/>
      <c r="F200" s="99"/>
      <c r="G200" s="55"/>
      <c r="H200" s="43"/>
    </row>
    <row r="201" spans="1:8" s="8" customFormat="1" ht="13.5" customHeight="1" x14ac:dyDescent="0.3">
      <c r="A201" s="72" t="s">
        <v>876</v>
      </c>
      <c r="B201" s="43" t="s">
        <v>877</v>
      </c>
      <c r="C201" s="60">
        <v>576000</v>
      </c>
      <c r="D201" s="56"/>
      <c r="E201" s="56"/>
      <c r="F201" s="99"/>
      <c r="G201" s="55"/>
      <c r="H201" s="43"/>
    </row>
    <row r="202" spans="1:8" s="8" customFormat="1" ht="13.5" customHeight="1" x14ac:dyDescent="0.3">
      <c r="A202" s="265" t="s">
        <v>113</v>
      </c>
      <c r="B202" s="31" t="s">
        <v>114</v>
      </c>
      <c r="C202" s="64">
        <f>SUM(C203:C203)</f>
        <v>7630</v>
      </c>
      <c r="D202" s="56"/>
      <c r="E202" s="56"/>
      <c r="F202" s="99"/>
      <c r="G202" s="55"/>
      <c r="H202" s="43"/>
    </row>
    <row r="203" spans="1:8" s="8" customFormat="1" ht="13.5" customHeight="1" x14ac:dyDescent="0.3">
      <c r="A203" s="72" t="s">
        <v>88</v>
      </c>
      <c r="B203" s="24" t="s">
        <v>64</v>
      </c>
      <c r="C203" s="60">
        <v>7630</v>
      </c>
      <c r="D203" s="56"/>
      <c r="E203" s="56"/>
      <c r="F203" s="99"/>
      <c r="G203" s="55"/>
      <c r="H203" s="43"/>
    </row>
    <row r="204" spans="1:8" s="8" customFormat="1" ht="13.5" customHeight="1" x14ac:dyDescent="0.3">
      <c r="A204" s="265" t="s">
        <v>132</v>
      </c>
      <c r="B204" s="63" t="s">
        <v>56</v>
      </c>
      <c r="C204" s="64">
        <f>SUM(C205)</f>
        <v>12600</v>
      </c>
      <c r="D204" s="56"/>
      <c r="E204" s="56"/>
      <c r="F204" s="99"/>
      <c r="G204" s="55"/>
      <c r="H204" s="43"/>
    </row>
    <row r="205" spans="1:8" s="8" customFormat="1" ht="13.5" customHeight="1" x14ac:dyDescent="0.3">
      <c r="A205" s="72" t="s">
        <v>55</v>
      </c>
      <c r="B205" s="59" t="s">
        <v>56</v>
      </c>
      <c r="C205" s="60">
        <v>12600</v>
      </c>
      <c r="D205" s="56"/>
      <c r="E205" s="56"/>
      <c r="F205" s="99"/>
      <c r="G205" s="55"/>
      <c r="H205" s="43"/>
    </row>
    <row r="206" spans="1:8" s="8" customFormat="1" ht="13.5" customHeight="1" x14ac:dyDescent="0.3">
      <c r="A206" s="265" t="s">
        <v>115</v>
      </c>
      <c r="B206" s="31" t="s">
        <v>8</v>
      </c>
      <c r="C206" s="64">
        <f>SUM(C207:C210)</f>
        <v>692020</v>
      </c>
      <c r="D206" s="56"/>
      <c r="E206" s="56"/>
      <c r="F206" s="99"/>
      <c r="G206" s="55"/>
      <c r="H206" s="43"/>
    </row>
    <row r="207" spans="1:8" s="8" customFormat="1" ht="13.5" customHeight="1" x14ac:dyDescent="0.3">
      <c r="A207" s="72" t="s">
        <v>92</v>
      </c>
      <c r="B207" s="24" t="s">
        <v>8</v>
      </c>
      <c r="C207" s="60">
        <v>220600</v>
      </c>
      <c r="D207" s="56"/>
      <c r="E207" s="56"/>
      <c r="F207" s="99"/>
      <c r="G207" s="55"/>
      <c r="H207" s="43"/>
    </row>
    <row r="208" spans="1:8" s="8" customFormat="1" ht="13.5" customHeight="1" x14ac:dyDescent="0.3">
      <c r="A208" s="72" t="s">
        <v>494</v>
      </c>
      <c r="B208" s="24" t="s">
        <v>50</v>
      </c>
      <c r="C208" s="60">
        <v>53120</v>
      </c>
      <c r="D208" s="56"/>
      <c r="E208" s="56"/>
      <c r="F208" s="99"/>
      <c r="G208" s="55"/>
      <c r="H208" s="43"/>
    </row>
    <row r="209" spans="1:8" x14ac:dyDescent="0.3">
      <c r="A209" s="72" t="s">
        <v>222</v>
      </c>
      <c r="B209" s="43" t="s">
        <v>221</v>
      </c>
      <c r="C209" s="24">
        <v>100000</v>
      </c>
      <c r="D209" s="24"/>
      <c r="E209" s="120"/>
    </row>
    <row r="210" spans="1:8" s="8" customFormat="1" ht="13.5" customHeight="1" x14ac:dyDescent="0.3">
      <c r="A210" s="72" t="s">
        <v>90</v>
      </c>
      <c r="B210" s="24" t="s">
        <v>7</v>
      </c>
      <c r="C210" s="60">
        <v>318300</v>
      </c>
      <c r="D210" s="66"/>
      <c r="E210" s="66"/>
      <c r="F210" s="99"/>
      <c r="G210" s="55"/>
      <c r="H210" s="43"/>
    </row>
    <row r="211" spans="1:8" s="8" customFormat="1" ht="13.5" customHeight="1" thickBot="1" x14ac:dyDescent="0.35">
      <c r="A211" s="72"/>
      <c r="B211" s="24"/>
      <c r="C211" s="60"/>
      <c r="D211" s="23"/>
      <c r="E211" s="213"/>
      <c r="F211" s="99"/>
      <c r="G211" s="55"/>
      <c r="H211" s="43"/>
    </row>
    <row r="212" spans="1:8" s="8" customFormat="1" ht="13.5" customHeight="1" thickBot="1" x14ac:dyDescent="0.35">
      <c r="A212" s="1142" t="s">
        <v>5</v>
      </c>
      <c r="B212" s="1240"/>
      <c r="C212" s="726">
        <f>C213</f>
        <v>260000</v>
      </c>
      <c r="D212" s="68"/>
      <c r="E212" s="68"/>
      <c r="F212" s="99"/>
      <c r="G212" s="55"/>
      <c r="H212" s="43"/>
    </row>
    <row r="213" spans="1:8" s="8" customFormat="1" ht="13.5" customHeight="1" x14ac:dyDescent="0.3">
      <c r="A213" s="265" t="s">
        <v>128</v>
      </c>
      <c r="B213" s="211" t="s">
        <v>129</v>
      </c>
      <c r="C213" s="64">
        <f>SUM(C214:C216)</f>
        <v>260000</v>
      </c>
      <c r="D213" s="57"/>
      <c r="E213" s="57"/>
      <c r="F213" s="99"/>
      <c r="G213" s="55"/>
      <c r="H213" s="43"/>
    </row>
    <row r="214" spans="1:8" s="8" customFormat="1" ht="13.5" customHeight="1" x14ac:dyDescent="0.3">
      <c r="A214" s="72" t="s">
        <v>256</v>
      </c>
      <c r="B214" s="99" t="s">
        <v>257</v>
      </c>
      <c r="C214" s="60">
        <v>40000</v>
      </c>
      <c r="D214" s="57"/>
      <c r="E214" s="57"/>
      <c r="F214" s="99"/>
      <c r="G214" s="55"/>
      <c r="H214" s="43"/>
    </row>
    <row r="215" spans="1:8" s="8" customFormat="1" ht="13.5" customHeight="1" x14ac:dyDescent="0.3">
      <c r="A215" s="72" t="s">
        <v>495</v>
      </c>
      <c r="B215" s="99" t="s">
        <v>496</v>
      </c>
      <c r="C215" s="60">
        <v>60000</v>
      </c>
      <c r="D215" s="57"/>
      <c r="E215" s="57"/>
      <c r="F215" s="99"/>
      <c r="G215" s="55"/>
      <c r="H215" s="43"/>
    </row>
    <row r="216" spans="1:8" s="8" customFormat="1" ht="13.5" customHeight="1" x14ac:dyDescent="0.3">
      <c r="A216" s="72" t="s">
        <v>144</v>
      </c>
      <c r="B216" s="24" t="s">
        <v>12</v>
      </c>
      <c r="C216" s="24">
        <v>160000</v>
      </c>
      <c r="D216" s="66"/>
      <c r="E216" s="68"/>
      <c r="F216" s="99"/>
      <c r="G216" s="55"/>
      <c r="H216" s="43"/>
    </row>
    <row r="217" spans="1:8" s="8" customFormat="1" ht="13.5" customHeight="1" thickBot="1" x14ac:dyDescent="0.35">
      <c r="A217" s="72"/>
      <c r="B217" s="24"/>
      <c r="C217" s="24"/>
      <c r="D217" s="66"/>
      <c r="E217" s="68"/>
      <c r="F217" s="99"/>
      <c r="G217" s="55"/>
      <c r="H217" s="43"/>
    </row>
    <row r="218" spans="1:8" s="8" customFormat="1" ht="13.5" customHeight="1" thickBot="1" x14ac:dyDescent="0.35">
      <c r="A218" s="1094" t="s">
        <v>4</v>
      </c>
      <c r="B218" s="1242"/>
      <c r="C218" s="702">
        <f>+C219+C223</f>
        <v>115700</v>
      </c>
      <c r="D218" s="68"/>
      <c r="E218" s="68"/>
      <c r="F218" s="99"/>
      <c r="G218" s="55"/>
      <c r="H218" s="43"/>
    </row>
    <row r="219" spans="1:8" s="8" customFormat="1" ht="13.5" customHeight="1" x14ac:dyDescent="0.25">
      <c r="A219" s="265" t="s">
        <v>116</v>
      </c>
      <c r="B219" s="25" t="s">
        <v>117</v>
      </c>
      <c r="C219" s="31">
        <f>SUM(C220:C222)</f>
        <v>98900</v>
      </c>
      <c r="D219" s="78"/>
      <c r="E219" s="25"/>
      <c r="F219" s="99"/>
      <c r="G219" s="55"/>
      <c r="H219" s="43"/>
    </row>
    <row r="220" spans="1:8" s="8" customFormat="1" ht="13.5" customHeight="1" x14ac:dyDescent="0.25">
      <c r="A220" s="72" t="s">
        <v>91</v>
      </c>
      <c r="B220" s="23" t="s">
        <v>139</v>
      </c>
      <c r="C220" s="24">
        <v>41400</v>
      </c>
      <c r="D220" s="78"/>
      <c r="E220" s="25"/>
      <c r="F220" s="99"/>
      <c r="G220" s="55"/>
      <c r="H220" s="43"/>
    </row>
    <row r="221" spans="1:8" s="8" customFormat="1" ht="13.5" customHeight="1" x14ac:dyDescent="0.25">
      <c r="A221" s="72" t="s">
        <v>57</v>
      </c>
      <c r="B221" s="23" t="s">
        <v>58</v>
      </c>
      <c r="C221" s="24">
        <v>27500</v>
      </c>
      <c r="D221" s="78"/>
      <c r="E221" s="25"/>
      <c r="F221" s="99"/>
      <c r="G221" s="55"/>
      <c r="H221" s="43"/>
    </row>
    <row r="222" spans="1:8" s="8" customFormat="1" ht="13.5" customHeight="1" x14ac:dyDescent="0.25">
      <c r="A222" s="72" t="s">
        <v>814</v>
      </c>
      <c r="B222" s="23" t="s">
        <v>815</v>
      </c>
      <c r="C222" s="24">
        <v>30000</v>
      </c>
      <c r="D222" s="78"/>
      <c r="E222" s="25"/>
      <c r="F222" s="99"/>
      <c r="G222" s="55"/>
      <c r="H222" s="43"/>
    </row>
    <row r="223" spans="1:8" s="8" customFormat="1" ht="13.5" customHeight="1" x14ac:dyDescent="0.25">
      <c r="A223" s="265" t="s">
        <v>166</v>
      </c>
      <c r="B223" s="25" t="s">
        <v>134</v>
      </c>
      <c r="C223" s="31">
        <f>SUM(C224)</f>
        <v>16800</v>
      </c>
      <c r="D223" s="78"/>
      <c r="E223" s="25"/>
      <c r="F223" s="99"/>
      <c r="G223" s="55"/>
      <c r="H223" s="43"/>
    </row>
    <row r="224" spans="1:8" x14ac:dyDescent="0.3">
      <c r="A224" s="72" t="s">
        <v>167</v>
      </c>
      <c r="B224" s="23" t="s">
        <v>51</v>
      </c>
      <c r="C224" s="24">
        <v>16800</v>
      </c>
      <c r="D224" s="78"/>
      <c r="E224" s="25"/>
    </row>
    <row r="225" spans="1:7" ht="13.5" thickBot="1" x14ac:dyDescent="0.35"/>
    <row r="226" spans="1:7" x14ac:dyDescent="0.3">
      <c r="A226" s="1117" t="s">
        <v>874</v>
      </c>
      <c r="B226" s="1119"/>
      <c r="C226" s="704" t="s">
        <v>6</v>
      </c>
      <c r="D226" s="910" t="s">
        <v>771</v>
      </c>
      <c r="E226" s="52"/>
    </row>
    <row r="227" spans="1:7" ht="13.5" thickBot="1" x14ac:dyDescent="0.35">
      <c r="A227" s="1120"/>
      <c r="B227" s="1122"/>
      <c r="C227" s="708"/>
      <c r="D227" s="709"/>
      <c r="E227" s="52"/>
    </row>
    <row r="228" spans="1:7" x14ac:dyDescent="0.3">
      <c r="A228" s="1123" t="s">
        <v>875</v>
      </c>
      <c r="B228" s="1124"/>
      <c r="C228" s="1124"/>
      <c r="D228" s="1125"/>
      <c r="E228" s="52"/>
    </row>
    <row r="229" spans="1:7" x14ac:dyDescent="0.3">
      <c r="A229" s="1126"/>
      <c r="B229" s="1127"/>
      <c r="C229" s="1127"/>
      <c r="D229" s="1128"/>
      <c r="E229" s="52"/>
    </row>
    <row r="230" spans="1:7" x14ac:dyDescent="0.3">
      <c r="A230" s="1126"/>
      <c r="B230" s="1127"/>
      <c r="C230" s="1127"/>
      <c r="D230" s="1128"/>
      <c r="E230" s="52"/>
    </row>
    <row r="231" spans="1:7" ht="25.5" customHeight="1" thickBot="1" x14ac:dyDescent="0.35">
      <c r="A231" s="1129"/>
      <c r="B231" s="1130"/>
      <c r="C231" s="1130"/>
      <c r="D231" s="1131"/>
      <c r="E231" s="52"/>
    </row>
    <row r="232" spans="1:7" x14ac:dyDescent="0.3">
      <c r="A232" s="456" t="s">
        <v>1029</v>
      </c>
      <c r="B232" s="170"/>
      <c r="C232" s="169"/>
      <c r="D232" s="168"/>
      <c r="E232" s="52"/>
    </row>
    <row r="233" spans="1:7" x14ac:dyDescent="0.3">
      <c r="A233" s="58" t="s">
        <v>653</v>
      </c>
      <c r="B233" s="59"/>
      <c r="C233" s="60"/>
      <c r="D233" s="61"/>
      <c r="E233" s="52"/>
    </row>
    <row r="234" spans="1:7" s="454" customFormat="1" ht="11.5" x14ac:dyDescent="0.25">
      <c r="A234" s="58" t="s">
        <v>1040</v>
      </c>
      <c r="B234" s="59"/>
      <c r="C234" s="60"/>
      <c r="D234" s="61"/>
      <c r="E234" s="60"/>
      <c r="F234" s="70"/>
    </row>
    <row r="235" spans="1:7" ht="13.5" thickBot="1" x14ac:dyDescent="0.35">
      <c r="A235" s="167" t="s">
        <v>13</v>
      </c>
      <c r="B235" s="462"/>
      <c r="C235" s="165"/>
      <c r="D235" s="164"/>
      <c r="E235" s="52"/>
    </row>
    <row r="236" spans="1:7" ht="13.5" thickBot="1" x14ac:dyDescent="0.35">
      <c r="A236" s="743" t="s">
        <v>587</v>
      </c>
      <c r="B236" s="744"/>
      <c r="C236" s="751"/>
      <c r="D236" s="747">
        <f>C238+C276+C306+C302</f>
        <v>57085310</v>
      </c>
      <c r="E236" s="52"/>
      <c r="F236" s="62"/>
      <c r="G236" s="62"/>
    </row>
    <row r="237" spans="1:7" ht="13.5" thickBot="1" x14ac:dyDescent="0.35">
      <c r="A237" s="63"/>
      <c r="B237" s="63"/>
      <c r="C237" s="64"/>
      <c r="D237" s="64"/>
      <c r="E237" s="455"/>
    </row>
    <row r="238" spans="1:7" s="66" customFormat="1" ht="13.5" thickBot="1" x14ac:dyDescent="0.35">
      <c r="A238" s="1102" t="s">
        <v>2</v>
      </c>
      <c r="B238" s="1103"/>
      <c r="C238" s="699">
        <f>C239+C241+C245+C247+C250+C253+C258+C266+C269</f>
        <v>17312580</v>
      </c>
      <c r="D238" s="57"/>
      <c r="F238" s="213"/>
    </row>
    <row r="239" spans="1:7" s="239" customFormat="1" x14ac:dyDescent="0.3">
      <c r="A239" s="11" t="s">
        <v>103</v>
      </c>
      <c r="B239" s="211" t="s">
        <v>492</v>
      </c>
      <c r="C239" s="563">
        <f>SUM(C240)</f>
        <v>867140</v>
      </c>
      <c r="D239" s="95"/>
      <c r="E239" s="95"/>
    </row>
    <row r="240" spans="1:7" s="43" customFormat="1" ht="13.5" customHeight="1" x14ac:dyDescent="0.25">
      <c r="A240" s="12" t="s">
        <v>46</v>
      </c>
      <c r="B240" s="8" t="s">
        <v>45</v>
      </c>
      <c r="C240" s="24">
        <v>867140</v>
      </c>
      <c r="D240" s="24"/>
      <c r="E240" s="31"/>
      <c r="G240" s="55"/>
    </row>
    <row r="241" spans="1:9" s="43" customFormat="1" ht="13.5" customHeight="1" x14ac:dyDescent="0.25">
      <c r="A241" s="11" t="s">
        <v>199</v>
      </c>
      <c r="B241" s="556" t="s">
        <v>219</v>
      </c>
      <c r="C241" s="31">
        <f>SUM(C242:C244)</f>
        <v>111560</v>
      </c>
      <c r="D241" s="24"/>
      <c r="E241" s="31"/>
      <c r="G241" s="55"/>
    </row>
    <row r="242" spans="1:9" s="43" customFormat="1" ht="13.5" customHeight="1" x14ac:dyDescent="0.25">
      <c r="A242" s="12" t="s">
        <v>197</v>
      </c>
      <c r="B242" s="70" t="s">
        <v>499</v>
      </c>
      <c r="C242" s="24">
        <v>24420</v>
      </c>
      <c r="D242" s="24"/>
      <c r="E242" s="31"/>
      <c r="G242" s="55"/>
    </row>
    <row r="243" spans="1:9" s="43" customFormat="1" ht="13.5" customHeight="1" x14ac:dyDescent="0.25">
      <c r="A243" s="12" t="s">
        <v>227</v>
      </c>
      <c r="B243" s="70" t="s">
        <v>226</v>
      </c>
      <c r="C243" s="60">
        <v>57440</v>
      </c>
      <c r="D243" s="24"/>
      <c r="E243" s="31"/>
      <c r="G243" s="55"/>
    </row>
    <row r="244" spans="1:9" s="43" customFormat="1" ht="13.5" customHeight="1" x14ac:dyDescent="0.25">
      <c r="A244" s="12" t="s">
        <v>218</v>
      </c>
      <c r="B244" s="43" t="s">
        <v>217</v>
      </c>
      <c r="C244" s="60">
        <v>29700</v>
      </c>
      <c r="D244" s="24"/>
      <c r="E244" s="31"/>
      <c r="G244" s="55"/>
    </row>
    <row r="245" spans="1:9" s="43" customFormat="1" ht="13.5" customHeight="1" x14ac:dyDescent="0.25">
      <c r="A245" s="11" t="s">
        <v>105</v>
      </c>
      <c r="B245" s="556" t="s">
        <v>106</v>
      </c>
      <c r="C245" s="31">
        <f>C246</f>
        <v>478540</v>
      </c>
      <c r="D245" s="24"/>
      <c r="E245" s="31"/>
      <c r="G245" s="55"/>
    </row>
    <row r="246" spans="1:9" s="66" customFormat="1" x14ac:dyDescent="0.3">
      <c r="A246" s="12" t="s">
        <v>86</v>
      </c>
      <c r="B246" s="8" t="s">
        <v>66</v>
      </c>
      <c r="C246" s="24">
        <v>478540</v>
      </c>
      <c r="D246" s="68"/>
      <c r="E246" s="68"/>
    </row>
    <row r="247" spans="1:9" s="66" customFormat="1" x14ac:dyDescent="0.3">
      <c r="A247" s="11" t="s">
        <v>107</v>
      </c>
      <c r="B247" s="556" t="s">
        <v>108</v>
      </c>
      <c r="C247" s="31">
        <f>SUM(C248:C249)</f>
        <v>442960</v>
      </c>
      <c r="D247" s="68"/>
      <c r="E247" s="68"/>
    </row>
    <row r="248" spans="1:9" s="66" customFormat="1" x14ac:dyDescent="0.3">
      <c r="A248" s="12" t="s">
        <v>47</v>
      </c>
      <c r="B248" s="23" t="s">
        <v>48</v>
      </c>
      <c r="C248" s="24">
        <v>400360</v>
      </c>
      <c r="D248" s="57"/>
      <c r="E248" s="57"/>
    </row>
    <row r="249" spans="1:9" s="66" customFormat="1" x14ac:dyDescent="0.3">
      <c r="A249" s="12" t="s">
        <v>462</v>
      </c>
      <c r="B249" s="23" t="s">
        <v>463</v>
      </c>
      <c r="C249" s="24">
        <v>42600</v>
      </c>
      <c r="D249" s="57"/>
      <c r="E249" s="57"/>
    </row>
    <row r="250" spans="1:9" s="66" customFormat="1" x14ac:dyDescent="0.3">
      <c r="A250" s="265" t="s">
        <v>195</v>
      </c>
      <c r="B250" s="25" t="s">
        <v>194</v>
      </c>
      <c r="C250" s="31">
        <f>SUM(C251:C252)</f>
        <v>280180</v>
      </c>
      <c r="D250" s="57"/>
      <c r="E250" s="57"/>
    </row>
    <row r="251" spans="1:9" s="66" customFormat="1" x14ac:dyDescent="0.3">
      <c r="A251" s="12" t="s">
        <v>193</v>
      </c>
      <c r="B251" s="43" t="s">
        <v>215</v>
      </c>
      <c r="C251" s="60">
        <f>154000*1.17</f>
        <v>180180</v>
      </c>
      <c r="D251" s="68"/>
      <c r="E251" s="68"/>
    </row>
    <row r="252" spans="1:9" s="306" customFormat="1" ht="13.5" customHeight="1" x14ac:dyDescent="0.25">
      <c r="A252" s="12" t="s">
        <v>261</v>
      </c>
      <c r="B252" s="24" t="s">
        <v>262</v>
      </c>
      <c r="C252" s="24">
        <v>100000</v>
      </c>
      <c r="D252" s="302"/>
      <c r="E252" s="300"/>
      <c r="F252" s="689"/>
      <c r="I252" s="307"/>
    </row>
    <row r="253" spans="1:9" s="56" customFormat="1" x14ac:dyDescent="0.3">
      <c r="A253" s="265" t="s">
        <v>500</v>
      </c>
      <c r="B253" s="63" t="s">
        <v>474</v>
      </c>
      <c r="C253" s="64">
        <f>SUM(C254:C257)</f>
        <v>12809310</v>
      </c>
      <c r="D253" s="57"/>
      <c r="E253" s="57"/>
    </row>
    <row r="254" spans="1:9" s="56" customFormat="1" x14ac:dyDescent="0.3">
      <c r="A254" s="72" t="s">
        <v>475</v>
      </c>
      <c r="B254" s="59" t="s">
        <v>501</v>
      </c>
      <c r="C254" s="60">
        <v>10594350</v>
      </c>
      <c r="D254" s="68"/>
      <c r="E254" s="57"/>
    </row>
    <row r="255" spans="1:9" s="56" customFormat="1" x14ac:dyDescent="0.3">
      <c r="A255" s="72" t="s">
        <v>477</v>
      </c>
      <c r="B255" s="59" t="s">
        <v>478</v>
      </c>
      <c r="C255" s="60">
        <v>1806850</v>
      </c>
      <c r="D255" s="57"/>
      <c r="E255" s="57"/>
    </row>
    <row r="256" spans="1:9" s="56" customFormat="1" x14ac:dyDescent="0.3">
      <c r="A256" s="72" t="s">
        <v>506</v>
      </c>
      <c r="B256" s="59" t="s">
        <v>507</v>
      </c>
      <c r="C256" s="60">
        <v>211380</v>
      </c>
      <c r="D256" s="57"/>
      <c r="E256" s="57"/>
    </row>
    <row r="257" spans="1:7" s="56" customFormat="1" x14ac:dyDescent="0.3">
      <c r="A257" s="72" t="s">
        <v>479</v>
      </c>
      <c r="B257" s="59" t="s">
        <v>502</v>
      </c>
      <c r="C257" s="60">
        <v>196730</v>
      </c>
      <c r="D257" s="57"/>
      <c r="E257" s="57"/>
    </row>
    <row r="258" spans="1:7" s="66" customFormat="1" x14ac:dyDescent="0.3">
      <c r="A258" s="265" t="s">
        <v>119</v>
      </c>
      <c r="B258" s="25" t="s">
        <v>109</v>
      </c>
      <c r="C258" s="64">
        <f>SUM(C259:C265)</f>
        <v>485730</v>
      </c>
      <c r="D258" s="68"/>
      <c r="E258" s="68"/>
    </row>
    <row r="259" spans="1:7" s="66" customFormat="1" x14ac:dyDescent="0.3">
      <c r="A259" s="70" t="s">
        <v>190</v>
      </c>
      <c r="B259" s="23" t="s">
        <v>189</v>
      </c>
      <c r="C259" s="60">
        <v>41750</v>
      </c>
      <c r="D259" s="68"/>
      <c r="E259" s="68"/>
    </row>
    <row r="260" spans="1:7" s="66" customFormat="1" x14ac:dyDescent="0.3">
      <c r="A260" s="70" t="s">
        <v>481</v>
      </c>
      <c r="B260" s="70" t="s">
        <v>482</v>
      </c>
      <c r="C260" s="60">
        <v>68750</v>
      </c>
      <c r="D260" s="68"/>
      <c r="E260" s="68"/>
    </row>
    <row r="261" spans="1:7" s="66" customFormat="1" x14ac:dyDescent="0.3">
      <c r="A261" s="70" t="s">
        <v>188</v>
      </c>
      <c r="B261" s="70" t="s">
        <v>187</v>
      </c>
      <c r="C261" s="60">
        <v>55080</v>
      </c>
      <c r="D261" s="57"/>
      <c r="E261" s="68"/>
    </row>
    <row r="262" spans="1:7" s="66" customFormat="1" x14ac:dyDescent="0.3">
      <c r="A262" s="72" t="s">
        <v>697</v>
      </c>
      <c r="B262" s="24" t="s">
        <v>696</v>
      </c>
      <c r="C262" s="24">
        <v>68900</v>
      </c>
      <c r="D262" s="78"/>
      <c r="E262" s="25"/>
    </row>
    <row r="263" spans="1:7" s="66" customFormat="1" x14ac:dyDescent="0.3">
      <c r="A263" s="72" t="s">
        <v>816</v>
      </c>
      <c r="B263" s="24" t="s">
        <v>810</v>
      </c>
      <c r="C263" s="24">
        <v>66250</v>
      </c>
      <c r="D263" s="78"/>
      <c r="E263" s="25"/>
    </row>
    <row r="264" spans="1:7" s="66" customFormat="1" x14ac:dyDescent="0.3">
      <c r="A264" s="72" t="s">
        <v>820</v>
      </c>
      <c r="B264" s="24" t="s">
        <v>821</v>
      </c>
      <c r="C264" s="24">
        <v>150730</v>
      </c>
      <c r="D264" s="78"/>
      <c r="E264" s="25"/>
    </row>
    <row r="265" spans="1:7" s="66" customFormat="1" x14ac:dyDescent="0.3">
      <c r="A265" s="72" t="s">
        <v>811</v>
      </c>
      <c r="B265" s="24" t="s">
        <v>812</v>
      </c>
      <c r="C265" s="24">
        <v>34270</v>
      </c>
      <c r="D265" s="78"/>
      <c r="E265" s="25"/>
    </row>
    <row r="266" spans="1:7" s="66" customFormat="1" x14ac:dyDescent="0.3">
      <c r="A266" s="265" t="s">
        <v>124</v>
      </c>
      <c r="B266" s="25" t="s">
        <v>123</v>
      </c>
      <c r="C266" s="64">
        <f>SUM(C267:C268)</f>
        <v>388300</v>
      </c>
      <c r="D266" s="57"/>
      <c r="E266" s="68"/>
    </row>
    <row r="267" spans="1:7" s="66" customFormat="1" x14ac:dyDescent="0.3">
      <c r="A267" s="72" t="s">
        <v>230</v>
      </c>
      <c r="B267" s="43" t="s">
        <v>229</v>
      </c>
      <c r="C267" s="60">
        <v>258530</v>
      </c>
      <c r="D267" s="57"/>
      <c r="E267" s="68"/>
    </row>
    <row r="268" spans="1:7" s="66" customFormat="1" x14ac:dyDescent="0.3">
      <c r="A268" s="72" t="s">
        <v>93</v>
      </c>
      <c r="B268" s="24" t="s">
        <v>72</v>
      </c>
      <c r="C268" s="60">
        <v>129770</v>
      </c>
      <c r="D268" s="68"/>
      <c r="E268" s="68"/>
    </row>
    <row r="269" spans="1:7" s="66" customFormat="1" x14ac:dyDescent="0.3">
      <c r="A269" s="265" t="s">
        <v>151</v>
      </c>
      <c r="B269" s="560" t="s">
        <v>125</v>
      </c>
      <c r="C269" s="64">
        <f>SUM(C270:C274)</f>
        <v>1448860</v>
      </c>
      <c r="D269" s="68"/>
      <c r="E269" s="68"/>
    </row>
    <row r="270" spans="1:7" s="43" customFormat="1" ht="13.5" customHeight="1" x14ac:dyDescent="0.25">
      <c r="A270" s="72" t="s">
        <v>152</v>
      </c>
      <c r="B270" s="23" t="s">
        <v>65</v>
      </c>
      <c r="C270" s="60">
        <v>642000</v>
      </c>
      <c r="D270" s="22"/>
      <c r="E270" s="64"/>
      <c r="G270" s="55"/>
    </row>
    <row r="271" spans="1:7" s="43" customFormat="1" ht="13.5" customHeight="1" x14ac:dyDescent="0.25">
      <c r="A271" s="72" t="s">
        <v>244</v>
      </c>
      <c r="B271" s="23" t="s">
        <v>245</v>
      </c>
      <c r="C271" s="60">
        <v>20710</v>
      </c>
      <c r="D271" s="22"/>
      <c r="E271" s="64"/>
      <c r="G271" s="55"/>
    </row>
    <row r="272" spans="1:7" s="43" customFormat="1" ht="13.5" customHeight="1" x14ac:dyDescent="0.25">
      <c r="A272" s="72" t="s">
        <v>508</v>
      </c>
      <c r="B272" s="23" t="s">
        <v>509</v>
      </c>
      <c r="C272" s="60">
        <v>25150</v>
      </c>
      <c r="D272" s="22"/>
      <c r="E272" s="64"/>
      <c r="G272" s="55"/>
    </row>
    <row r="273" spans="1:7" s="66" customFormat="1" x14ac:dyDescent="0.3">
      <c r="A273" s="72" t="s">
        <v>155</v>
      </c>
      <c r="B273" s="23" t="s">
        <v>125</v>
      </c>
      <c r="C273" s="24">
        <v>620000</v>
      </c>
      <c r="D273" s="68"/>
      <c r="E273" s="57"/>
    </row>
    <row r="274" spans="1:7" s="226" customFormat="1" x14ac:dyDescent="0.3">
      <c r="A274" s="72" t="s">
        <v>699</v>
      </c>
      <c r="B274" s="23" t="s">
        <v>817</v>
      </c>
      <c r="C274" s="60">
        <v>141000</v>
      </c>
      <c r="E274" s="62"/>
      <c r="F274" s="457"/>
      <c r="G274" s="90"/>
    </row>
    <row r="275" spans="1:7" s="66" customFormat="1" ht="13.5" thickBot="1" x14ac:dyDescent="0.35">
      <c r="A275" s="72"/>
      <c r="B275" s="23"/>
      <c r="C275" s="23"/>
      <c r="D275" s="68"/>
      <c r="E275" s="57"/>
    </row>
    <row r="276" spans="1:7" s="66" customFormat="1" ht="13.5" thickBot="1" x14ac:dyDescent="0.35">
      <c r="A276" s="1098" t="s">
        <v>3</v>
      </c>
      <c r="B276" s="1099"/>
      <c r="C276" s="700">
        <f>C277+C281+C287+C289+C292+C294+C296</f>
        <v>32233420</v>
      </c>
      <c r="D276" s="57"/>
      <c r="G276" s="213"/>
    </row>
    <row r="277" spans="1:7" s="239" customFormat="1" x14ac:dyDescent="0.3">
      <c r="A277" s="63" t="s">
        <v>110</v>
      </c>
      <c r="B277" s="211" t="s">
        <v>111</v>
      </c>
      <c r="C277" s="563">
        <f>SUM(C278:C280)</f>
        <v>864140</v>
      </c>
      <c r="D277" s="95"/>
      <c r="E277" s="95"/>
    </row>
    <row r="278" spans="1:7" s="239" customFormat="1" x14ac:dyDescent="0.3">
      <c r="A278" s="59" t="s">
        <v>160</v>
      </c>
      <c r="B278" s="99" t="s">
        <v>159</v>
      </c>
      <c r="C278" s="114">
        <v>592600</v>
      </c>
      <c r="E278" s="95"/>
      <c r="G278" s="95"/>
    </row>
    <row r="279" spans="1:7" s="239" customFormat="1" x14ac:dyDescent="0.3">
      <c r="A279" s="59" t="s">
        <v>269</v>
      </c>
      <c r="B279" s="99" t="s">
        <v>510</v>
      </c>
      <c r="C279" s="114">
        <v>183640</v>
      </c>
      <c r="E279" s="95"/>
      <c r="G279" s="95"/>
    </row>
    <row r="280" spans="1:7" s="239" customFormat="1" x14ac:dyDescent="0.3">
      <c r="A280" s="59" t="s">
        <v>52</v>
      </c>
      <c r="B280" s="59" t="s">
        <v>15</v>
      </c>
      <c r="C280" s="114">
        <v>87900</v>
      </c>
      <c r="D280" s="95"/>
      <c r="E280" s="95"/>
    </row>
    <row r="281" spans="1:7" s="239" customFormat="1" x14ac:dyDescent="0.3">
      <c r="A281" s="63" t="s">
        <v>120</v>
      </c>
      <c r="B281" s="63" t="s">
        <v>121</v>
      </c>
      <c r="C281" s="563">
        <f>SUM(C282:C286)</f>
        <v>1293150</v>
      </c>
      <c r="D281" s="95"/>
      <c r="E281" s="95"/>
    </row>
    <row r="282" spans="1:7" s="239" customFormat="1" x14ac:dyDescent="0.3">
      <c r="A282" s="12" t="s">
        <v>246</v>
      </c>
      <c r="B282" s="12" t="s">
        <v>247</v>
      </c>
      <c r="C282" s="24">
        <v>945320</v>
      </c>
      <c r="D282" s="95"/>
      <c r="E282" s="95"/>
    </row>
    <row r="283" spans="1:7" s="239" customFormat="1" x14ac:dyDescent="0.3">
      <c r="A283" s="59" t="s">
        <v>484</v>
      </c>
      <c r="B283" s="59" t="s">
        <v>511</v>
      </c>
      <c r="C283" s="60">
        <v>155440</v>
      </c>
      <c r="D283" s="95"/>
      <c r="E283" s="95"/>
    </row>
    <row r="284" spans="1:7" s="239" customFormat="1" x14ac:dyDescent="0.3">
      <c r="A284" s="59" t="s">
        <v>183</v>
      </c>
      <c r="B284" s="59" t="s">
        <v>512</v>
      </c>
      <c r="C284" s="60">
        <v>51890</v>
      </c>
      <c r="D284" s="95"/>
      <c r="E284" s="95"/>
    </row>
    <row r="285" spans="1:7" s="66" customFormat="1" x14ac:dyDescent="0.3">
      <c r="A285" s="59" t="s">
        <v>140</v>
      </c>
      <c r="B285" s="59" t="s">
        <v>595</v>
      </c>
      <c r="C285" s="60">
        <v>85000</v>
      </c>
      <c r="E285" s="62"/>
      <c r="G285" s="68"/>
    </row>
    <row r="286" spans="1:7" s="239" customFormat="1" x14ac:dyDescent="0.3">
      <c r="A286" s="59" t="s">
        <v>136</v>
      </c>
      <c r="B286" s="59" t="s">
        <v>71</v>
      </c>
      <c r="C286" s="60">
        <v>55500</v>
      </c>
      <c r="D286" s="95"/>
      <c r="E286" s="95"/>
    </row>
    <row r="287" spans="1:7" s="239" customFormat="1" x14ac:dyDescent="0.3">
      <c r="A287" s="63" t="s">
        <v>274</v>
      </c>
      <c r="B287" s="63" t="s">
        <v>275</v>
      </c>
      <c r="C287" s="64">
        <f>SUM(C288)</f>
        <v>460510</v>
      </c>
      <c r="D287" s="95"/>
      <c r="E287" s="95"/>
    </row>
    <row r="288" spans="1:7" s="239" customFormat="1" x14ac:dyDescent="0.3">
      <c r="A288" s="59" t="s">
        <v>280</v>
      </c>
      <c r="B288" s="59" t="s">
        <v>281</v>
      </c>
      <c r="C288" s="24">
        <v>460510</v>
      </c>
      <c r="E288" s="95"/>
      <c r="G288" s="537"/>
    </row>
    <row r="289" spans="1:9" s="239" customFormat="1" x14ac:dyDescent="0.3">
      <c r="A289" s="265" t="s">
        <v>112</v>
      </c>
      <c r="B289" s="63" t="s">
        <v>157</v>
      </c>
      <c r="C289" s="563">
        <f>SUM(C290:C291)</f>
        <v>21732370</v>
      </c>
      <c r="E289" s="95"/>
    </row>
    <row r="290" spans="1:9" s="56" customFormat="1" x14ac:dyDescent="0.3">
      <c r="A290" s="72" t="s">
        <v>138</v>
      </c>
      <c r="B290" s="59" t="s">
        <v>878</v>
      </c>
      <c r="C290" s="60">
        <v>20000</v>
      </c>
      <c r="D290" s="64"/>
      <c r="E290" s="57"/>
      <c r="F290" s="57"/>
    </row>
    <row r="291" spans="1:9" s="56" customFormat="1" x14ac:dyDescent="0.3">
      <c r="A291" s="72" t="s">
        <v>49</v>
      </c>
      <c r="B291" s="24" t="s">
        <v>87</v>
      </c>
      <c r="C291" s="60">
        <v>21712370</v>
      </c>
      <c r="E291" s="57"/>
      <c r="F291" s="57"/>
      <c r="I291" s="95"/>
    </row>
    <row r="292" spans="1:9" s="56" customFormat="1" x14ac:dyDescent="0.3">
      <c r="A292" s="265" t="s">
        <v>113</v>
      </c>
      <c r="B292" s="31" t="s">
        <v>114</v>
      </c>
      <c r="C292" s="64">
        <f>SUM(C293:C293)</f>
        <v>23400</v>
      </c>
      <c r="D292" s="60"/>
      <c r="E292" s="57"/>
      <c r="F292" s="57"/>
    </row>
    <row r="293" spans="1:9" s="56" customFormat="1" x14ac:dyDescent="0.3">
      <c r="A293" s="72" t="s">
        <v>164</v>
      </c>
      <c r="B293" s="59" t="s">
        <v>74</v>
      </c>
      <c r="C293" s="60">
        <f>20000*1.17</f>
        <v>23400</v>
      </c>
      <c r="D293" s="25"/>
      <c r="E293" s="213"/>
      <c r="F293" s="57"/>
    </row>
    <row r="294" spans="1:9" s="56" customFormat="1" x14ac:dyDescent="0.3">
      <c r="A294" s="265" t="s">
        <v>132</v>
      </c>
      <c r="B294" s="63" t="s">
        <v>56</v>
      </c>
      <c r="C294" s="64">
        <f>SUM(C295)</f>
        <v>42350</v>
      </c>
      <c r="D294" s="25"/>
      <c r="E294" s="213"/>
      <c r="F294" s="57"/>
    </row>
    <row r="295" spans="1:9" s="66" customFormat="1" x14ac:dyDescent="0.3">
      <c r="A295" s="72" t="s">
        <v>55</v>
      </c>
      <c r="B295" s="59" t="s">
        <v>56</v>
      </c>
      <c r="C295" s="60">
        <v>42350</v>
      </c>
      <c r="D295" s="57"/>
      <c r="E295" s="57"/>
    </row>
    <row r="296" spans="1:9" s="66" customFormat="1" x14ac:dyDescent="0.3">
      <c r="A296" s="265" t="s">
        <v>115</v>
      </c>
      <c r="B296" s="31" t="s">
        <v>7</v>
      </c>
      <c r="C296" s="64">
        <f>SUM(C297:C300)</f>
        <v>7817500</v>
      </c>
      <c r="D296" s="57"/>
      <c r="E296" s="57"/>
      <c r="G296" s="463"/>
    </row>
    <row r="297" spans="1:9" s="66" customFormat="1" x14ac:dyDescent="0.3">
      <c r="A297" s="72" t="s">
        <v>456</v>
      </c>
      <c r="B297" s="24" t="s">
        <v>8</v>
      </c>
      <c r="C297" s="60">
        <v>7216400</v>
      </c>
      <c r="E297" s="60"/>
      <c r="F297" s="57"/>
      <c r="G297" s="56"/>
      <c r="H297" s="56"/>
    </row>
    <row r="298" spans="1:9" s="8" customFormat="1" ht="13.5" customHeight="1" x14ac:dyDescent="0.3">
      <c r="A298" s="72" t="s">
        <v>494</v>
      </c>
      <c r="B298" s="24" t="s">
        <v>50</v>
      </c>
      <c r="C298" s="60">
        <v>42500</v>
      </c>
      <c r="D298" s="56"/>
      <c r="E298" s="56"/>
      <c r="F298" s="99"/>
      <c r="G298" s="55"/>
      <c r="H298" s="43"/>
    </row>
    <row r="299" spans="1:9" s="66" customFormat="1" x14ac:dyDescent="0.3">
      <c r="A299" s="72" t="s">
        <v>222</v>
      </c>
      <c r="B299" s="43" t="s">
        <v>221</v>
      </c>
      <c r="C299" s="60">
        <v>37750</v>
      </c>
      <c r="D299" s="463"/>
      <c r="E299" s="57"/>
      <c r="F299" s="57"/>
      <c r="G299" s="56"/>
      <c r="H299" s="56"/>
    </row>
    <row r="300" spans="1:9" s="56" customFormat="1" x14ac:dyDescent="0.3">
      <c r="A300" s="72" t="s">
        <v>90</v>
      </c>
      <c r="B300" s="24" t="s">
        <v>7</v>
      </c>
      <c r="C300" s="60">
        <v>520850</v>
      </c>
      <c r="E300" s="68"/>
      <c r="F300" s="66"/>
      <c r="H300" s="66"/>
    </row>
    <row r="301" spans="1:9" s="66" customFormat="1" ht="13.5" thickBot="1" x14ac:dyDescent="0.35">
      <c r="A301" s="70"/>
      <c r="B301" s="70"/>
      <c r="C301" s="67"/>
      <c r="D301" s="68"/>
      <c r="E301" s="68"/>
    </row>
    <row r="302" spans="1:9" s="8" customFormat="1" ht="13.5" customHeight="1" thickBot="1" x14ac:dyDescent="0.35">
      <c r="A302" s="1142" t="s">
        <v>5</v>
      </c>
      <c r="B302" s="1240"/>
      <c r="C302" s="726">
        <f>C303</f>
        <v>5900940</v>
      </c>
      <c r="D302" s="68"/>
      <c r="E302" s="68"/>
      <c r="F302" s="99"/>
      <c r="G302" s="55"/>
      <c r="H302" s="43"/>
    </row>
    <row r="303" spans="1:9" s="8" customFormat="1" ht="13.5" customHeight="1" x14ac:dyDescent="0.3">
      <c r="A303" s="265" t="s">
        <v>128</v>
      </c>
      <c r="B303" s="211" t="s">
        <v>129</v>
      </c>
      <c r="C303" s="64">
        <f>SUM(C304:C304)</f>
        <v>5900940</v>
      </c>
      <c r="D303" s="57"/>
      <c r="E303" s="57"/>
      <c r="F303" s="99"/>
      <c r="G303" s="55"/>
      <c r="H303" s="43"/>
    </row>
    <row r="304" spans="1:9" s="8" customFormat="1" ht="13.5" customHeight="1" x14ac:dyDescent="0.3">
      <c r="A304" s="72" t="s">
        <v>256</v>
      </c>
      <c r="B304" s="99" t="s">
        <v>257</v>
      </c>
      <c r="C304" s="60">
        <v>5900940</v>
      </c>
      <c r="D304" s="57"/>
      <c r="E304" s="57"/>
      <c r="F304" s="99"/>
      <c r="G304" s="55"/>
      <c r="H304" s="43"/>
    </row>
    <row r="305" spans="1:8" s="8" customFormat="1" ht="13.5" customHeight="1" thickBot="1" x14ac:dyDescent="0.35">
      <c r="A305" s="72"/>
      <c r="B305" s="24"/>
      <c r="C305" s="24"/>
      <c r="D305" s="66"/>
      <c r="E305" s="68"/>
      <c r="F305" s="99"/>
      <c r="G305" s="55"/>
      <c r="H305" s="43"/>
    </row>
    <row r="306" spans="1:8" s="66" customFormat="1" ht="13.5" thickBot="1" x14ac:dyDescent="0.35">
      <c r="A306" s="1094" t="s">
        <v>4</v>
      </c>
      <c r="B306" s="1095"/>
      <c r="C306" s="702">
        <f>C307+C310+C315</f>
        <v>1638370</v>
      </c>
      <c r="D306" s="68"/>
      <c r="G306" s="240"/>
    </row>
    <row r="307" spans="1:8" s="239" customFormat="1" x14ac:dyDescent="0.3">
      <c r="A307" s="265" t="s">
        <v>179</v>
      </c>
      <c r="B307" s="211" t="s">
        <v>178</v>
      </c>
      <c r="C307" s="563">
        <f>SUM(C308:C309)</f>
        <v>1033360</v>
      </c>
      <c r="D307" s="95"/>
      <c r="G307" s="94"/>
    </row>
    <row r="308" spans="1:8" s="66" customFormat="1" x14ac:dyDescent="0.3">
      <c r="A308" s="72" t="s">
        <v>486</v>
      </c>
      <c r="B308" s="23" t="s">
        <v>487</v>
      </c>
      <c r="C308" s="24">
        <v>933360</v>
      </c>
      <c r="D308" s="68"/>
      <c r="E308" s="68"/>
    </row>
    <row r="309" spans="1:8" s="66" customFormat="1" x14ac:dyDescent="0.3">
      <c r="A309" s="72" t="s">
        <v>177</v>
      </c>
      <c r="B309" s="43" t="s">
        <v>176</v>
      </c>
      <c r="C309" s="24">
        <v>100000</v>
      </c>
      <c r="D309" s="68"/>
      <c r="E309" s="68"/>
    </row>
    <row r="310" spans="1:8" s="66" customFormat="1" x14ac:dyDescent="0.3">
      <c r="A310" s="265" t="s">
        <v>116</v>
      </c>
      <c r="B310" s="25" t="s">
        <v>117</v>
      </c>
      <c r="C310" s="31">
        <f>SUM(C311:C314)</f>
        <v>591810</v>
      </c>
      <c r="D310" s="68"/>
      <c r="E310" s="68"/>
    </row>
    <row r="311" spans="1:8" s="66" customFormat="1" x14ac:dyDescent="0.3">
      <c r="A311" s="72" t="s">
        <v>91</v>
      </c>
      <c r="B311" s="23" t="s">
        <v>139</v>
      </c>
      <c r="C311" s="24">
        <v>307150</v>
      </c>
      <c r="D311" s="68"/>
      <c r="E311" s="68"/>
    </row>
    <row r="312" spans="1:8" s="8" customFormat="1" ht="13.5" customHeight="1" x14ac:dyDescent="0.25">
      <c r="A312" s="72" t="s">
        <v>57</v>
      </c>
      <c r="B312" s="23" t="s">
        <v>58</v>
      </c>
      <c r="C312" s="24">
        <v>57500</v>
      </c>
      <c r="D312" s="78"/>
      <c r="E312" s="25"/>
      <c r="F312" s="99"/>
      <c r="G312" s="55"/>
      <c r="H312" s="43"/>
    </row>
    <row r="313" spans="1:8" s="66" customFormat="1" x14ac:dyDescent="0.3">
      <c r="A313" s="72" t="s">
        <v>162</v>
      </c>
      <c r="B313" s="23" t="s">
        <v>163</v>
      </c>
      <c r="C313" s="24">
        <v>102160</v>
      </c>
      <c r="D313" s="68"/>
      <c r="E313" s="68"/>
    </row>
    <row r="314" spans="1:8" s="8" customFormat="1" ht="13.5" customHeight="1" x14ac:dyDescent="0.25">
      <c r="A314" s="72" t="s">
        <v>814</v>
      </c>
      <c r="B314" s="23" t="s">
        <v>815</v>
      </c>
      <c r="C314" s="24">
        <v>125000</v>
      </c>
      <c r="D314" s="78"/>
      <c r="E314" s="25"/>
      <c r="F314" s="99"/>
      <c r="G314" s="55"/>
      <c r="H314" s="43"/>
    </row>
    <row r="315" spans="1:8" s="66" customFormat="1" x14ac:dyDescent="0.3">
      <c r="A315" s="265" t="s">
        <v>166</v>
      </c>
      <c r="B315" s="31" t="s">
        <v>505</v>
      </c>
      <c r="C315" s="31">
        <f>SUM(C316)</f>
        <v>13200</v>
      </c>
      <c r="D315" s="68"/>
      <c r="E315" s="68"/>
    </row>
    <row r="316" spans="1:8" s="66" customFormat="1" x14ac:dyDescent="0.3">
      <c r="A316" s="72" t="s">
        <v>167</v>
      </c>
      <c r="B316" s="23" t="s">
        <v>51</v>
      </c>
      <c r="C316" s="24">
        <v>13200</v>
      </c>
      <c r="D316" s="68"/>
      <c r="E316" s="68"/>
    </row>
    <row r="318" spans="1:8" s="464" customFormat="1" ht="13.5" customHeight="1" thickBot="1" x14ac:dyDescent="0.35">
      <c r="A318" s="72"/>
      <c r="B318" s="72"/>
      <c r="C318" s="23"/>
      <c r="D318" s="78"/>
      <c r="E318" s="23"/>
      <c r="F318" s="73"/>
      <c r="G318" s="73"/>
    </row>
    <row r="319" spans="1:8" s="464" customFormat="1" ht="13.5" customHeight="1" x14ac:dyDescent="0.3">
      <c r="A319" s="648" t="s">
        <v>773</v>
      </c>
      <c r="B319" s="649"/>
      <c r="C319" s="692" t="s">
        <v>6</v>
      </c>
      <c r="D319" s="911" t="s">
        <v>772</v>
      </c>
    </row>
    <row r="320" spans="1:8" s="464" customFormat="1" ht="13.5" customHeight="1" thickBot="1" x14ac:dyDescent="0.35">
      <c r="A320" s="707"/>
      <c r="B320" s="728"/>
      <c r="C320" s="734"/>
      <c r="D320" s="738"/>
    </row>
    <row r="321" spans="1:7" s="73" customFormat="1" ht="13.5" customHeight="1" x14ac:dyDescent="0.3">
      <c r="A321" s="1123" t="s">
        <v>879</v>
      </c>
      <c r="B321" s="1124"/>
      <c r="C321" s="1124"/>
      <c r="D321" s="1125"/>
      <c r="F321" s="464"/>
      <c r="G321" s="464"/>
    </row>
    <row r="322" spans="1:7" s="73" customFormat="1" ht="13.5" customHeight="1" x14ac:dyDescent="0.3">
      <c r="A322" s="1126"/>
      <c r="B322" s="1127"/>
      <c r="C322" s="1127"/>
      <c r="D322" s="1128"/>
      <c r="F322" s="464"/>
      <c r="G322" s="464"/>
    </row>
    <row r="323" spans="1:7" s="73" customFormat="1" ht="13.5" customHeight="1" thickBot="1" x14ac:dyDescent="0.35">
      <c r="A323" s="1129"/>
      <c r="B323" s="1130"/>
      <c r="C323" s="1130"/>
      <c r="D323" s="1131"/>
      <c r="F323" s="464"/>
      <c r="G323" s="464"/>
    </row>
    <row r="324" spans="1:7" s="73" customFormat="1" ht="13.5" customHeight="1" x14ac:dyDescent="0.25">
      <c r="A324" s="41" t="s">
        <v>1029</v>
      </c>
      <c r="B324" s="41"/>
      <c r="C324" s="22"/>
      <c r="D324" s="320"/>
    </row>
    <row r="325" spans="1:7" s="73" customFormat="1" ht="13.5" customHeight="1" x14ac:dyDescent="0.25">
      <c r="A325" s="58" t="s">
        <v>685</v>
      </c>
      <c r="B325" s="41"/>
      <c r="C325" s="22"/>
      <c r="D325" s="320"/>
    </row>
    <row r="326" spans="1:7" s="454" customFormat="1" ht="11.5" x14ac:dyDescent="0.25">
      <c r="A326" s="58" t="s">
        <v>1040</v>
      </c>
      <c r="B326" s="59"/>
      <c r="C326" s="60"/>
      <c r="D326" s="61"/>
      <c r="E326" s="60"/>
      <c r="F326" s="70"/>
    </row>
    <row r="327" spans="1:7" s="73" customFormat="1" ht="13.5" customHeight="1" thickBot="1" x14ac:dyDescent="0.3">
      <c r="A327" s="76" t="s">
        <v>11</v>
      </c>
      <c r="B327" s="76"/>
      <c r="C327" s="396"/>
      <c r="D327" s="378"/>
    </row>
    <row r="328" spans="1:7" s="73" customFormat="1" ht="13.5" customHeight="1" thickBot="1" x14ac:dyDescent="0.3">
      <c r="A328" s="661" t="s">
        <v>800</v>
      </c>
      <c r="B328" s="662"/>
      <c r="C328" s="755"/>
      <c r="D328" s="665">
        <f>SUM(+C330+C358+C378)</f>
        <v>18885490</v>
      </c>
      <c r="F328" s="155"/>
      <c r="G328" s="25"/>
    </row>
    <row r="329" spans="1:7" s="73" customFormat="1" ht="13.5" customHeight="1" thickBot="1" x14ac:dyDescent="0.3">
      <c r="A329" s="12"/>
      <c r="B329" s="12"/>
      <c r="C329" s="24"/>
      <c r="D329" s="22"/>
      <c r="E329" s="407"/>
    </row>
    <row r="330" spans="1:7" s="73" customFormat="1" ht="13.5" customHeight="1" thickBot="1" x14ac:dyDescent="0.35">
      <c r="A330" s="1104" t="s">
        <v>2</v>
      </c>
      <c r="B330" s="1105"/>
      <c r="C330" s="667">
        <f>C331+C333+C336+C340+C349+C352+C344+C338</f>
        <v>8488890</v>
      </c>
      <c r="D330" s="68"/>
      <c r="F330" s="465"/>
      <c r="G330" s="465"/>
    </row>
    <row r="331" spans="1:7" s="155" customFormat="1" ht="13.5" customHeight="1" x14ac:dyDescent="0.3">
      <c r="A331" s="11" t="s">
        <v>103</v>
      </c>
      <c r="B331" s="211" t="s">
        <v>492</v>
      </c>
      <c r="C331" s="32">
        <f>SUM(C332)</f>
        <v>5701500</v>
      </c>
      <c r="D331" s="95"/>
      <c r="E331" s="96"/>
    </row>
    <row r="332" spans="1:7" s="43" customFormat="1" ht="13.5" customHeight="1" x14ac:dyDescent="0.25">
      <c r="A332" s="12" t="s">
        <v>46</v>
      </c>
      <c r="B332" s="43" t="s">
        <v>45</v>
      </c>
      <c r="C332" s="24">
        <v>5701500</v>
      </c>
      <c r="E332" s="31"/>
      <c r="G332" s="96"/>
    </row>
    <row r="333" spans="1:7" s="43" customFormat="1" ht="13.5" customHeight="1" x14ac:dyDescent="0.25">
      <c r="A333" s="11" t="s">
        <v>199</v>
      </c>
      <c r="B333" s="556" t="s">
        <v>219</v>
      </c>
      <c r="C333" s="31">
        <f>SUM(C334:C335)</f>
        <v>184100</v>
      </c>
      <c r="E333" s="31"/>
      <c r="G333" s="22"/>
    </row>
    <row r="334" spans="1:7" s="66" customFormat="1" x14ac:dyDescent="0.3">
      <c r="A334" s="12" t="s">
        <v>227</v>
      </c>
      <c r="B334" s="59" t="s">
        <v>226</v>
      </c>
      <c r="C334" s="60">
        <v>141100</v>
      </c>
      <c r="E334" s="68"/>
      <c r="G334" s="68"/>
    </row>
    <row r="335" spans="1:7" s="66" customFormat="1" x14ac:dyDescent="0.3">
      <c r="A335" s="12" t="s">
        <v>218</v>
      </c>
      <c r="B335" s="43" t="s">
        <v>217</v>
      </c>
      <c r="C335" s="60">
        <v>43000</v>
      </c>
      <c r="D335" s="68"/>
      <c r="E335" s="68"/>
    </row>
    <row r="336" spans="1:7" s="66" customFormat="1" x14ac:dyDescent="0.3">
      <c r="A336" s="11" t="s">
        <v>107</v>
      </c>
      <c r="B336" s="556" t="s">
        <v>108</v>
      </c>
      <c r="C336" s="64">
        <f>SUM(C337)</f>
        <v>92870</v>
      </c>
      <c r="D336" s="68"/>
      <c r="E336" s="68"/>
    </row>
    <row r="337" spans="1:9" s="66" customFormat="1" x14ac:dyDescent="0.3">
      <c r="A337" s="12" t="s">
        <v>47</v>
      </c>
      <c r="B337" s="24" t="s">
        <v>48</v>
      </c>
      <c r="C337" s="24">
        <v>92870</v>
      </c>
      <c r="D337" s="57"/>
      <c r="E337" s="57"/>
    </row>
    <row r="338" spans="1:9" s="66" customFormat="1" x14ac:dyDescent="0.3">
      <c r="A338" s="265" t="s">
        <v>195</v>
      </c>
      <c r="B338" s="25" t="s">
        <v>194</v>
      </c>
      <c r="C338" s="31">
        <f>SUM(C339:C339)</f>
        <v>100000</v>
      </c>
      <c r="D338" s="57"/>
      <c r="E338" s="57"/>
    </row>
    <row r="339" spans="1:9" s="306" customFormat="1" ht="13.5" customHeight="1" x14ac:dyDescent="0.25">
      <c r="A339" s="12" t="s">
        <v>261</v>
      </c>
      <c r="B339" s="24" t="s">
        <v>262</v>
      </c>
      <c r="C339" s="24">
        <v>100000</v>
      </c>
      <c r="D339" s="302"/>
      <c r="E339" s="300"/>
      <c r="F339" s="689"/>
      <c r="I339" s="307"/>
    </row>
    <row r="340" spans="1:9" s="66" customFormat="1" x14ac:dyDescent="0.3">
      <c r="A340" s="265" t="s">
        <v>500</v>
      </c>
      <c r="B340" s="63" t="s">
        <v>474</v>
      </c>
      <c r="C340" s="31">
        <f>SUM(C341:C343)</f>
        <v>747390</v>
      </c>
      <c r="D340" s="57"/>
      <c r="E340" s="57"/>
    </row>
    <row r="341" spans="1:9" s="66" customFormat="1" x14ac:dyDescent="0.3">
      <c r="A341" s="72" t="s">
        <v>475</v>
      </c>
      <c r="B341" s="59" t="s">
        <v>501</v>
      </c>
      <c r="C341" s="60">
        <v>185900</v>
      </c>
      <c r="D341" s="57"/>
      <c r="E341" s="57"/>
    </row>
    <row r="342" spans="1:9" s="66" customFormat="1" x14ac:dyDescent="0.3">
      <c r="A342" s="72" t="s">
        <v>477</v>
      </c>
      <c r="B342" s="59" t="s">
        <v>478</v>
      </c>
      <c r="C342" s="60">
        <v>530180</v>
      </c>
      <c r="D342" s="57"/>
      <c r="E342" s="57"/>
    </row>
    <row r="343" spans="1:9" s="66" customFormat="1" x14ac:dyDescent="0.3">
      <c r="A343" s="72" t="s">
        <v>479</v>
      </c>
      <c r="B343" s="59" t="s">
        <v>502</v>
      </c>
      <c r="C343" s="60">
        <v>31310</v>
      </c>
      <c r="D343" s="68"/>
      <c r="E343" s="57"/>
    </row>
    <row r="344" spans="1:9" s="66" customFormat="1" x14ac:dyDescent="0.3">
      <c r="A344" s="265" t="s">
        <v>119</v>
      </c>
      <c r="B344" s="25" t="s">
        <v>109</v>
      </c>
      <c r="C344" s="64">
        <f>SUM(C345:C348)</f>
        <v>177590</v>
      </c>
      <c r="D344" s="68"/>
      <c r="E344" s="68"/>
    </row>
    <row r="345" spans="1:9" s="66" customFormat="1" x14ac:dyDescent="0.3">
      <c r="A345" s="72" t="s">
        <v>697</v>
      </c>
      <c r="B345" s="24" t="s">
        <v>696</v>
      </c>
      <c r="C345" s="24">
        <v>32400</v>
      </c>
      <c r="D345" s="78"/>
      <c r="E345" s="25"/>
    </row>
    <row r="346" spans="1:9" s="66" customFormat="1" x14ac:dyDescent="0.3">
      <c r="A346" s="72" t="s">
        <v>816</v>
      </c>
      <c r="B346" s="24" t="s">
        <v>810</v>
      </c>
      <c r="C346" s="24">
        <v>53000</v>
      </c>
      <c r="D346" s="78"/>
      <c r="E346" s="25"/>
    </row>
    <row r="347" spans="1:9" s="66" customFormat="1" x14ac:dyDescent="0.3">
      <c r="A347" s="72" t="s">
        <v>820</v>
      </c>
      <c r="B347" s="24" t="s">
        <v>821</v>
      </c>
      <c r="C347" s="24">
        <v>68750</v>
      </c>
      <c r="D347" s="78"/>
      <c r="E347" s="25"/>
    </row>
    <row r="348" spans="1:9" s="66" customFormat="1" x14ac:dyDescent="0.3">
      <c r="A348" s="72" t="s">
        <v>811</v>
      </c>
      <c r="B348" s="24" t="s">
        <v>812</v>
      </c>
      <c r="C348" s="24">
        <v>23440</v>
      </c>
      <c r="D348" s="78"/>
      <c r="E348" s="25"/>
    </row>
    <row r="349" spans="1:9" s="66" customFormat="1" x14ac:dyDescent="0.3">
      <c r="A349" s="265" t="s">
        <v>124</v>
      </c>
      <c r="B349" s="25" t="s">
        <v>123</v>
      </c>
      <c r="C349" s="31">
        <f>SUM(C350:C351)</f>
        <v>99040</v>
      </c>
      <c r="D349" s="68"/>
      <c r="E349" s="57"/>
    </row>
    <row r="350" spans="1:9" s="66" customFormat="1" x14ac:dyDescent="0.3">
      <c r="A350" s="12" t="s">
        <v>230</v>
      </c>
      <c r="B350" s="43" t="s">
        <v>229</v>
      </c>
      <c r="C350" s="24">
        <v>58600</v>
      </c>
      <c r="D350" s="57"/>
      <c r="E350" s="57"/>
    </row>
    <row r="351" spans="1:9" s="66" customFormat="1" x14ac:dyDescent="0.3">
      <c r="A351" s="12" t="s">
        <v>93</v>
      </c>
      <c r="B351" s="24" t="s">
        <v>72</v>
      </c>
      <c r="C351" s="60">
        <v>40440</v>
      </c>
      <c r="D351" s="68"/>
      <c r="E351" s="68"/>
    </row>
    <row r="352" spans="1:9" s="66" customFormat="1" x14ac:dyDescent="0.3">
      <c r="A352" s="265" t="s">
        <v>513</v>
      </c>
      <c r="B352" s="31" t="s">
        <v>125</v>
      </c>
      <c r="C352" s="558">
        <f>SUM(C353:C356)</f>
        <v>1386400</v>
      </c>
      <c r="D352" s="57"/>
      <c r="E352" s="57"/>
    </row>
    <row r="353" spans="1:10" s="66" customFormat="1" x14ac:dyDescent="0.3">
      <c r="A353" s="72" t="s">
        <v>152</v>
      </c>
      <c r="B353" s="24" t="s">
        <v>65</v>
      </c>
      <c r="C353" s="60">
        <v>1184280</v>
      </c>
      <c r="E353" s="68"/>
    </row>
    <row r="354" spans="1:10" s="66" customFormat="1" x14ac:dyDescent="0.3">
      <c r="A354" s="72" t="s">
        <v>244</v>
      </c>
      <c r="B354" s="24" t="s">
        <v>245</v>
      </c>
      <c r="C354" s="24">
        <v>56100</v>
      </c>
      <c r="D354" s="57"/>
      <c r="E354" s="57"/>
    </row>
    <row r="355" spans="1:10" s="66" customFormat="1" x14ac:dyDescent="0.3">
      <c r="A355" s="72" t="s">
        <v>155</v>
      </c>
      <c r="B355" s="24" t="s">
        <v>125</v>
      </c>
      <c r="C355" s="24">
        <v>105770</v>
      </c>
      <c r="D355" s="57"/>
      <c r="E355" s="57"/>
    </row>
    <row r="356" spans="1:10" s="226" customFormat="1" x14ac:dyDescent="0.3">
      <c r="A356" s="72" t="s">
        <v>699</v>
      </c>
      <c r="B356" s="23" t="s">
        <v>817</v>
      </c>
      <c r="C356" s="60">
        <v>40250</v>
      </c>
      <c r="E356" s="62"/>
      <c r="F356" s="457"/>
      <c r="G356" s="90"/>
    </row>
    <row r="357" spans="1:10" s="73" customFormat="1" ht="13.5" customHeight="1" thickBot="1" x14ac:dyDescent="0.3">
      <c r="A357" s="72"/>
      <c r="B357" s="72"/>
      <c r="C357" s="23"/>
      <c r="D357" s="79"/>
      <c r="E357" s="23"/>
    </row>
    <row r="358" spans="1:10" s="73" customFormat="1" ht="13.5" customHeight="1" thickBot="1" x14ac:dyDescent="0.35">
      <c r="A358" s="1096" t="s">
        <v>3</v>
      </c>
      <c r="B358" s="1097"/>
      <c r="C358" s="668">
        <f>C359+C361+C366+C368+C371+C373</f>
        <v>9757090</v>
      </c>
      <c r="D358" s="68"/>
      <c r="F358" s="465"/>
      <c r="G358" s="465"/>
    </row>
    <row r="359" spans="1:10" s="73" customFormat="1" ht="13.5" customHeight="1" x14ac:dyDescent="0.3">
      <c r="A359" s="63" t="s">
        <v>110</v>
      </c>
      <c r="B359" s="211" t="s">
        <v>111</v>
      </c>
      <c r="C359" s="32">
        <f>SUM(C360)</f>
        <v>60340</v>
      </c>
      <c r="D359" s="68"/>
      <c r="E359" s="25"/>
      <c r="F359" s="465"/>
      <c r="G359" s="465"/>
    </row>
    <row r="360" spans="1:10" s="8" customFormat="1" ht="13.5" customHeight="1" x14ac:dyDescent="0.25">
      <c r="A360" s="59" t="s">
        <v>52</v>
      </c>
      <c r="B360" s="59" t="s">
        <v>15</v>
      </c>
      <c r="C360" s="24">
        <v>60340</v>
      </c>
      <c r="D360" s="84"/>
      <c r="E360" s="25"/>
      <c r="F360" s="99"/>
      <c r="G360" s="55"/>
      <c r="H360" s="43"/>
    </row>
    <row r="361" spans="1:10" s="66" customFormat="1" x14ac:dyDescent="0.3">
      <c r="A361" s="63" t="s">
        <v>120</v>
      </c>
      <c r="B361" s="63" t="s">
        <v>121</v>
      </c>
      <c r="C361" s="64">
        <f>SUM(C362:C365)</f>
        <v>655480</v>
      </c>
      <c r="D361" s="60"/>
      <c r="E361" s="57"/>
      <c r="F361" s="57"/>
    </row>
    <row r="362" spans="1:10" s="66" customFormat="1" ht="13.5" customHeight="1" x14ac:dyDescent="0.3">
      <c r="A362" s="59" t="s">
        <v>246</v>
      </c>
      <c r="B362" s="43" t="s">
        <v>247</v>
      </c>
      <c r="C362" s="60">
        <v>84240</v>
      </c>
      <c r="G362" s="60"/>
      <c r="H362" s="57"/>
      <c r="I362" s="57"/>
    </row>
    <row r="363" spans="1:10" s="66" customFormat="1" ht="13.5" customHeight="1" x14ac:dyDescent="0.3">
      <c r="A363" s="59" t="s">
        <v>208</v>
      </c>
      <c r="B363" s="912" t="s">
        <v>207</v>
      </c>
      <c r="C363" s="60">
        <v>225000</v>
      </c>
      <c r="G363" s="60"/>
      <c r="H363" s="57"/>
      <c r="I363" s="57"/>
    </row>
    <row r="364" spans="1:10" s="66" customFormat="1" ht="13.5" customHeight="1" x14ac:dyDescent="0.3">
      <c r="A364" s="59" t="s">
        <v>140</v>
      </c>
      <c r="B364" s="43" t="s">
        <v>141</v>
      </c>
      <c r="C364" s="60">
        <v>40000</v>
      </c>
      <c r="G364" s="60"/>
      <c r="H364" s="57"/>
      <c r="I364" s="57"/>
    </row>
    <row r="365" spans="1:10" s="66" customFormat="1" ht="13.5" customHeight="1" x14ac:dyDescent="0.3">
      <c r="A365" s="59" t="s">
        <v>136</v>
      </c>
      <c r="B365" s="59" t="s">
        <v>71</v>
      </c>
      <c r="C365" s="60">
        <v>306240</v>
      </c>
      <c r="G365" s="60"/>
      <c r="H365" s="57"/>
    </row>
    <row r="366" spans="1:10" s="8" customFormat="1" ht="13.5" customHeight="1" x14ac:dyDescent="0.25">
      <c r="A366" s="63" t="s">
        <v>274</v>
      </c>
      <c r="B366" s="63" t="s">
        <v>275</v>
      </c>
      <c r="C366" s="31">
        <f>SUM(C367)</f>
        <v>1111970</v>
      </c>
      <c r="G366" s="84"/>
      <c r="H366" s="25"/>
      <c r="I366" s="99"/>
      <c r="J366" s="55"/>
    </row>
    <row r="367" spans="1:10" s="8" customFormat="1" ht="13.5" customHeight="1" x14ac:dyDescent="0.25">
      <c r="A367" s="59" t="s">
        <v>280</v>
      </c>
      <c r="B367" s="59" t="s">
        <v>281</v>
      </c>
      <c r="C367" s="24">
        <v>1111970</v>
      </c>
      <c r="G367" s="84"/>
      <c r="I367" s="99"/>
      <c r="J367" s="55"/>
    </row>
    <row r="368" spans="1:10" s="8" customFormat="1" ht="13.5" customHeight="1" x14ac:dyDescent="0.25">
      <c r="A368" s="265" t="s">
        <v>112</v>
      </c>
      <c r="B368" s="63" t="s">
        <v>157</v>
      </c>
      <c r="C368" s="31">
        <f>SUM(C369:C370)</f>
        <v>2661360</v>
      </c>
      <c r="G368" s="84"/>
      <c r="H368" s="25"/>
      <c r="I368" s="99"/>
      <c r="J368" s="55"/>
    </row>
    <row r="369" spans="1:9" s="56" customFormat="1" ht="13.5" customHeight="1" x14ac:dyDescent="0.3">
      <c r="A369" s="72" t="s">
        <v>49</v>
      </c>
      <c r="B369" s="24" t="s">
        <v>87</v>
      </c>
      <c r="C369" s="60">
        <v>2501360</v>
      </c>
      <c r="G369" s="57"/>
      <c r="I369" s="57"/>
    </row>
    <row r="370" spans="1:9" s="8" customFormat="1" ht="13.5" customHeight="1" x14ac:dyDescent="0.3">
      <c r="A370" s="72" t="s">
        <v>876</v>
      </c>
      <c r="B370" s="43" t="s">
        <v>877</v>
      </c>
      <c r="C370" s="60">
        <v>160000</v>
      </c>
      <c r="D370" s="56"/>
      <c r="E370" s="56"/>
      <c r="F370" s="99"/>
      <c r="G370" s="55"/>
      <c r="H370" s="43"/>
    </row>
    <row r="371" spans="1:9" s="66" customFormat="1" x14ac:dyDescent="0.3">
      <c r="A371" s="265" t="s">
        <v>113</v>
      </c>
      <c r="B371" s="31" t="s">
        <v>114</v>
      </c>
      <c r="C371" s="64">
        <f>SUM(C372)</f>
        <v>254340</v>
      </c>
      <c r="G371" s="57"/>
      <c r="H371" s="57"/>
    </row>
    <row r="372" spans="1:9" s="56" customFormat="1" ht="13.5" customHeight="1" x14ac:dyDescent="0.3">
      <c r="A372" s="72" t="s">
        <v>164</v>
      </c>
      <c r="B372" s="59" t="s">
        <v>74</v>
      </c>
      <c r="C372" s="60">
        <v>254340</v>
      </c>
      <c r="G372" s="60"/>
      <c r="H372" s="57"/>
      <c r="I372" s="57"/>
    </row>
    <row r="373" spans="1:9" s="56" customFormat="1" x14ac:dyDescent="0.3">
      <c r="A373" s="265" t="s">
        <v>115</v>
      </c>
      <c r="B373" s="31" t="s">
        <v>8</v>
      </c>
      <c r="C373" s="64">
        <f>SUM(C374:C376)</f>
        <v>5013600</v>
      </c>
      <c r="G373" s="60"/>
      <c r="H373" s="57"/>
      <c r="I373" s="57"/>
    </row>
    <row r="374" spans="1:9" s="56" customFormat="1" ht="13.5" customHeight="1" x14ac:dyDescent="0.3">
      <c r="A374" s="72" t="s">
        <v>92</v>
      </c>
      <c r="B374" s="24" t="s">
        <v>8</v>
      </c>
      <c r="C374" s="60">
        <v>4664600</v>
      </c>
      <c r="G374" s="57"/>
    </row>
    <row r="375" spans="1:9" s="66" customFormat="1" x14ac:dyDescent="0.3">
      <c r="A375" s="72" t="s">
        <v>222</v>
      </c>
      <c r="B375" s="43" t="s">
        <v>221</v>
      </c>
      <c r="C375" s="60">
        <v>55000</v>
      </c>
      <c r="D375" s="463"/>
      <c r="E375" s="57"/>
      <c r="F375" s="57"/>
      <c r="G375" s="56"/>
      <c r="H375" s="56"/>
    </row>
    <row r="376" spans="1:9" s="66" customFormat="1" ht="13.5" customHeight="1" x14ac:dyDescent="0.3">
      <c r="A376" s="72" t="s">
        <v>90</v>
      </c>
      <c r="B376" s="24" t="s">
        <v>7</v>
      </c>
      <c r="C376" s="60">
        <v>294000</v>
      </c>
      <c r="G376" s="96"/>
      <c r="H376" s="213"/>
      <c r="I376" s="57"/>
    </row>
    <row r="377" spans="1:9" s="73" customFormat="1" ht="13.5" customHeight="1" thickBot="1" x14ac:dyDescent="0.3">
      <c r="A377" s="72"/>
      <c r="B377" s="72"/>
      <c r="C377" s="24"/>
      <c r="H377" s="23"/>
    </row>
    <row r="378" spans="1:9" s="73" customFormat="1" ht="13.5" customHeight="1" thickBot="1" x14ac:dyDescent="0.35">
      <c r="A378" s="1148" t="s">
        <v>4</v>
      </c>
      <c r="B378" s="1149"/>
      <c r="C378" s="670">
        <f>C379+C382+C387</f>
        <v>639510</v>
      </c>
      <c r="G378" s="68"/>
      <c r="H378" s="465"/>
    </row>
    <row r="379" spans="1:9" s="73" customFormat="1" ht="13.5" customHeight="1" x14ac:dyDescent="0.3">
      <c r="A379" s="560" t="s">
        <v>179</v>
      </c>
      <c r="B379" s="211" t="s">
        <v>178</v>
      </c>
      <c r="C379" s="32">
        <f>SUM(C380:C381)</f>
        <v>156130</v>
      </c>
      <c r="D379" s="57"/>
      <c r="E379" s="24"/>
    </row>
    <row r="380" spans="1:9" s="73" customFormat="1" ht="13.5" customHeight="1" x14ac:dyDescent="0.25">
      <c r="A380" s="70" t="s">
        <v>486</v>
      </c>
      <c r="B380" s="70" t="s">
        <v>487</v>
      </c>
      <c r="C380" s="60">
        <v>66130</v>
      </c>
      <c r="G380" s="79"/>
      <c r="H380" s="23"/>
    </row>
    <row r="381" spans="1:9" s="66" customFormat="1" x14ac:dyDescent="0.3">
      <c r="A381" s="72" t="s">
        <v>177</v>
      </c>
      <c r="B381" s="43" t="s">
        <v>176</v>
      </c>
      <c r="C381" s="24">
        <v>90000</v>
      </c>
      <c r="D381" s="68"/>
      <c r="E381" s="68"/>
    </row>
    <row r="382" spans="1:9" s="73" customFormat="1" ht="13.5" customHeight="1" x14ac:dyDescent="0.25">
      <c r="A382" s="11" t="s">
        <v>116</v>
      </c>
      <c r="B382" s="25" t="s">
        <v>117</v>
      </c>
      <c r="C382" s="64">
        <f>SUM(C383:C386)</f>
        <v>469220</v>
      </c>
      <c r="G382" s="79"/>
      <c r="H382" s="23"/>
    </row>
    <row r="383" spans="1:9" s="73" customFormat="1" ht="13.5" customHeight="1" x14ac:dyDescent="0.25">
      <c r="A383" s="72" t="s">
        <v>91</v>
      </c>
      <c r="B383" s="23" t="s">
        <v>139</v>
      </c>
      <c r="C383" s="60">
        <v>83570</v>
      </c>
      <c r="G383" s="79"/>
      <c r="H383" s="23"/>
    </row>
    <row r="384" spans="1:9" s="8" customFormat="1" ht="13.5" customHeight="1" x14ac:dyDescent="0.25">
      <c r="A384" s="72" t="s">
        <v>57</v>
      </c>
      <c r="B384" s="23" t="s">
        <v>58</v>
      </c>
      <c r="C384" s="24">
        <v>57500</v>
      </c>
      <c r="D384" s="78"/>
      <c r="E384" s="25"/>
      <c r="F384" s="99"/>
      <c r="G384" s="55"/>
      <c r="H384" s="43"/>
    </row>
    <row r="385" spans="1:9" s="66" customFormat="1" x14ac:dyDescent="0.3">
      <c r="A385" s="72" t="s">
        <v>162</v>
      </c>
      <c r="B385" s="23" t="s">
        <v>163</v>
      </c>
      <c r="C385" s="24">
        <v>228150</v>
      </c>
      <c r="D385" s="68"/>
      <c r="E385" s="68"/>
    </row>
    <row r="386" spans="1:9" s="8" customFormat="1" ht="13.5" customHeight="1" x14ac:dyDescent="0.25">
      <c r="A386" s="72" t="s">
        <v>814</v>
      </c>
      <c r="B386" s="23" t="s">
        <v>815</v>
      </c>
      <c r="C386" s="24">
        <v>100000</v>
      </c>
      <c r="D386" s="78"/>
      <c r="E386" s="25"/>
      <c r="F386" s="99"/>
      <c r="G386" s="55"/>
      <c r="H386" s="43"/>
    </row>
    <row r="387" spans="1:9" s="8" customFormat="1" ht="11.5" x14ac:dyDescent="0.25">
      <c r="A387" s="265" t="s">
        <v>166</v>
      </c>
      <c r="B387" s="25" t="s">
        <v>135</v>
      </c>
      <c r="C387" s="64">
        <f>SUM(C388)</f>
        <v>14160</v>
      </c>
      <c r="D387" s="79"/>
      <c r="E387" s="23"/>
      <c r="F387" s="73"/>
      <c r="G387" s="73"/>
    </row>
    <row r="388" spans="1:9" s="8" customFormat="1" ht="11.5" x14ac:dyDescent="0.25">
      <c r="A388" s="72" t="s">
        <v>167</v>
      </c>
      <c r="B388" s="23" t="s">
        <v>51</v>
      </c>
      <c r="C388" s="60">
        <v>14160</v>
      </c>
      <c r="D388" s="78"/>
      <c r="E388" s="23"/>
      <c r="F388" s="73"/>
      <c r="G388" s="73"/>
    </row>
    <row r="389" spans="1:9" x14ac:dyDescent="0.3">
      <c r="A389" s="623"/>
      <c r="B389" s="623"/>
    </row>
    <row r="390" spans="1:9" x14ac:dyDescent="0.3">
      <c r="A390" s="453"/>
      <c r="B390" s="62">
        <f>+E165+E50+E15</f>
        <v>156808191</v>
      </c>
    </row>
    <row r="391" spans="1:9" s="73" customFormat="1" ht="12.75" customHeight="1" x14ac:dyDescent="0.3">
      <c r="A391" s="12"/>
      <c r="B391" s="24"/>
      <c r="C391" s="24"/>
      <c r="D391" s="22"/>
      <c r="E391" s="31"/>
      <c r="F391" s="95"/>
    </row>
    <row r="392" spans="1:9" s="43" customFormat="1" ht="13.5" customHeight="1" x14ac:dyDescent="0.25">
      <c r="A392" s="12"/>
      <c r="B392" s="24"/>
      <c r="C392" s="24"/>
      <c r="D392" s="22"/>
      <c r="E392" s="64"/>
      <c r="F392" s="99"/>
      <c r="G392" s="55"/>
    </row>
    <row r="393" spans="1:9" s="43" customFormat="1" ht="13.5" customHeight="1" x14ac:dyDescent="0.25">
      <c r="A393" s="11"/>
      <c r="B393" s="559"/>
      <c r="C393" s="31"/>
      <c r="D393" s="22"/>
      <c r="E393" s="64"/>
      <c r="F393" s="99"/>
      <c r="G393" s="55"/>
    </row>
    <row r="394" spans="1:9" s="56" customFormat="1" x14ac:dyDescent="0.3">
      <c r="A394" s="12"/>
      <c r="B394" s="43"/>
      <c r="C394" s="60"/>
      <c r="G394" s="213"/>
      <c r="I394" s="64"/>
    </row>
    <row r="395" spans="1:9" s="56" customFormat="1" x14ac:dyDescent="0.3">
      <c r="A395" s="11"/>
      <c r="B395" s="31"/>
      <c r="C395" s="64"/>
      <c r="D395" s="57"/>
      <c r="E395" s="64"/>
    </row>
    <row r="396" spans="1:9" s="56" customFormat="1" x14ac:dyDescent="0.3">
      <c r="A396" s="12"/>
      <c r="B396" s="24"/>
      <c r="C396" s="60"/>
      <c r="D396" s="57"/>
      <c r="E396" s="57"/>
    </row>
    <row r="397" spans="1:9" s="56" customFormat="1" x14ac:dyDescent="0.3">
      <c r="A397" s="12"/>
      <c r="B397" s="24"/>
      <c r="C397" s="60"/>
      <c r="D397" s="57"/>
      <c r="E397" s="57"/>
    </row>
    <row r="398" spans="1:9" s="56" customFormat="1" x14ac:dyDescent="0.3">
      <c r="A398" s="12"/>
      <c r="B398" s="24"/>
      <c r="C398" s="60"/>
      <c r="D398" s="57"/>
      <c r="E398" s="64"/>
    </row>
    <row r="399" spans="1:9" s="56" customFormat="1" x14ac:dyDescent="0.3">
      <c r="A399" s="11"/>
      <c r="B399" s="31"/>
      <c r="C399" s="64"/>
      <c r="D399" s="57"/>
      <c r="E399" s="64"/>
    </row>
    <row r="400" spans="1:9" s="43" customFormat="1" ht="13.5" customHeight="1" x14ac:dyDescent="0.3">
      <c r="A400" s="12"/>
      <c r="B400" s="24"/>
      <c r="C400" s="60"/>
      <c r="D400" s="57"/>
      <c r="E400" s="57"/>
      <c r="F400" s="56"/>
      <c r="G400" s="56"/>
      <c r="H400" s="56"/>
    </row>
    <row r="401" spans="1:8" s="43" customFormat="1" ht="13.5" customHeight="1" x14ac:dyDescent="0.3">
      <c r="A401" s="11"/>
      <c r="B401" s="31"/>
      <c r="C401" s="64"/>
      <c r="D401" s="57"/>
      <c r="E401" s="57"/>
      <c r="F401" s="56"/>
      <c r="G401" s="56"/>
      <c r="H401" s="56"/>
    </row>
    <row r="402" spans="1:8" s="56" customFormat="1" x14ac:dyDescent="0.3">
      <c r="A402" s="12"/>
      <c r="B402" s="24"/>
      <c r="C402" s="60"/>
      <c r="D402" s="57"/>
      <c r="E402" s="57"/>
    </row>
    <row r="403" spans="1:8" s="56" customFormat="1" x14ac:dyDescent="0.3">
      <c r="A403" s="12"/>
      <c r="B403" s="24"/>
      <c r="C403" s="24"/>
      <c r="D403" s="22"/>
      <c r="E403" s="31"/>
      <c r="F403" s="211"/>
      <c r="G403" s="55"/>
      <c r="H403" s="74"/>
    </row>
    <row r="404" spans="1:8" s="56" customFormat="1" x14ac:dyDescent="0.3">
      <c r="A404" s="12"/>
      <c r="B404" s="24"/>
      <c r="C404" s="60"/>
      <c r="D404" s="57"/>
      <c r="E404" s="57"/>
    </row>
    <row r="405" spans="1:8" s="56" customFormat="1" x14ac:dyDescent="0.3">
      <c r="A405" s="12"/>
      <c r="B405" s="24"/>
      <c r="C405" s="60"/>
      <c r="D405" s="57"/>
      <c r="E405" s="57"/>
    </row>
    <row r="406" spans="1:8" s="56" customFormat="1" x14ac:dyDescent="0.3">
      <c r="A406" s="1230"/>
      <c r="B406" s="1230"/>
      <c r="C406" s="64"/>
      <c r="D406" s="57"/>
      <c r="F406" s="32"/>
      <c r="G406" s="213"/>
    </row>
    <row r="407" spans="1:8" s="56" customFormat="1" x14ac:dyDescent="0.3">
      <c r="A407" s="63"/>
      <c r="B407" s="211"/>
      <c r="C407" s="64"/>
      <c r="D407" s="57"/>
      <c r="F407" s="22"/>
    </row>
    <row r="408" spans="1:8" s="43" customFormat="1" ht="13.5" customHeight="1" x14ac:dyDescent="0.25">
      <c r="A408" s="59"/>
      <c r="B408" s="59"/>
      <c r="C408" s="24"/>
      <c r="F408" s="99"/>
      <c r="G408" s="180"/>
    </row>
    <row r="409" spans="1:8" s="56" customFormat="1" x14ac:dyDescent="0.3">
      <c r="A409" s="63"/>
      <c r="B409" s="63"/>
      <c r="C409" s="64"/>
      <c r="F409" s="57"/>
      <c r="G409" s="60"/>
      <c r="H409" s="57"/>
    </row>
    <row r="410" spans="1:8" s="56" customFormat="1" x14ac:dyDescent="0.3">
      <c r="A410" s="59"/>
      <c r="B410" s="43"/>
      <c r="C410" s="60"/>
      <c r="F410" s="57"/>
      <c r="G410" s="60"/>
      <c r="H410" s="57"/>
    </row>
    <row r="411" spans="1:8" s="56" customFormat="1" x14ac:dyDescent="0.3">
      <c r="A411" s="59"/>
      <c r="B411" s="59"/>
      <c r="C411" s="60"/>
      <c r="F411" s="57"/>
      <c r="G411" s="60"/>
      <c r="H411" s="57"/>
    </row>
    <row r="412" spans="1:8" s="56" customFormat="1" x14ac:dyDescent="0.3">
      <c r="A412" s="59"/>
      <c r="B412" s="59"/>
      <c r="C412" s="60"/>
      <c r="G412" s="57"/>
      <c r="H412" s="57"/>
    </row>
    <row r="413" spans="1:8" s="43" customFormat="1" ht="13.5" customHeight="1" x14ac:dyDescent="0.25">
      <c r="A413" s="11"/>
      <c r="B413" s="63"/>
      <c r="C413" s="31"/>
      <c r="F413" s="99"/>
      <c r="G413" s="180"/>
    </row>
    <row r="414" spans="1:8" s="56" customFormat="1" x14ac:dyDescent="0.3">
      <c r="A414" s="12"/>
      <c r="B414" s="59"/>
      <c r="C414" s="60"/>
      <c r="G414" s="64"/>
      <c r="H414" s="57"/>
    </row>
    <row r="415" spans="1:8" s="56" customFormat="1" x14ac:dyDescent="0.3">
      <c r="A415" s="12"/>
      <c r="B415" s="24"/>
      <c r="C415" s="60"/>
      <c r="F415" s="57"/>
      <c r="G415" s="60"/>
      <c r="H415" s="57"/>
    </row>
    <row r="416" spans="1:8" s="56" customFormat="1" x14ac:dyDescent="0.3">
      <c r="A416" s="11"/>
      <c r="B416" s="31"/>
      <c r="C416" s="64"/>
      <c r="F416" s="57"/>
      <c r="G416" s="60"/>
      <c r="H416" s="57"/>
    </row>
    <row r="417" spans="1:8" s="56" customFormat="1" x14ac:dyDescent="0.3">
      <c r="A417" s="12"/>
      <c r="B417" s="59"/>
      <c r="C417" s="60"/>
      <c r="F417" s="57"/>
      <c r="G417" s="60"/>
      <c r="H417" s="57"/>
    </row>
    <row r="418" spans="1:8" s="56" customFormat="1" x14ac:dyDescent="0.3">
      <c r="A418" s="12"/>
      <c r="B418" s="24"/>
      <c r="C418" s="60"/>
      <c r="F418" s="57"/>
      <c r="G418" s="60"/>
      <c r="H418" s="57"/>
    </row>
    <row r="419" spans="1:8" s="56" customFormat="1" x14ac:dyDescent="0.3">
      <c r="A419" s="11"/>
      <c r="B419" s="63"/>
      <c r="C419" s="64"/>
      <c r="F419" s="57"/>
      <c r="G419" s="60"/>
      <c r="H419" s="57"/>
    </row>
    <row r="420" spans="1:8" s="56" customFormat="1" x14ac:dyDescent="0.3">
      <c r="A420" s="12"/>
      <c r="B420" s="59"/>
      <c r="C420" s="60"/>
      <c r="F420" s="57"/>
      <c r="G420" s="60"/>
      <c r="H420" s="57"/>
    </row>
    <row r="421" spans="1:8" s="56" customFormat="1" x14ac:dyDescent="0.3">
      <c r="A421" s="11"/>
      <c r="B421" s="31"/>
      <c r="C421" s="64"/>
      <c r="F421" s="57"/>
      <c r="G421" s="60"/>
      <c r="H421" s="57"/>
    </row>
    <row r="422" spans="1:8" s="56" customFormat="1" x14ac:dyDescent="0.3">
      <c r="A422" s="12"/>
      <c r="B422" s="24"/>
      <c r="C422" s="60"/>
      <c r="F422" s="57"/>
      <c r="G422" s="57"/>
    </row>
    <row r="423" spans="1:8" s="56" customFormat="1" x14ac:dyDescent="0.3">
      <c r="A423" s="12"/>
      <c r="B423" s="24"/>
      <c r="C423" s="60"/>
      <c r="F423" s="57"/>
      <c r="G423" s="64"/>
      <c r="H423" s="57"/>
    </row>
    <row r="424" spans="1:8" s="56" customFormat="1" x14ac:dyDescent="0.3">
      <c r="A424" s="12"/>
      <c r="B424" s="24"/>
      <c r="C424" s="60"/>
      <c r="F424" s="57"/>
      <c r="G424" s="24"/>
      <c r="H424" s="213"/>
    </row>
    <row r="425" spans="1:8" s="56" customFormat="1" x14ac:dyDescent="0.3">
      <c r="A425" s="12"/>
      <c r="B425" s="24"/>
      <c r="C425" s="60"/>
      <c r="D425" s="24"/>
      <c r="E425" s="213"/>
      <c r="F425" s="57"/>
    </row>
    <row r="426" spans="1:8" s="56" customFormat="1" x14ac:dyDescent="0.3">
      <c r="A426" s="1230"/>
      <c r="B426" s="1230"/>
      <c r="C426" s="64"/>
      <c r="D426" s="57"/>
      <c r="E426" s="57"/>
    </row>
    <row r="427" spans="1:8" s="56" customFormat="1" x14ac:dyDescent="0.3">
      <c r="A427" s="11"/>
      <c r="B427" s="211"/>
      <c r="C427" s="64"/>
      <c r="D427" s="57"/>
      <c r="E427" s="57"/>
    </row>
    <row r="428" spans="1:8" s="56" customFormat="1" x14ac:dyDescent="0.3">
      <c r="A428" s="12"/>
      <c r="B428" s="99"/>
      <c r="C428" s="60"/>
      <c r="D428" s="57"/>
      <c r="E428" s="57"/>
    </row>
    <row r="429" spans="1:8" s="56" customFormat="1" x14ac:dyDescent="0.3">
      <c r="A429" s="12"/>
      <c r="B429" s="99"/>
      <c r="C429" s="60"/>
      <c r="D429" s="57"/>
      <c r="E429" s="57"/>
    </row>
    <row r="430" spans="1:8" s="56" customFormat="1" x14ac:dyDescent="0.3">
      <c r="A430" s="12"/>
      <c r="B430" s="24"/>
      <c r="C430" s="24"/>
      <c r="E430" s="57"/>
      <c r="G430" s="57"/>
    </row>
    <row r="431" spans="1:8" s="56" customFormat="1" x14ac:dyDescent="0.3">
      <c r="A431" s="12"/>
      <c r="B431" s="24"/>
      <c r="C431" s="24"/>
      <c r="E431" s="57"/>
      <c r="G431" s="57"/>
    </row>
    <row r="432" spans="1:8" s="56" customFormat="1" x14ac:dyDescent="0.3">
      <c r="A432" s="1230"/>
      <c r="B432" s="1230"/>
      <c r="C432" s="64"/>
      <c r="D432" s="57"/>
      <c r="E432" s="57"/>
    </row>
    <row r="433" spans="1:7" s="56" customFormat="1" x14ac:dyDescent="0.3">
      <c r="A433" s="11"/>
      <c r="B433" s="211"/>
      <c r="C433" s="64"/>
      <c r="D433" s="57"/>
      <c r="E433" s="57"/>
    </row>
    <row r="434" spans="1:7" s="43" customFormat="1" ht="13.5" customHeight="1" x14ac:dyDescent="0.25">
      <c r="A434" s="12"/>
      <c r="B434" s="24"/>
      <c r="C434" s="24"/>
      <c r="D434" s="22"/>
      <c r="E434" s="31"/>
      <c r="G434" s="73"/>
    </row>
    <row r="435" spans="1:7" s="43" customFormat="1" ht="13.5" customHeight="1" x14ac:dyDescent="0.25">
      <c r="A435" s="11"/>
      <c r="B435" s="31"/>
      <c r="C435" s="31"/>
      <c r="D435" s="22"/>
      <c r="E435" s="31"/>
      <c r="G435" s="73"/>
    </row>
    <row r="436" spans="1:7" s="43" customFormat="1" ht="13.5" customHeight="1" x14ac:dyDescent="0.25">
      <c r="A436" s="12"/>
      <c r="B436" s="24"/>
      <c r="C436" s="24"/>
      <c r="D436" s="22"/>
      <c r="E436" s="31"/>
      <c r="F436" s="99"/>
      <c r="G436" s="55"/>
    </row>
    <row r="437" spans="1:7" s="43" customFormat="1" ht="13.5" customHeight="1" x14ac:dyDescent="0.25">
      <c r="A437" s="11"/>
      <c r="B437" s="31"/>
      <c r="C437" s="31"/>
      <c r="D437" s="22"/>
      <c r="E437" s="31"/>
      <c r="F437" s="99"/>
      <c r="G437" s="55"/>
    </row>
    <row r="438" spans="1:7" s="43" customFormat="1" ht="13.5" customHeight="1" x14ac:dyDescent="0.25">
      <c r="A438" s="12"/>
      <c r="B438" s="24"/>
      <c r="C438" s="24"/>
      <c r="D438" s="22"/>
      <c r="E438" s="31"/>
      <c r="G438" s="73"/>
    </row>
    <row r="439" spans="1:7" s="43" customFormat="1" ht="13.5" customHeight="1" x14ac:dyDescent="0.25">
      <c r="A439" s="11"/>
      <c r="B439" s="31"/>
      <c r="C439" s="31"/>
      <c r="D439" s="22"/>
      <c r="E439" s="31"/>
      <c r="G439" s="73"/>
    </row>
    <row r="440" spans="1:7" s="43" customFormat="1" ht="13.5" customHeight="1" x14ac:dyDescent="0.25">
      <c r="A440" s="12"/>
      <c r="B440" s="24"/>
      <c r="C440" s="24"/>
      <c r="D440" s="22"/>
      <c r="E440" s="31"/>
      <c r="F440" s="99"/>
      <c r="G440" s="55"/>
    </row>
    <row r="441" spans="1:7" s="56" customFormat="1" x14ac:dyDescent="0.3">
      <c r="A441" s="59"/>
      <c r="B441" s="59"/>
      <c r="C441" s="60"/>
      <c r="D441" s="57"/>
      <c r="E441" s="57"/>
    </row>
    <row r="442" spans="1:7" s="56" customFormat="1" x14ac:dyDescent="0.3">
      <c r="A442" s="59"/>
      <c r="B442" s="59"/>
      <c r="C442" s="60"/>
      <c r="D442" s="57"/>
      <c r="E442" s="57"/>
    </row>
    <row r="443" spans="1:7" s="56" customFormat="1" x14ac:dyDescent="0.3">
      <c r="A443" s="573"/>
      <c r="B443" s="573"/>
      <c r="C443" s="213"/>
      <c r="D443" s="758"/>
      <c r="E443" s="757"/>
    </row>
    <row r="444" spans="1:7" s="56" customFormat="1" x14ac:dyDescent="0.3">
      <c r="A444" s="573"/>
      <c r="B444" s="573"/>
      <c r="C444" s="213"/>
      <c r="D444" s="758"/>
      <c r="E444" s="757"/>
    </row>
    <row r="445" spans="1:7" s="56" customFormat="1" x14ac:dyDescent="0.3">
      <c r="C445" s="57"/>
      <c r="D445" s="57"/>
      <c r="E445" s="57"/>
    </row>
    <row r="446" spans="1:7" s="56" customFormat="1" x14ac:dyDescent="0.3">
      <c r="C446" s="57"/>
      <c r="D446" s="460"/>
      <c r="E446" s="461"/>
    </row>
    <row r="447" spans="1:7" s="59" customFormat="1" ht="11.5" x14ac:dyDescent="0.25">
      <c r="C447" s="60"/>
      <c r="D447" s="60"/>
      <c r="E447" s="60"/>
    </row>
    <row r="448" spans="1:7" s="56" customFormat="1" x14ac:dyDescent="0.3">
      <c r="A448" s="59"/>
      <c r="B448" s="59"/>
      <c r="C448" s="60"/>
      <c r="D448" s="60"/>
      <c r="E448" s="60"/>
    </row>
    <row r="449" spans="1:7" s="56" customFormat="1" x14ac:dyDescent="0.3">
      <c r="A449" s="59"/>
      <c r="B449" s="59"/>
      <c r="C449" s="60"/>
      <c r="D449" s="60"/>
      <c r="E449" s="60"/>
    </row>
    <row r="450" spans="1:7" s="56" customFormat="1" x14ac:dyDescent="0.3">
      <c r="A450" s="59"/>
      <c r="B450" s="59"/>
      <c r="C450" s="60"/>
      <c r="D450" s="60"/>
      <c r="E450" s="60"/>
    </row>
    <row r="451" spans="1:7" s="56" customFormat="1" x14ac:dyDescent="0.3">
      <c r="A451" s="63"/>
      <c r="B451" s="752"/>
      <c r="C451" s="64"/>
      <c r="D451" s="64"/>
      <c r="E451" s="64"/>
      <c r="F451" s="57"/>
      <c r="G451" s="57"/>
    </row>
    <row r="452" spans="1:7" s="56" customFormat="1" x14ac:dyDescent="0.3">
      <c r="A452" s="63"/>
      <c r="B452" s="63"/>
      <c r="C452" s="64"/>
      <c r="D452" s="64"/>
      <c r="E452" s="455"/>
    </row>
    <row r="453" spans="1:7" s="56" customFormat="1" x14ac:dyDescent="0.3">
      <c r="A453" s="1230"/>
      <c r="B453" s="1230"/>
      <c r="C453" s="64"/>
      <c r="D453" s="57"/>
      <c r="E453" s="760"/>
      <c r="F453" s="760"/>
    </row>
    <row r="454" spans="1:7" s="239" customFormat="1" x14ac:dyDescent="0.3">
      <c r="A454" s="11"/>
      <c r="B454" s="211"/>
      <c r="C454" s="563"/>
      <c r="E454" s="95"/>
      <c r="F454" s="238"/>
      <c r="G454" s="95"/>
    </row>
    <row r="455" spans="1:7" s="43" customFormat="1" ht="13.5" customHeight="1" x14ac:dyDescent="0.25">
      <c r="A455" s="12"/>
      <c r="C455" s="24"/>
      <c r="G455" s="24"/>
    </row>
    <row r="456" spans="1:7" s="43" customFormat="1" ht="13.5" customHeight="1" x14ac:dyDescent="0.25">
      <c r="A456" s="11"/>
      <c r="B456" s="559"/>
      <c r="C456" s="31"/>
      <c r="E456" s="31"/>
      <c r="G456" s="22"/>
    </row>
    <row r="457" spans="1:7" s="56" customFormat="1" x14ac:dyDescent="0.3">
      <c r="A457" s="12"/>
      <c r="B457" s="59"/>
      <c r="C457" s="60"/>
      <c r="E457" s="57"/>
      <c r="F457" s="32"/>
      <c r="G457" s="57"/>
    </row>
    <row r="458" spans="1:7" s="56" customFormat="1" x14ac:dyDescent="0.3">
      <c r="A458" s="12"/>
      <c r="B458" s="59"/>
      <c r="C458" s="60"/>
      <c r="E458" s="57"/>
      <c r="F458" s="32"/>
      <c r="G458" s="57"/>
    </row>
    <row r="459" spans="1:7" s="56" customFormat="1" x14ac:dyDescent="0.3">
      <c r="A459" s="11"/>
      <c r="B459" s="63"/>
      <c r="C459" s="64"/>
      <c r="E459" s="57"/>
      <c r="G459" s="57"/>
    </row>
    <row r="460" spans="1:7" s="56" customFormat="1" x14ac:dyDescent="0.3">
      <c r="A460" s="12"/>
      <c r="B460" s="59"/>
      <c r="C460" s="60"/>
      <c r="E460" s="57"/>
      <c r="G460" s="57"/>
    </row>
    <row r="461" spans="1:7" s="56" customFormat="1" x14ac:dyDescent="0.3">
      <c r="A461" s="12"/>
      <c r="B461" s="43"/>
      <c r="C461" s="60"/>
      <c r="E461" s="57"/>
      <c r="G461" s="57"/>
    </row>
    <row r="462" spans="1:7" s="56" customFormat="1" x14ac:dyDescent="0.3">
      <c r="A462" s="12"/>
      <c r="B462" s="59"/>
      <c r="C462" s="60"/>
      <c r="E462" s="57"/>
      <c r="G462" s="57"/>
    </row>
    <row r="463" spans="1:7" s="56" customFormat="1" x14ac:dyDescent="0.3">
      <c r="A463" s="11"/>
      <c r="B463" s="31"/>
      <c r="C463" s="64"/>
      <c r="E463" s="57"/>
      <c r="G463" s="57"/>
    </row>
    <row r="464" spans="1:7" s="56" customFormat="1" x14ac:dyDescent="0.3">
      <c r="A464" s="12"/>
      <c r="B464" s="59"/>
      <c r="C464" s="60"/>
      <c r="E464" s="57"/>
      <c r="G464" s="57"/>
    </row>
    <row r="465" spans="1:9" s="56" customFormat="1" x14ac:dyDescent="0.3">
      <c r="A465" s="11"/>
      <c r="B465" s="63"/>
      <c r="C465" s="64"/>
      <c r="D465" s="57"/>
      <c r="E465" s="57"/>
    </row>
    <row r="466" spans="1:9" s="56" customFormat="1" x14ac:dyDescent="0.3">
      <c r="A466" s="12"/>
      <c r="B466" s="59"/>
      <c r="C466" s="60"/>
      <c r="D466" s="57"/>
      <c r="E466" s="57"/>
    </row>
    <row r="467" spans="1:9" s="56" customFormat="1" x14ac:dyDescent="0.3">
      <c r="A467" s="12"/>
      <c r="B467" s="24"/>
      <c r="C467" s="60"/>
      <c r="D467" s="57"/>
      <c r="E467" s="57"/>
    </row>
    <row r="468" spans="1:9" s="56" customFormat="1" x14ac:dyDescent="0.3">
      <c r="A468" s="12"/>
      <c r="B468" s="24"/>
      <c r="C468" s="24"/>
      <c r="D468" s="57"/>
      <c r="E468" s="57"/>
    </row>
    <row r="469" spans="1:9" s="56" customFormat="1" x14ac:dyDescent="0.3">
      <c r="A469" s="1230"/>
      <c r="B469" s="1230"/>
      <c r="C469" s="64"/>
      <c r="D469" s="57"/>
      <c r="E469" s="458"/>
    </row>
    <row r="470" spans="1:9" s="239" customFormat="1" x14ac:dyDescent="0.3">
      <c r="A470" s="63"/>
      <c r="B470" s="63"/>
      <c r="C470" s="563"/>
      <c r="E470" s="459"/>
      <c r="G470" s="95"/>
    </row>
    <row r="471" spans="1:9" s="56" customFormat="1" x14ac:dyDescent="0.3">
      <c r="A471" s="59"/>
      <c r="B471" s="43"/>
      <c r="C471" s="60"/>
      <c r="E471" s="57"/>
      <c r="F471" s="57"/>
      <c r="G471" s="60"/>
    </row>
    <row r="472" spans="1:9" s="56" customFormat="1" x14ac:dyDescent="0.3">
      <c r="A472" s="59"/>
      <c r="B472" s="59"/>
      <c r="C472" s="60"/>
      <c r="E472" s="57"/>
      <c r="F472" s="57"/>
      <c r="G472" s="64"/>
    </row>
    <row r="473" spans="1:9" s="56" customFormat="1" x14ac:dyDescent="0.3">
      <c r="A473" s="59"/>
      <c r="B473" s="59"/>
      <c r="C473" s="60"/>
      <c r="E473" s="57"/>
      <c r="F473" s="57"/>
      <c r="G473" s="60"/>
    </row>
    <row r="474" spans="1:9" s="56" customFormat="1" x14ac:dyDescent="0.3">
      <c r="A474" s="11"/>
      <c r="B474" s="63"/>
      <c r="C474" s="64"/>
      <c r="E474" s="57"/>
      <c r="F474" s="57"/>
      <c r="G474" s="60"/>
    </row>
    <row r="475" spans="1:9" s="56" customFormat="1" x14ac:dyDescent="0.3">
      <c r="A475" s="12"/>
      <c r="B475" s="59"/>
      <c r="C475" s="60"/>
      <c r="E475" s="57"/>
      <c r="F475" s="57"/>
      <c r="G475" s="60"/>
    </row>
    <row r="476" spans="1:9" s="56" customFormat="1" x14ac:dyDescent="0.3">
      <c r="A476" s="11"/>
      <c r="B476" s="63"/>
      <c r="C476" s="64"/>
      <c r="F476" s="57"/>
      <c r="G476" s="57"/>
    </row>
    <row r="477" spans="1:9" s="56" customFormat="1" x14ac:dyDescent="0.3">
      <c r="A477" s="12"/>
      <c r="B477" s="59"/>
      <c r="C477" s="60"/>
      <c r="E477" s="57"/>
      <c r="F477" s="57"/>
      <c r="G477" s="64"/>
    </row>
    <row r="478" spans="1:9" s="56" customFormat="1" x14ac:dyDescent="0.3">
      <c r="A478" s="12"/>
      <c r="B478" s="24"/>
      <c r="C478" s="60"/>
      <c r="G478" s="60"/>
      <c r="H478" s="57"/>
      <c r="I478" s="57"/>
    </row>
    <row r="479" spans="1:9" s="56" customFormat="1" x14ac:dyDescent="0.3">
      <c r="A479" s="11"/>
      <c r="B479" s="31"/>
      <c r="C479" s="64"/>
      <c r="G479" s="60"/>
      <c r="H479" s="57"/>
      <c r="I479" s="57"/>
    </row>
    <row r="480" spans="1:9" s="56" customFormat="1" x14ac:dyDescent="0.3">
      <c r="A480" s="12"/>
      <c r="B480" s="59"/>
      <c r="C480" s="60"/>
      <c r="E480" s="57"/>
      <c r="F480" s="57"/>
      <c r="G480" s="60"/>
    </row>
    <row r="481" spans="1:7" s="56" customFormat="1" x14ac:dyDescent="0.3">
      <c r="A481" s="11"/>
      <c r="B481" s="31"/>
      <c r="C481" s="64"/>
      <c r="E481" s="57"/>
      <c r="F481" s="57"/>
      <c r="G481" s="60"/>
    </row>
    <row r="482" spans="1:7" s="56" customFormat="1" x14ac:dyDescent="0.3">
      <c r="A482" s="12"/>
      <c r="B482" s="24"/>
      <c r="C482" s="60"/>
      <c r="E482" s="57"/>
    </row>
    <row r="483" spans="1:7" s="56" customFormat="1" x14ac:dyDescent="0.3">
      <c r="A483" s="12"/>
      <c r="B483" s="24"/>
      <c r="C483" s="60"/>
      <c r="E483" s="57"/>
      <c r="G483" s="57"/>
    </row>
    <row r="484" spans="1:7" s="56" customFormat="1" x14ac:dyDescent="0.3">
      <c r="A484" s="12"/>
      <c r="B484" s="24"/>
      <c r="C484" s="60"/>
      <c r="D484" s="57"/>
      <c r="E484" s="57"/>
    </row>
    <row r="485" spans="1:7" s="56" customFormat="1" x14ac:dyDescent="0.3">
      <c r="A485" s="1230"/>
      <c r="B485" s="1230"/>
      <c r="C485" s="64"/>
      <c r="D485" s="57"/>
      <c r="E485" s="57"/>
    </row>
    <row r="486" spans="1:7" s="239" customFormat="1" x14ac:dyDescent="0.3">
      <c r="A486" s="11"/>
      <c r="B486" s="211"/>
      <c r="C486" s="563"/>
      <c r="D486" s="95"/>
      <c r="E486" s="95"/>
    </row>
    <row r="487" spans="1:7" s="43" customFormat="1" ht="13.5" customHeight="1" x14ac:dyDescent="0.25">
      <c r="A487" s="12"/>
      <c r="B487" s="24"/>
      <c r="C487" s="24"/>
      <c r="D487" s="22"/>
      <c r="E487" s="31"/>
      <c r="G487" s="73"/>
    </row>
    <row r="488" spans="1:7" s="43" customFormat="1" ht="13.5" customHeight="1" x14ac:dyDescent="0.25">
      <c r="A488" s="11"/>
      <c r="B488" s="31"/>
      <c r="C488" s="31"/>
      <c r="D488" s="22"/>
      <c r="E488" s="31"/>
      <c r="G488" s="73"/>
    </row>
    <row r="489" spans="1:7" s="43" customFormat="1" ht="13.5" customHeight="1" x14ac:dyDescent="0.25">
      <c r="A489" s="12"/>
      <c r="B489" s="24"/>
      <c r="C489" s="24"/>
      <c r="D489" s="22"/>
      <c r="E489" s="31"/>
      <c r="G489" s="73"/>
    </row>
    <row r="490" spans="1:7" s="43" customFormat="1" ht="13.5" customHeight="1" x14ac:dyDescent="0.25">
      <c r="A490" s="11"/>
      <c r="B490" s="31"/>
      <c r="C490" s="31"/>
      <c r="D490" s="22"/>
      <c r="E490" s="31"/>
      <c r="G490" s="73"/>
    </row>
    <row r="491" spans="1:7" s="43" customFormat="1" ht="13.5" customHeight="1" x14ac:dyDescent="0.25">
      <c r="A491" s="12"/>
      <c r="B491" s="24"/>
      <c r="C491" s="24"/>
      <c r="D491" s="22"/>
      <c r="E491" s="31"/>
      <c r="F491" s="99"/>
      <c r="G491" s="55"/>
    </row>
    <row r="492" spans="1:7" s="56" customFormat="1" x14ac:dyDescent="0.3">
      <c r="C492" s="57"/>
      <c r="D492" s="57"/>
      <c r="E492" s="57"/>
    </row>
    <row r="493" spans="1:7" s="56" customFormat="1" x14ac:dyDescent="0.3">
      <c r="C493" s="57"/>
      <c r="D493" s="57"/>
      <c r="E493" s="57"/>
    </row>
    <row r="494" spans="1:7" s="56" customFormat="1" x14ac:dyDescent="0.3">
      <c r="A494" s="573"/>
      <c r="B494" s="573"/>
      <c r="C494" s="213"/>
      <c r="D494" s="758"/>
      <c r="E494" s="757"/>
    </row>
    <row r="495" spans="1:7" s="56" customFormat="1" x14ac:dyDescent="0.3">
      <c r="A495" s="573"/>
      <c r="B495" s="573"/>
      <c r="C495" s="213"/>
      <c r="D495" s="758"/>
      <c r="E495" s="757"/>
    </row>
    <row r="496" spans="1:7" s="56" customFormat="1" x14ac:dyDescent="0.3">
      <c r="C496" s="57"/>
      <c r="D496" s="57"/>
      <c r="E496" s="57"/>
    </row>
    <row r="497" spans="3:5" s="56" customFormat="1" x14ac:dyDescent="0.3">
      <c r="C497" s="57"/>
      <c r="D497" s="57"/>
      <c r="E497" s="57"/>
    </row>
    <row r="498" spans="3:5" s="56" customFormat="1" x14ac:dyDescent="0.3">
      <c r="C498" s="57"/>
      <c r="D498" s="57"/>
      <c r="E498" s="57"/>
    </row>
    <row r="499" spans="3:5" s="56" customFormat="1" x14ac:dyDescent="0.3">
      <c r="C499" s="57"/>
      <c r="D499" s="57"/>
    </row>
    <row r="500" spans="3:5" s="56" customFormat="1" x14ac:dyDescent="0.3">
      <c r="C500" s="57"/>
      <c r="D500" s="57"/>
    </row>
    <row r="501" spans="3:5" s="56" customFormat="1" x14ac:dyDescent="0.3">
      <c r="C501" s="57"/>
      <c r="D501" s="57"/>
    </row>
    <row r="502" spans="3:5" s="56" customFormat="1" x14ac:dyDescent="0.3">
      <c r="C502" s="57"/>
      <c r="D502" s="57"/>
    </row>
    <row r="503" spans="3:5" s="56" customFormat="1" x14ac:dyDescent="0.3">
      <c r="C503" s="57"/>
      <c r="D503" s="57"/>
    </row>
    <row r="504" spans="3:5" s="56" customFormat="1" x14ac:dyDescent="0.3">
      <c r="C504" s="57"/>
      <c r="D504" s="57"/>
    </row>
    <row r="505" spans="3:5" s="56" customFormat="1" x14ac:dyDescent="0.3">
      <c r="C505" s="57"/>
      <c r="D505" s="57"/>
    </row>
    <row r="506" spans="3:5" s="56" customFormat="1" x14ac:dyDescent="0.3">
      <c r="C506" s="57"/>
      <c r="D506" s="57"/>
    </row>
    <row r="507" spans="3:5" s="56" customFormat="1" x14ac:dyDescent="0.3">
      <c r="C507" s="57"/>
      <c r="D507" s="57"/>
    </row>
    <row r="508" spans="3:5" s="56" customFormat="1" x14ac:dyDescent="0.3">
      <c r="C508" s="57"/>
      <c r="D508" s="57"/>
    </row>
    <row r="509" spans="3:5" s="56" customFormat="1" x14ac:dyDescent="0.3">
      <c r="C509" s="57"/>
      <c r="D509" s="57"/>
    </row>
    <row r="510" spans="3:5" s="56" customFormat="1" x14ac:dyDescent="0.3">
      <c r="C510" s="57"/>
      <c r="D510" s="460"/>
      <c r="E510" s="461"/>
    </row>
    <row r="511" spans="3:5" s="56" customFormat="1" x14ac:dyDescent="0.3">
      <c r="C511" s="57"/>
      <c r="D511" s="57"/>
      <c r="E511" s="57"/>
    </row>
    <row r="512" spans="3:5" s="56" customFormat="1" x14ac:dyDescent="0.3">
      <c r="C512" s="57"/>
      <c r="D512" s="57"/>
      <c r="E512" s="57"/>
    </row>
    <row r="513" spans="3:5" s="56" customFormat="1" x14ac:dyDescent="0.3">
      <c r="C513" s="57"/>
      <c r="D513" s="57"/>
      <c r="E513" s="57"/>
    </row>
    <row r="514" spans="3:5" s="56" customFormat="1" x14ac:dyDescent="0.3">
      <c r="C514" s="57"/>
      <c r="D514" s="57"/>
      <c r="E514" s="57"/>
    </row>
    <row r="515" spans="3:5" s="56" customFormat="1" x14ac:dyDescent="0.3">
      <c r="C515" s="57"/>
      <c r="D515" s="57"/>
      <c r="E515" s="57"/>
    </row>
    <row r="516" spans="3:5" s="56" customFormat="1" x14ac:dyDescent="0.3">
      <c r="C516" s="57"/>
      <c r="D516" s="57"/>
      <c r="E516" s="57"/>
    </row>
    <row r="517" spans="3:5" s="56" customFormat="1" x14ac:dyDescent="0.3">
      <c r="C517" s="57"/>
      <c r="D517" s="57"/>
      <c r="E517" s="57"/>
    </row>
    <row r="518" spans="3:5" s="56" customFormat="1" x14ac:dyDescent="0.3">
      <c r="C518" s="57"/>
      <c r="D518" s="57"/>
      <c r="E518" s="57"/>
    </row>
    <row r="519" spans="3:5" s="56" customFormat="1" x14ac:dyDescent="0.3">
      <c r="C519" s="57"/>
      <c r="D519" s="57"/>
      <c r="E519" s="57"/>
    </row>
    <row r="520" spans="3:5" s="56" customFormat="1" x14ac:dyDescent="0.3">
      <c r="C520" s="57"/>
      <c r="D520" s="57"/>
      <c r="E520" s="57"/>
    </row>
    <row r="521" spans="3:5" s="56" customFormat="1" x14ac:dyDescent="0.3">
      <c r="C521" s="57"/>
      <c r="D521" s="57"/>
      <c r="E521" s="57"/>
    </row>
    <row r="522" spans="3:5" s="56" customFormat="1" x14ac:dyDescent="0.3">
      <c r="C522" s="57"/>
      <c r="D522" s="57"/>
      <c r="E522" s="57"/>
    </row>
    <row r="523" spans="3:5" s="56" customFormat="1" x14ac:dyDescent="0.3">
      <c r="C523" s="57"/>
      <c r="D523" s="57"/>
      <c r="E523" s="57"/>
    </row>
    <row r="524" spans="3:5" s="56" customFormat="1" x14ac:dyDescent="0.3">
      <c r="C524" s="460"/>
      <c r="D524" s="461"/>
      <c r="E524" s="57"/>
    </row>
    <row r="525" spans="3:5" s="56" customFormat="1" x14ac:dyDescent="0.3">
      <c r="C525" s="460"/>
      <c r="D525" s="461"/>
      <c r="E525" s="57"/>
    </row>
    <row r="526" spans="3:5" s="56" customFormat="1" x14ac:dyDescent="0.3">
      <c r="C526" s="460"/>
      <c r="D526" s="461"/>
      <c r="E526" s="57"/>
    </row>
    <row r="527" spans="3:5" s="56" customFormat="1" x14ac:dyDescent="0.3">
      <c r="C527" s="460"/>
      <c r="D527" s="461"/>
      <c r="E527" s="57"/>
    </row>
    <row r="528" spans="3:5" s="56" customFormat="1" x14ac:dyDescent="0.3">
      <c r="C528" s="57"/>
      <c r="D528" s="57"/>
      <c r="E528" s="57"/>
    </row>
    <row r="529" spans="1:7" s="56" customFormat="1" x14ac:dyDescent="0.3">
      <c r="C529" s="57"/>
      <c r="D529" s="57"/>
      <c r="E529" s="57"/>
    </row>
    <row r="530" spans="1:7" s="56" customFormat="1" x14ac:dyDescent="0.3">
      <c r="C530" s="57"/>
      <c r="D530" s="57"/>
      <c r="E530" s="57"/>
    </row>
    <row r="531" spans="1:7" s="56" customFormat="1" x14ac:dyDescent="0.3">
      <c r="C531" s="57"/>
      <c r="D531" s="57"/>
      <c r="E531" s="57"/>
    </row>
    <row r="532" spans="1:7" s="56" customFormat="1" x14ac:dyDescent="0.3">
      <c r="A532" s="759"/>
      <c r="C532" s="57"/>
      <c r="D532" s="57"/>
      <c r="E532" s="57"/>
    </row>
    <row r="533" spans="1:7" s="56" customFormat="1" x14ac:dyDescent="0.3">
      <c r="A533" s="759"/>
      <c r="C533" s="57"/>
      <c r="D533" s="57"/>
      <c r="E533" s="57"/>
    </row>
    <row r="534" spans="1:7" s="56" customFormat="1" x14ac:dyDescent="0.3">
      <c r="A534" s="59"/>
      <c r="B534" s="59"/>
      <c r="C534" s="60"/>
      <c r="D534" s="60"/>
      <c r="E534" s="60"/>
    </row>
    <row r="535" spans="1:7" s="56" customFormat="1" x14ac:dyDescent="0.3">
      <c r="A535" s="59"/>
      <c r="B535" s="59"/>
      <c r="C535" s="60"/>
      <c r="D535" s="60"/>
      <c r="E535" s="60"/>
    </row>
    <row r="536" spans="1:7" s="56" customFormat="1" x14ac:dyDescent="0.3">
      <c r="A536" s="59"/>
      <c r="B536" s="59"/>
      <c r="C536" s="60"/>
      <c r="D536" s="60"/>
      <c r="E536" s="60"/>
    </row>
    <row r="537" spans="1:7" s="56" customFormat="1" x14ac:dyDescent="0.3">
      <c r="A537" s="59"/>
      <c r="B537" s="752"/>
      <c r="C537" s="60"/>
      <c r="D537" s="60"/>
      <c r="E537" s="60"/>
    </row>
    <row r="538" spans="1:7" s="56" customFormat="1" x14ac:dyDescent="0.3">
      <c r="A538" s="63"/>
      <c r="B538" s="63"/>
      <c r="C538" s="64"/>
      <c r="D538" s="64"/>
      <c r="E538" s="64"/>
      <c r="F538" s="57"/>
      <c r="G538" s="57"/>
    </row>
    <row r="539" spans="1:7" s="56" customFormat="1" x14ac:dyDescent="0.3">
      <c r="A539" s="63"/>
      <c r="B539" s="63"/>
      <c r="C539" s="64"/>
      <c r="D539" s="64"/>
      <c r="E539" s="455"/>
    </row>
    <row r="540" spans="1:7" s="56" customFormat="1" x14ac:dyDescent="0.3">
      <c r="A540" s="1230"/>
      <c r="B540" s="1230"/>
      <c r="C540" s="64"/>
      <c r="D540" s="57"/>
      <c r="F540" s="213"/>
    </row>
    <row r="541" spans="1:7" s="239" customFormat="1" x14ac:dyDescent="0.3">
      <c r="A541" s="11"/>
      <c r="B541" s="211"/>
      <c r="C541" s="563"/>
      <c r="D541" s="95"/>
      <c r="E541" s="95"/>
    </row>
    <row r="542" spans="1:7" s="43" customFormat="1" ht="13.5" customHeight="1" x14ac:dyDescent="0.25">
      <c r="A542" s="12"/>
      <c r="C542" s="24"/>
      <c r="D542" s="24"/>
      <c r="E542" s="31"/>
      <c r="G542" s="55"/>
    </row>
    <row r="543" spans="1:7" s="43" customFormat="1" ht="13.5" customHeight="1" x14ac:dyDescent="0.25">
      <c r="A543" s="11"/>
      <c r="B543" s="559"/>
      <c r="C543" s="31"/>
      <c r="D543" s="24"/>
      <c r="E543" s="31"/>
      <c r="G543" s="55"/>
    </row>
    <row r="544" spans="1:7" s="43" customFormat="1" ht="13.5" customHeight="1" x14ac:dyDescent="0.25">
      <c r="A544" s="12"/>
      <c r="B544" s="59"/>
      <c r="C544" s="24"/>
      <c r="D544" s="24"/>
      <c r="E544" s="31"/>
      <c r="G544" s="55"/>
    </row>
    <row r="545" spans="1:7" s="43" customFormat="1" ht="13.5" customHeight="1" x14ac:dyDescent="0.25">
      <c r="A545" s="12"/>
      <c r="B545" s="59"/>
      <c r="C545" s="60"/>
      <c r="D545" s="24"/>
      <c r="E545" s="31"/>
      <c r="G545" s="55"/>
    </row>
    <row r="546" spans="1:7" s="43" customFormat="1" ht="13.5" customHeight="1" x14ac:dyDescent="0.25">
      <c r="A546" s="12"/>
      <c r="C546" s="60"/>
      <c r="D546" s="24"/>
      <c r="E546" s="31"/>
      <c r="G546" s="55"/>
    </row>
    <row r="547" spans="1:7" s="43" customFormat="1" ht="13.5" customHeight="1" x14ac:dyDescent="0.25">
      <c r="A547" s="11"/>
      <c r="B547" s="559"/>
      <c r="C547" s="31"/>
      <c r="D547" s="24"/>
      <c r="E547" s="31"/>
      <c r="G547" s="55"/>
    </row>
    <row r="548" spans="1:7" s="56" customFormat="1" x14ac:dyDescent="0.3">
      <c r="A548" s="12"/>
      <c r="B548" s="43"/>
      <c r="C548" s="24"/>
      <c r="D548" s="57"/>
      <c r="E548" s="57"/>
    </row>
    <row r="549" spans="1:7" s="56" customFormat="1" x14ac:dyDescent="0.3">
      <c r="A549" s="11"/>
      <c r="B549" s="559"/>
      <c r="C549" s="31"/>
      <c r="D549" s="57"/>
      <c r="E549" s="57"/>
    </row>
    <row r="550" spans="1:7" s="56" customFormat="1" x14ac:dyDescent="0.3">
      <c r="A550" s="12"/>
      <c r="B550" s="24"/>
      <c r="C550" s="24"/>
      <c r="D550" s="57"/>
      <c r="E550" s="57"/>
    </row>
    <row r="551" spans="1:7" s="56" customFormat="1" x14ac:dyDescent="0.3">
      <c r="A551" s="12"/>
      <c r="B551" s="24"/>
      <c r="C551" s="24"/>
      <c r="D551" s="57"/>
      <c r="E551" s="57"/>
    </row>
    <row r="552" spans="1:7" s="56" customFormat="1" x14ac:dyDescent="0.3">
      <c r="A552" s="11"/>
      <c r="B552" s="31"/>
      <c r="C552" s="31"/>
      <c r="D552" s="57"/>
      <c r="E552" s="57"/>
    </row>
    <row r="553" spans="1:7" s="56" customFormat="1" x14ac:dyDescent="0.3">
      <c r="A553" s="12"/>
      <c r="B553" s="43"/>
      <c r="C553" s="60"/>
      <c r="D553" s="57"/>
      <c r="E553" s="57"/>
    </row>
    <row r="554" spans="1:7" s="56" customFormat="1" x14ac:dyDescent="0.3">
      <c r="A554" s="11"/>
      <c r="B554" s="63"/>
      <c r="C554" s="64"/>
      <c r="D554" s="57"/>
      <c r="E554" s="57"/>
    </row>
    <row r="555" spans="1:7" s="56" customFormat="1" x14ac:dyDescent="0.3">
      <c r="A555" s="12"/>
      <c r="B555" s="59"/>
      <c r="C555" s="60"/>
      <c r="D555" s="57"/>
      <c r="E555" s="57"/>
    </row>
    <row r="556" spans="1:7" s="56" customFormat="1" x14ac:dyDescent="0.3">
      <c r="A556" s="12"/>
      <c r="B556" s="59"/>
      <c r="C556" s="60"/>
      <c r="D556" s="57"/>
      <c r="E556" s="57"/>
    </row>
    <row r="557" spans="1:7" s="56" customFormat="1" x14ac:dyDescent="0.3">
      <c r="A557" s="12"/>
      <c r="B557" s="59"/>
      <c r="C557" s="60"/>
      <c r="D557" s="57"/>
      <c r="E557" s="57"/>
    </row>
    <row r="558" spans="1:7" s="56" customFormat="1" x14ac:dyDescent="0.3">
      <c r="A558" s="12"/>
      <c r="B558" s="59"/>
      <c r="C558" s="60"/>
      <c r="D558" s="57"/>
      <c r="E558" s="57"/>
    </row>
    <row r="559" spans="1:7" s="56" customFormat="1" x14ac:dyDescent="0.3">
      <c r="A559" s="11"/>
      <c r="B559" s="31"/>
      <c r="C559" s="64"/>
      <c r="D559" s="57"/>
      <c r="E559" s="57"/>
    </row>
    <row r="560" spans="1:7" s="56" customFormat="1" x14ac:dyDescent="0.3">
      <c r="A560" s="59"/>
      <c r="B560" s="24"/>
      <c r="C560" s="60"/>
      <c r="D560" s="57"/>
      <c r="E560" s="57"/>
    </row>
    <row r="561" spans="1:7" s="56" customFormat="1" x14ac:dyDescent="0.3">
      <c r="A561" s="59"/>
      <c r="B561" s="59"/>
      <c r="C561" s="60"/>
      <c r="D561" s="57"/>
      <c r="E561" s="57"/>
    </row>
    <row r="562" spans="1:7" s="56" customFormat="1" x14ac:dyDescent="0.3">
      <c r="A562" s="59"/>
      <c r="B562" s="59"/>
      <c r="C562" s="60"/>
      <c r="D562" s="57"/>
      <c r="E562" s="57"/>
    </row>
    <row r="563" spans="1:7" s="56" customFormat="1" x14ac:dyDescent="0.3">
      <c r="A563" s="11"/>
      <c r="B563" s="31"/>
      <c r="C563" s="64"/>
      <c r="D563" s="57"/>
      <c r="E563" s="57"/>
    </row>
    <row r="564" spans="1:7" s="56" customFormat="1" x14ac:dyDescent="0.3">
      <c r="A564" s="12"/>
      <c r="B564" s="43"/>
      <c r="C564" s="60"/>
      <c r="D564" s="57"/>
      <c r="E564" s="57"/>
    </row>
    <row r="565" spans="1:7" s="56" customFormat="1" x14ac:dyDescent="0.3">
      <c r="A565" s="12"/>
      <c r="B565" s="24"/>
      <c r="C565" s="60"/>
      <c r="D565" s="57"/>
      <c r="E565" s="57"/>
    </row>
    <row r="566" spans="1:7" s="56" customFormat="1" x14ac:dyDescent="0.3">
      <c r="A566" s="11"/>
      <c r="B566" s="63"/>
      <c r="C566" s="64"/>
      <c r="D566" s="57"/>
      <c r="E566" s="57"/>
    </row>
    <row r="567" spans="1:7" s="43" customFormat="1" ht="13.5" customHeight="1" x14ac:dyDescent="0.25">
      <c r="A567" s="12"/>
      <c r="B567" s="24"/>
      <c r="C567" s="60"/>
      <c r="D567" s="22"/>
      <c r="E567" s="64"/>
      <c r="G567" s="55"/>
    </row>
    <row r="568" spans="1:7" s="43" customFormat="1" ht="13.5" customHeight="1" x14ac:dyDescent="0.25">
      <c r="A568" s="12"/>
      <c r="B568" s="24"/>
      <c r="C568" s="60"/>
      <c r="D568" s="22"/>
      <c r="E568" s="64"/>
      <c r="G568" s="55"/>
    </row>
    <row r="569" spans="1:7" s="43" customFormat="1" ht="13.5" customHeight="1" x14ac:dyDescent="0.25">
      <c r="A569" s="12"/>
      <c r="B569" s="24"/>
      <c r="C569" s="60"/>
      <c r="D569" s="22"/>
      <c r="E569" s="64"/>
      <c r="G569" s="55"/>
    </row>
    <row r="570" spans="1:7" s="56" customFormat="1" x14ac:dyDescent="0.3">
      <c r="A570" s="12"/>
      <c r="B570" s="24"/>
      <c r="C570" s="24"/>
      <c r="D570" s="57"/>
      <c r="E570" s="57"/>
    </row>
    <row r="571" spans="1:7" s="56" customFormat="1" x14ac:dyDescent="0.3">
      <c r="A571" s="12"/>
      <c r="B571" s="24"/>
      <c r="C571" s="24"/>
      <c r="D571" s="57"/>
      <c r="E571" s="57"/>
    </row>
    <row r="572" spans="1:7" s="56" customFormat="1" x14ac:dyDescent="0.3">
      <c r="A572" s="1230"/>
      <c r="B572" s="1230"/>
      <c r="C572" s="64"/>
      <c r="D572" s="57"/>
      <c r="G572" s="213"/>
    </row>
    <row r="573" spans="1:7" s="239" customFormat="1" x14ac:dyDescent="0.3">
      <c r="A573" s="63"/>
      <c r="B573" s="211"/>
      <c r="C573" s="563"/>
      <c r="D573" s="95"/>
      <c r="E573" s="95"/>
    </row>
    <row r="574" spans="1:7" s="239" customFormat="1" x14ac:dyDescent="0.3">
      <c r="A574" s="59"/>
      <c r="B574" s="99"/>
      <c r="C574" s="114"/>
      <c r="E574" s="95"/>
      <c r="G574" s="95"/>
    </row>
    <row r="575" spans="1:7" s="239" customFormat="1" x14ac:dyDescent="0.3">
      <c r="A575" s="59"/>
      <c r="B575" s="99"/>
      <c r="C575" s="114"/>
      <c r="E575" s="95"/>
      <c r="G575" s="95"/>
    </row>
    <row r="576" spans="1:7" s="239" customFormat="1" x14ac:dyDescent="0.3">
      <c r="A576" s="59"/>
      <c r="B576" s="59"/>
      <c r="C576" s="114"/>
      <c r="D576" s="95"/>
      <c r="E576" s="95"/>
    </row>
    <row r="577" spans="1:9" s="239" customFormat="1" x14ac:dyDescent="0.3">
      <c r="A577" s="63"/>
      <c r="B577" s="63"/>
      <c r="C577" s="563"/>
      <c r="D577" s="95"/>
      <c r="E577" s="95"/>
    </row>
    <row r="578" spans="1:9" s="239" customFormat="1" x14ac:dyDescent="0.3">
      <c r="A578" s="12"/>
      <c r="B578" s="12"/>
      <c r="C578" s="24"/>
      <c r="D578" s="95"/>
      <c r="E578" s="95"/>
    </row>
    <row r="579" spans="1:9" s="239" customFormat="1" x14ac:dyDescent="0.3">
      <c r="A579" s="59"/>
      <c r="B579" s="59"/>
      <c r="C579" s="60"/>
      <c r="D579" s="95"/>
      <c r="E579" s="95"/>
    </row>
    <row r="580" spans="1:9" s="239" customFormat="1" x14ac:dyDescent="0.3">
      <c r="A580" s="59"/>
      <c r="B580" s="59"/>
      <c r="C580" s="60"/>
      <c r="D580" s="95"/>
      <c r="E580" s="95"/>
    </row>
    <row r="581" spans="1:9" s="239" customFormat="1" x14ac:dyDescent="0.3">
      <c r="A581" s="59"/>
      <c r="B581" s="59"/>
      <c r="C581" s="60"/>
      <c r="D581" s="95"/>
      <c r="E581" s="95"/>
    </row>
    <row r="582" spans="1:9" s="239" customFormat="1" x14ac:dyDescent="0.3">
      <c r="A582" s="63"/>
      <c r="B582" s="63"/>
      <c r="C582" s="64"/>
      <c r="D582" s="95"/>
      <c r="E582" s="95"/>
    </row>
    <row r="583" spans="1:9" s="239" customFormat="1" x14ac:dyDescent="0.3">
      <c r="A583" s="59"/>
      <c r="B583" s="59"/>
      <c r="C583" s="24"/>
      <c r="E583" s="95"/>
      <c r="G583" s="537"/>
    </row>
    <row r="584" spans="1:9" s="239" customFormat="1" x14ac:dyDescent="0.3">
      <c r="A584" s="11"/>
      <c r="B584" s="63"/>
      <c r="C584" s="563"/>
      <c r="E584" s="95"/>
    </row>
    <row r="585" spans="1:9" s="56" customFormat="1" x14ac:dyDescent="0.3">
      <c r="A585" s="12"/>
      <c r="B585" s="59"/>
      <c r="C585" s="60"/>
      <c r="D585" s="64"/>
      <c r="E585" s="57"/>
      <c r="F585" s="57"/>
    </row>
    <row r="586" spans="1:9" s="56" customFormat="1" x14ac:dyDescent="0.3">
      <c r="A586" s="12"/>
      <c r="B586" s="24"/>
      <c r="C586" s="60"/>
      <c r="E586" s="57"/>
      <c r="F586" s="57"/>
      <c r="I586" s="95"/>
    </row>
    <row r="587" spans="1:9" s="56" customFormat="1" x14ac:dyDescent="0.3">
      <c r="A587" s="11"/>
      <c r="B587" s="31"/>
      <c r="C587" s="64"/>
      <c r="D587" s="60"/>
      <c r="E587" s="57"/>
      <c r="F587" s="57"/>
    </row>
    <row r="588" spans="1:9" s="56" customFormat="1" x14ac:dyDescent="0.3">
      <c r="A588" s="12"/>
      <c r="B588" s="59"/>
      <c r="C588" s="60"/>
      <c r="D588" s="31"/>
      <c r="E588" s="213"/>
      <c r="F588" s="57"/>
    </row>
    <row r="589" spans="1:9" s="56" customFormat="1" x14ac:dyDescent="0.3">
      <c r="A589" s="11"/>
      <c r="B589" s="63"/>
      <c r="C589" s="64"/>
      <c r="D589" s="31"/>
      <c r="E589" s="213"/>
      <c r="F589" s="57"/>
    </row>
    <row r="590" spans="1:9" s="56" customFormat="1" x14ac:dyDescent="0.3">
      <c r="A590" s="12"/>
      <c r="B590" s="59"/>
      <c r="C590" s="60"/>
      <c r="D590" s="57"/>
      <c r="E590" s="57"/>
    </row>
    <row r="591" spans="1:9" s="56" customFormat="1" x14ac:dyDescent="0.3">
      <c r="A591" s="11"/>
      <c r="B591" s="31"/>
      <c r="C591" s="64"/>
      <c r="D591" s="57"/>
      <c r="E591" s="57"/>
      <c r="G591" s="458"/>
    </row>
    <row r="592" spans="1:9" s="56" customFormat="1" x14ac:dyDescent="0.3">
      <c r="A592" s="12"/>
      <c r="B592" s="24"/>
      <c r="C592" s="60"/>
      <c r="E592" s="60"/>
      <c r="F592" s="57"/>
    </row>
    <row r="593" spans="1:7" s="56" customFormat="1" x14ac:dyDescent="0.3">
      <c r="A593" s="12"/>
      <c r="B593" s="43"/>
      <c r="C593" s="60"/>
      <c r="E593" s="57"/>
      <c r="F593" s="57"/>
    </row>
    <row r="594" spans="1:7" s="56" customFormat="1" x14ac:dyDescent="0.3">
      <c r="A594" s="12"/>
      <c r="B594" s="43"/>
      <c r="C594" s="60"/>
      <c r="D594" s="458"/>
      <c r="E594" s="57"/>
      <c r="F594" s="57"/>
    </row>
    <row r="595" spans="1:7" s="56" customFormat="1" hidden="1" x14ac:dyDescent="0.3">
      <c r="A595" s="12"/>
      <c r="B595" s="43"/>
      <c r="C595" s="60"/>
      <c r="E595" s="57"/>
      <c r="F595" s="57"/>
      <c r="G595" s="458"/>
    </row>
    <row r="596" spans="1:7" s="56" customFormat="1" x14ac:dyDescent="0.3">
      <c r="A596" s="12"/>
      <c r="B596" s="24"/>
      <c r="C596" s="60"/>
      <c r="E596" s="57"/>
    </row>
    <row r="597" spans="1:7" s="56" customFormat="1" x14ac:dyDescent="0.3">
      <c r="A597" s="59"/>
      <c r="B597" s="59"/>
      <c r="C597" s="60"/>
      <c r="D597" s="57"/>
      <c r="E597" s="57"/>
    </row>
    <row r="598" spans="1:7" s="56" customFormat="1" x14ac:dyDescent="0.3">
      <c r="A598" s="1230"/>
      <c r="B598" s="1230"/>
      <c r="C598" s="64"/>
      <c r="D598" s="57"/>
      <c r="G598" s="213"/>
    </row>
    <row r="599" spans="1:7" s="239" customFormat="1" x14ac:dyDescent="0.3">
      <c r="A599" s="11"/>
      <c r="B599" s="211"/>
      <c r="C599" s="563"/>
      <c r="D599" s="95"/>
      <c r="G599" s="94"/>
    </row>
    <row r="600" spans="1:7" s="56" customFormat="1" x14ac:dyDescent="0.3">
      <c r="A600" s="12"/>
      <c r="B600" s="24"/>
      <c r="C600" s="24"/>
      <c r="D600" s="57"/>
      <c r="E600" s="57"/>
    </row>
    <row r="601" spans="1:7" s="56" customFormat="1" x14ac:dyDescent="0.3">
      <c r="A601" s="11"/>
      <c r="B601" s="31"/>
      <c r="C601" s="31"/>
      <c r="D601" s="57"/>
      <c r="E601" s="57"/>
    </row>
    <row r="602" spans="1:7" s="43" customFormat="1" ht="13.5" customHeight="1" x14ac:dyDescent="0.25">
      <c r="A602" s="12"/>
      <c r="B602" s="24"/>
      <c r="C602" s="24"/>
      <c r="D602" s="22"/>
      <c r="E602" s="31"/>
      <c r="G602" s="73"/>
    </row>
    <row r="603" spans="1:7" s="56" customFormat="1" x14ac:dyDescent="0.3">
      <c r="A603" s="11"/>
      <c r="B603" s="31"/>
      <c r="C603" s="31"/>
      <c r="D603" s="57"/>
      <c r="E603" s="57"/>
    </row>
    <row r="604" spans="1:7" s="56" customFormat="1" x14ac:dyDescent="0.3">
      <c r="A604" s="12"/>
      <c r="B604" s="24"/>
      <c r="C604" s="24"/>
      <c r="D604" s="57"/>
      <c r="E604" s="57"/>
    </row>
    <row r="605" spans="1:7" s="56" customFormat="1" x14ac:dyDescent="0.3">
      <c r="A605" s="12"/>
      <c r="B605" s="24"/>
      <c r="C605" s="24"/>
      <c r="D605" s="57"/>
      <c r="E605" s="57"/>
    </row>
    <row r="606" spans="1:7" s="56" customFormat="1" x14ac:dyDescent="0.3">
      <c r="A606" s="11"/>
      <c r="B606" s="31"/>
      <c r="C606" s="31"/>
      <c r="D606" s="57"/>
      <c r="E606" s="57"/>
    </row>
    <row r="607" spans="1:7" s="56" customFormat="1" x14ac:dyDescent="0.3">
      <c r="A607" s="12"/>
      <c r="B607" s="24"/>
      <c r="C607" s="24"/>
      <c r="D607" s="57"/>
      <c r="E607" s="57"/>
    </row>
    <row r="608" spans="1:7" s="56" customFormat="1" x14ac:dyDescent="0.3">
      <c r="C608" s="57"/>
      <c r="D608" s="57"/>
      <c r="E608" s="57"/>
    </row>
    <row r="609" spans="1:7" s="464" customFormat="1" ht="13.5" customHeight="1" x14ac:dyDescent="0.3">
      <c r="A609" s="12"/>
      <c r="B609" s="12"/>
      <c r="C609" s="24"/>
      <c r="D609" s="22"/>
      <c r="E609" s="24"/>
      <c r="F609" s="73"/>
      <c r="G609" s="73"/>
    </row>
    <row r="610" spans="1:7" s="464" customFormat="1" ht="13.5" customHeight="1" x14ac:dyDescent="0.3">
      <c r="A610" s="582"/>
      <c r="B610" s="582"/>
      <c r="C610" s="38"/>
      <c r="D610" s="39"/>
      <c r="E610" s="756"/>
    </row>
    <row r="611" spans="1:7" s="464" customFormat="1" ht="13.5" customHeight="1" x14ac:dyDescent="0.3">
      <c r="A611" s="582"/>
      <c r="B611" s="582"/>
      <c r="C611" s="38"/>
      <c r="D611" s="39"/>
      <c r="E611" s="756"/>
    </row>
    <row r="612" spans="1:7" s="73" customFormat="1" ht="13.5" customHeight="1" x14ac:dyDescent="0.3">
      <c r="A612" s="147"/>
      <c r="B612" s="147"/>
      <c r="C612" s="120"/>
      <c r="D612" s="395"/>
      <c r="E612" s="120"/>
      <c r="F612" s="464"/>
      <c r="G612" s="464"/>
    </row>
    <row r="613" spans="1:7" s="73" customFormat="1" ht="13.5" customHeight="1" x14ac:dyDescent="0.3">
      <c r="A613" s="147"/>
      <c r="B613" s="147"/>
      <c r="C613" s="38"/>
      <c r="D613" s="395"/>
      <c r="E613" s="120"/>
      <c r="F613" s="464"/>
      <c r="G613" s="464"/>
    </row>
    <row r="614" spans="1:7" s="73" customFormat="1" ht="13.5" customHeight="1" x14ac:dyDescent="0.3">
      <c r="A614" s="147"/>
      <c r="B614" s="147"/>
      <c r="C614" s="120"/>
      <c r="D614" s="395"/>
      <c r="E614" s="120"/>
      <c r="F614" s="464"/>
      <c r="G614" s="464"/>
    </row>
    <row r="615" spans="1:7" s="73" customFormat="1" ht="13.5" customHeight="1" x14ac:dyDescent="0.25">
      <c r="A615" s="12"/>
      <c r="B615" s="12"/>
      <c r="C615" s="24"/>
      <c r="D615" s="22"/>
      <c r="E615" s="24"/>
    </row>
    <row r="616" spans="1:7" s="73" customFormat="1" ht="13.5" customHeight="1" x14ac:dyDescent="0.25">
      <c r="A616" s="59"/>
      <c r="B616" s="12"/>
      <c r="C616" s="24"/>
      <c r="D616" s="22"/>
      <c r="E616" s="24"/>
    </row>
    <row r="617" spans="1:7" s="465" customFormat="1" ht="13.5" customHeight="1" x14ac:dyDescent="0.25">
      <c r="A617" s="59"/>
      <c r="B617" s="12"/>
      <c r="C617" s="24"/>
      <c r="D617" s="22"/>
      <c r="E617" s="24"/>
      <c r="F617" s="73"/>
      <c r="G617" s="73"/>
    </row>
    <row r="618" spans="1:7" s="73" customFormat="1" ht="13.5" customHeight="1" x14ac:dyDescent="0.25">
      <c r="A618" s="12"/>
      <c r="B618" s="12"/>
      <c r="C618" s="24"/>
      <c r="D618" s="22"/>
      <c r="E618" s="24"/>
    </row>
    <row r="619" spans="1:7" s="73" customFormat="1" ht="13.5" customHeight="1" x14ac:dyDescent="0.25">
      <c r="A619" s="11"/>
      <c r="B619" s="11"/>
      <c r="C619" s="31"/>
      <c r="D619" s="32"/>
      <c r="E619" s="31"/>
      <c r="F619" s="155"/>
      <c r="G619" s="31"/>
    </row>
    <row r="620" spans="1:7" s="73" customFormat="1" ht="13.5" customHeight="1" x14ac:dyDescent="0.25">
      <c r="A620" s="12"/>
      <c r="B620" s="12"/>
      <c r="C620" s="24"/>
      <c r="D620" s="22"/>
      <c r="E620" s="407"/>
    </row>
    <row r="621" spans="1:7" s="73" customFormat="1" ht="13.5" customHeight="1" x14ac:dyDescent="0.3">
      <c r="A621" s="1241"/>
      <c r="B621" s="1241"/>
      <c r="C621" s="31"/>
      <c r="D621" s="57"/>
      <c r="F621" s="465"/>
      <c r="G621" s="465"/>
    </row>
    <row r="622" spans="1:7" s="155" customFormat="1" ht="13.5" customHeight="1" x14ac:dyDescent="0.3">
      <c r="A622" s="11"/>
      <c r="B622" s="211"/>
      <c r="C622" s="32"/>
      <c r="D622" s="95"/>
      <c r="E622" s="96"/>
    </row>
    <row r="623" spans="1:7" s="43" customFormat="1" ht="13.5" customHeight="1" x14ac:dyDescent="0.25">
      <c r="A623" s="12"/>
      <c r="C623" s="24"/>
      <c r="E623" s="31"/>
      <c r="G623" s="96"/>
    </row>
    <row r="624" spans="1:7" s="43" customFormat="1" ht="13.5" customHeight="1" x14ac:dyDescent="0.25">
      <c r="A624" s="11"/>
      <c r="B624" s="559"/>
      <c r="C624" s="31"/>
      <c r="E624" s="31"/>
      <c r="G624" s="22"/>
    </row>
    <row r="625" spans="1:7" s="56" customFormat="1" x14ac:dyDescent="0.3">
      <c r="A625" s="12"/>
      <c r="B625" s="59"/>
      <c r="C625" s="60"/>
      <c r="E625" s="57"/>
      <c r="G625" s="57"/>
    </row>
    <row r="626" spans="1:7" s="56" customFormat="1" x14ac:dyDescent="0.3">
      <c r="A626" s="12"/>
      <c r="B626" s="43"/>
      <c r="C626" s="60"/>
      <c r="D626" s="57"/>
      <c r="E626" s="57"/>
    </row>
    <row r="627" spans="1:7" s="56" customFormat="1" x14ac:dyDescent="0.3">
      <c r="A627" s="11"/>
      <c r="B627" s="559"/>
      <c r="C627" s="64"/>
      <c r="D627" s="57"/>
      <c r="E627" s="57"/>
    </row>
    <row r="628" spans="1:7" s="56" customFormat="1" x14ac:dyDescent="0.3">
      <c r="A628" s="12"/>
      <c r="B628" s="24"/>
      <c r="C628" s="24"/>
      <c r="D628" s="57"/>
      <c r="E628" s="57"/>
    </row>
    <row r="629" spans="1:7" s="56" customFormat="1" x14ac:dyDescent="0.3">
      <c r="A629" s="11"/>
      <c r="B629" s="63"/>
      <c r="C629" s="31"/>
      <c r="D629" s="57"/>
      <c r="E629" s="57"/>
    </row>
    <row r="630" spans="1:7" s="56" customFormat="1" x14ac:dyDescent="0.3">
      <c r="A630" s="12"/>
      <c r="B630" s="59"/>
      <c r="C630" s="60"/>
      <c r="D630" s="57"/>
      <c r="E630" s="57"/>
    </row>
    <row r="631" spans="1:7" s="56" customFormat="1" x14ac:dyDescent="0.3">
      <c r="A631" s="12"/>
      <c r="B631" s="59"/>
      <c r="C631" s="60"/>
      <c r="D631" s="57"/>
      <c r="E631" s="57"/>
    </row>
    <row r="632" spans="1:7" s="56" customFormat="1" x14ac:dyDescent="0.3">
      <c r="A632" s="12"/>
      <c r="B632" s="59"/>
      <c r="C632" s="60"/>
      <c r="D632" s="57"/>
      <c r="E632" s="57"/>
    </row>
    <row r="633" spans="1:7" s="56" customFormat="1" x14ac:dyDescent="0.3">
      <c r="A633" s="11"/>
      <c r="B633" s="31"/>
      <c r="C633" s="31"/>
      <c r="D633" s="57"/>
      <c r="E633" s="57"/>
    </row>
    <row r="634" spans="1:7" s="56" customFormat="1" x14ac:dyDescent="0.3">
      <c r="A634" s="12"/>
      <c r="B634" s="43"/>
      <c r="C634" s="24"/>
      <c r="D634" s="57"/>
      <c r="E634" s="57"/>
    </row>
    <row r="635" spans="1:7" s="56" customFormat="1" x14ac:dyDescent="0.3">
      <c r="A635" s="12"/>
      <c r="B635" s="24"/>
      <c r="C635" s="60"/>
      <c r="D635" s="57"/>
      <c r="E635" s="57"/>
    </row>
    <row r="636" spans="1:7" s="56" customFormat="1" x14ac:dyDescent="0.3">
      <c r="A636" s="11"/>
      <c r="B636" s="31"/>
      <c r="C636" s="64"/>
      <c r="D636" s="57"/>
      <c r="E636" s="57"/>
    </row>
    <row r="637" spans="1:7" s="56" customFormat="1" x14ac:dyDescent="0.3">
      <c r="A637" s="12"/>
      <c r="B637" s="24"/>
      <c r="C637" s="60"/>
      <c r="E637" s="57"/>
    </row>
    <row r="638" spans="1:7" s="56" customFormat="1" x14ac:dyDescent="0.3">
      <c r="A638" s="12"/>
      <c r="B638" s="24"/>
      <c r="C638" s="24"/>
      <c r="D638" s="57"/>
      <c r="E638" s="57"/>
    </row>
    <row r="639" spans="1:7" s="56" customFormat="1" x14ac:dyDescent="0.3">
      <c r="A639" s="12"/>
      <c r="B639" s="24"/>
      <c r="C639" s="24"/>
      <c r="D639" s="57"/>
      <c r="E639" s="57"/>
    </row>
    <row r="640" spans="1:7" s="73" customFormat="1" ht="13.5" customHeight="1" x14ac:dyDescent="0.25">
      <c r="A640" s="12"/>
      <c r="B640" s="12"/>
      <c r="C640" s="24"/>
      <c r="D640" s="96"/>
      <c r="E640" s="24"/>
    </row>
    <row r="641" spans="1:10" s="73" customFormat="1" ht="13.5" customHeight="1" x14ac:dyDescent="0.3">
      <c r="A641" s="1241"/>
      <c r="B641" s="1241"/>
      <c r="C641" s="31"/>
      <c r="D641" s="57"/>
      <c r="F641" s="465"/>
      <c r="G641" s="465"/>
    </row>
    <row r="642" spans="1:10" s="73" customFormat="1" ht="13.5" customHeight="1" x14ac:dyDescent="0.3">
      <c r="A642" s="63"/>
      <c r="B642" s="211"/>
      <c r="C642" s="32"/>
      <c r="D642" s="57"/>
      <c r="E642" s="31"/>
      <c r="F642" s="465"/>
      <c r="G642" s="465"/>
    </row>
    <row r="643" spans="1:10" s="43" customFormat="1" ht="13.5" customHeight="1" x14ac:dyDescent="0.25">
      <c r="A643" s="59"/>
      <c r="B643" s="59"/>
      <c r="C643" s="24"/>
      <c r="D643" s="180"/>
      <c r="E643" s="31"/>
      <c r="F643" s="99"/>
      <c r="G643" s="55"/>
    </row>
    <row r="644" spans="1:10" s="56" customFormat="1" x14ac:dyDescent="0.3">
      <c r="A644" s="63"/>
      <c r="B644" s="63"/>
      <c r="C644" s="64"/>
      <c r="D644" s="60"/>
      <c r="E644" s="57"/>
      <c r="F644" s="57"/>
    </row>
    <row r="645" spans="1:10" s="56" customFormat="1" ht="13.5" customHeight="1" x14ac:dyDescent="0.3">
      <c r="A645" s="59"/>
      <c r="B645" s="43"/>
      <c r="C645" s="60"/>
      <c r="G645" s="60"/>
      <c r="H645" s="57"/>
      <c r="I645" s="57"/>
    </row>
    <row r="646" spans="1:10" s="56" customFormat="1" ht="13.5" customHeight="1" x14ac:dyDescent="0.3">
      <c r="A646" s="59"/>
      <c r="B646" s="43"/>
      <c r="C646" s="60"/>
      <c r="G646" s="60"/>
      <c r="H646" s="57"/>
      <c r="I646" s="57"/>
    </row>
    <row r="647" spans="1:10" s="56" customFormat="1" ht="13.5" customHeight="1" x14ac:dyDescent="0.3">
      <c r="A647" s="59"/>
      <c r="B647" s="59"/>
      <c r="C647" s="60"/>
      <c r="G647" s="60"/>
      <c r="H647" s="57"/>
    </row>
    <row r="648" spans="1:10" s="43" customFormat="1" ht="13.5" customHeight="1" x14ac:dyDescent="0.25">
      <c r="A648" s="63"/>
      <c r="B648" s="63"/>
      <c r="C648" s="31"/>
      <c r="G648" s="180"/>
      <c r="H648" s="31"/>
      <c r="I648" s="99"/>
      <c r="J648" s="55"/>
    </row>
    <row r="649" spans="1:10" s="43" customFormat="1" ht="13.5" customHeight="1" x14ac:dyDescent="0.25">
      <c r="A649" s="59"/>
      <c r="B649" s="59"/>
      <c r="C649" s="24"/>
      <c r="G649" s="180"/>
      <c r="I649" s="99"/>
      <c r="J649" s="55"/>
    </row>
    <row r="650" spans="1:10" s="43" customFormat="1" ht="13.5" customHeight="1" x14ac:dyDescent="0.25">
      <c r="A650" s="11"/>
      <c r="B650" s="63"/>
      <c r="C650" s="31"/>
      <c r="G650" s="180"/>
      <c r="H650" s="31"/>
      <c r="I650" s="99"/>
      <c r="J650" s="55"/>
    </row>
    <row r="651" spans="1:10" s="56" customFormat="1" ht="13.5" customHeight="1" x14ac:dyDescent="0.3">
      <c r="A651" s="12"/>
      <c r="B651" s="24"/>
      <c r="C651" s="60"/>
      <c r="G651" s="57"/>
      <c r="I651" s="57"/>
    </row>
    <row r="652" spans="1:10" s="56" customFormat="1" x14ac:dyDescent="0.3">
      <c r="A652" s="11"/>
      <c r="B652" s="31"/>
      <c r="C652" s="64"/>
      <c r="G652" s="57"/>
      <c r="H652" s="57"/>
    </row>
    <row r="653" spans="1:10" s="56" customFormat="1" ht="13.5" customHeight="1" x14ac:dyDescent="0.3">
      <c r="A653" s="12"/>
      <c r="B653" s="59"/>
      <c r="C653" s="60"/>
      <c r="G653" s="60"/>
      <c r="H653" s="57"/>
      <c r="I653" s="57"/>
    </row>
    <row r="654" spans="1:10" s="56" customFormat="1" x14ac:dyDescent="0.3">
      <c r="A654" s="11"/>
      <c r="B654" s="31"/>
      <c r="C654" s="64"/>
      <c r="G654" s="60"/>
      <c r="H654" s="57"/>
      <c r="I654" s="57"/>
    </row>
    <row r="655" spans="1:10" s="56" customFormat="1" ht="13.5" customHeight="1" x14ac:dyDescent="0.3">
      <c r="A655" s="12"/>
      <c r="B655" s="24"/>
      <c r="C655" s="60"/>
      <c r="G655" s="57"/>
    </row>
    <row r="656" spans="1:10" s="56" customFormat="1" ht="13.5" customHeight="1" x14ac:dyDescent="0.3">
      <c r="A656" s="12"/>
      <c r="B656" s="24"/>
      <c r="C656" s="60"/>
      <c r="G656" s="96"/>
      <c r="H656" s="213"/>
      <c r="I656" s="57"/>
    </row>
    <row r="657" spans="1:9" s="73" customFormat="1" ht="13.5" customHeight="1" x14ac:dyDescent="0.25">
      <c r="A657" s="12"/>
      <c r="B657" s="12"/>
      <c r="C657" s="24"/>
      <c r="H657" s="24"/>
    </row>
    <row r="658" spans="1:9" s="73" customFormat="1" ht="13.5" customHeight="1" x14ac:dyDescent="0.3">
      <c r="A658" s="1229"/>
      <c r="B658" s="1229"/>
      <c r="C658" s="31"/>
      <c r="G658" s="57"/>
      <c r="H658" s="465"/>
    </row>
    <row r="659" spans="1:9" s="73" customFormat="1" ht="13.5" customHeight="1" x14ac:dyDescent="0.3">
      <c r="A659" s="63"/>
      <c r="B659" s="211"/>
      <c r="C659" s="32"/>
      <c r="D659" s="57"/>
      <c r="E659" s="24"/>
    </row>
    <row r="660" spans="1:9" s="73" customFormat="1" ht="13.5" customHeight="1" x14ac:dyDescent="0.25">
      <c r="A660" s="59"/>
      <c r="B660" s="59"/>
      <c r="C660" s="60"/>
      <c r="G660" s="96"/>
      <c r="H660" s="24"/>
    </row>
    <row r="661" spans="1:9" s="73" customFormat="1" ht="13.5" customHeight="1" x14ac:dyDescent="0.25">
      <c r="A661" s="63"/>
      <c r="B661" s="559"/>
      <c r="C661" s="64"/>
      <c r="G661" s="96"/>
      <c r="H661" s="24"/>
    </row>
    <row r="662" spans="1:9" s="73" customFormat="1" ht="13.5" customHeight="1" x14ac:dyDescent="0.25">
      <c r="A662" s="59"/>
      <c r="B662" s="43"/>
      <c r="C662" s="60"/>
      <c r="G662" s="96"/>
      <c r="H662" s="24"/>
    </row>
    <row r="663" spans="1:9" s="73" customFormat="1" ht="13.5" customHeight="1" x14ac:dyDescent="0.25">
      <c r="A663" s="11"/>
      <c r="B663" s="31"/>
      <c r="C663" s="64"/>
      <c r="G663" s="96"/>
      <c r="H663" s="24"/>
    </row>
    <row r="664" spans="1:9" s="73" customFormat="1" ht="13.5" customHeight="1" x14ac:dyDescent="0.25">
      <c r="A664" s="12"/>
      <c r="B664" s="24"/>
      <c r="C664" s="60"/>
      <c r="G664" s="96"/>
      <c r="H664" s="24"/>
    </row>
    <row r="665" spans="1:9" s="43" customFormat="1" ht="11.5" x14ac:dyDescent="0.25">
      <c r="A665" s="12"/>
      <c r="B665" s="24"/>
      <c r="C665" s="60"/>
      <c r="G665" s="96"/>
      <c r="I665" s="73"/>
    </row>
    <row r="666" spans="1:9" s="43" customFormat="1" ht="11.5" x14ac:dyDescent="0.25">
      <c r="A666" s="11"/>
      <c r="B666" s="31"/>
      <c r="C666" s="64"/>
      <c r="D666" s="96"/>
      <c r="E666" s="24"/>
      <c r="F666" s="73"/>
      <c r="G666" s="73"/>
    </row>
    <row r="667" spans="1:9" s="43" customFormat="1" ht="11.5" x14ac:dyDescent="0.25">
      <c r="A667" s="12"/>
      <c r="B667" s="24"/>
      <c r="C667" s="60"/>
      <c r="D667" s="22"/>
      <c r="E667" s="24"/>
      <c r="F667" s="73"/>
      <c r="G667" s="73"/>
    </row>
    <row r="668" spans="1:9" s="66" customFormat="1" x14ac:dyDescent="0.3">
      <c r="A668" s="130"/>
      <c r="B668" s="130"/>
      <c r="E668" s="23"/>
      <c r="F668" s="73"/>
      <c r="G668" s="73"/>
    </row>
    <row r="680" spans="2:4" x14ac:dyDescent="0.3">
      <c r="B680" s="66"/>
      <c r="C680" s="68"/>
      <c r="D680" s="68"/>
    </row>
  </sheetData>
  <mergeCells count="41">
    <mergeCell ref="A167:B167"/>
    <mergeCell ref="A102:B102"/>
    <mergeCell ref="A135:B135"/>
    <mergeCell ref="A330:B330"/>
    <mergeCell ref="A358:B358"/>
    <mergeCell ref="A302:B302"/>
    <mergeCell ref="A158:E160"/>
    <mergeCell ref="A122:B122"/>
    <mergeCell ref="A218:B218"/>
    <mergeCell ref="A238:B238"/>
    <mergeCell ref="A276:B276"/>
    <mergeCell ref="A306:B306"/>
    <mergeCell ref="A598:B598"/>
    <mergeCell ref="A453:B453"/>
    <mergeCell ref="A406:B406"/>
    <mergeCell ref="A426:B426"/>
    <mergeCell ref="A432:B432"/>
    <mergeCell ref="A228:D231"/>
    <mergeCell ref="A321:D323"/>
    <mergeCell ref="A621:B621"/>
    <mergeCell ref="A378:B378"/>
    <mergeCell ref="A4:C5"/>
    <mergeCell ref="A41:C42"/>
    <mergeCell ref="A112:B113"/>
    <mergeCell ref="A17:B17"/>
    <mergeCell ref="A52:B52"/>
    <mergeCell ref="A226:B227"/>
    <mergeCell ref="A191:B191"/>
    <mergeCell ref="A212:B212"/>
    <mergeCell ref="A96:B96"/>
    <mergeCell ref="A149:B149"/>
    <mergeCell ref="A6:E10"/>
    <mergeCell ref="A43:E45"/>
    <mergeCell ref="A114:D115"/>
    <mergeCell ref="A76:B76"/>
    <mergeCell ref="A658:B658"/>
    <mergeCell ref="A469:B469"/>
    <mergeCell ref="A485:B485"/>
    <mergeCell ref="A540:B540"/>
    <mergeCell ref="A572:B572"/>
    <mergeCell ref="A641:B641"/>
  </mergeCells>
  <pageMargins left="0.78740157480314965" right="0.19685039370078741" top="0.78740157480314965" bottom="0.78740157480314965" header="0.39370078740157483" footer="0.19685039370078741"/>
  <pageSetup paperSize="9" scale="90" orientation="portrait" r:id="rId1"/>
  <headerFooter scaleWithDoc="0">
    <oddHeader>&amp;L&amp;"Arial Narrow,Normal"&amp;8Presupuesto Municipal 2020
&amp;R&amp;"Arial Narrow,Normal"&amp;8MUNICIPALIDAD DE VILLA MARÍA
Secretaría de Ecoomía y Finanzas</oddHeader>
  </headerFooter>
  <rowBreaks count="12" manualBreakCount="12">
    <brk id="60" max="4" man="1"/>
    <brk id="111" max="4" man="1"/>
    <brk id="166" max="4" man="1"/>
    <brk id="225" max="4" man="1"/>
    <brk id="280" max="4" man="1"/>
    <brk id="339" max="4" man="1"/>
    <brk id="405" max="16383" man="1"/>
    <brk id="462" max="16383" man="1"/>
    <brk id="520" max="16383" man="1"/>
    <brk id="576" max="16383" man="1"/>
    <brk id="632" max="16383" man="1"/>
    <brk id="668"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5"/>
  <sheetViews>
    <sheetView view="pageLayout" topLeftCell="A16" zoomScaleNormal="115" zoomScaleSheetLayoutView="50" workbookViewId="0">
      <selection activeCell="C35" sqref="C35"/>
    </sheetView>
  </sheetViews>
  <sheetFormatPr baseColWidth="10" defaultColWidth="11.453125" defaultRowHeight="13" x14ac:dyDescent="0.25"/>
  <cols>
    <col min="1" max="1" width="9.7265625" style="3" customWidth="1"/>
    <col min="2" max="2" width="46.7265625" style="3" customWidth="1"/>
    <col min="3" max="3" width="12.7265625" style="18" customWidth="1"/>
    <col min="4" max="4" width="16.26953125" style="18" customWidth="1"/>
    <col min="5" max="5" width="14.1796875" style="18" customWidth="1"/>
    <col min="6" max="6" width="22.7265625" style="473" customWidth="1"/>
    <col min="7" max="7" width="7.81640625" style="3" customWidth="1"/>
    <col min="8" max="16384" width="11.453125" style="3"/>
  </cols>
  <sheetData>
    <row r="1" spans="1:7" x14ac:dyDescent="0.25">
      <c r="A1" s="482" t="s">
        <v>652</v>
      </c>
      <c r="B1" s="482"/>
      <c r="C1" s="468"/>
      <c r="D1" s="14"/>
      <c r="E1" s="14"/>
      <c r="F1" s="469"/>
      <c r="G1" s="1"/>
    </row>
    <row r="2" spans="1:7" x14ac:dyDescent="0.25">
      <c r="A2" s="75"/>
      <c r="B2" s="470"/>
      <c r="C2" s="16"/>
      <c r="D2" s="16"/>
      <c r="E2" s="14"/>
      <c r="F2" s="469"/>
      <c r="G2" s="1"/>
    </row>
    <row r="3" spans="1:7" ht="13.5" thickBot="1" x14ac:dyDescent="0.3">
      <c r="A3" s="75"/>
      <c r="B3" s="1"/>
      <c r="C3" s="14"/>
      <c r="D3" s="14"/>
      <c r="E3" s="14"/>
      <c r="F3" s="469"/>
      <c r="G3" s="1"/>
    </row>
    <row r="4" spans="1:7" s="1" customFormat="1" x14ac:dyDescent="0.25">
      <c r="A4" s="648" t="s">
        <v>631</v>
      </c>
      <c r="B4" s="649"/>
      <c r="C4" s="690"/>
      <c r="D4" s="692" t="s">
        <v>6</v>
      </c>
      <c r="E4" s="913" t="s">
        <v>491</v>
      </c>
      <c r="F4" s="469"/>
    </row>
    <row r="5" spans="1:7" s="1" customFormat="1" ht="13.5" thickBot="1" x14ac:dyDescent="0.3">
      <c r="A5" s="652"/>
      <c r="B5" s="653"/>
      <c r="C5" s="693"/>
      <c r="D5" s="695"/>
      <c r="E5" s="718"/>
      <c r="F5" s="469"/>
    </row>
    <row r="6" spans="1:7" s="1" customFormat="1" x14ac:dyDescent="0.25">
      <c r="A6" s="1123" t="s">
        <v>880</v>
      </c>
      <c r="B6" s="1124"/>
      <c r="C6" s="1124"/>
      <c r="D6" s="1124"/>
      <c r="E6" s="1125"/>
      <c r="F6" s="469"/>
    </row>
    <row r="7" spans="1:7" s="1" customFormat="1" x14ac:dyDescent="0.25">
      <c r="A7" s="1126"/>
      <c r="B7" s="1127"/>
      <c r="C7" s="1127"/>
      <c r="D7" s="1127"/>
      <c r="E7" s="1128"/>
      <c r="F7" s="469"/>
    </row>
    <row r="8" spans="1:7" s="1" customFormat="1" x14ac:dyDescent="0.25">
      <c r="A8" s="1126"/>
      <c r="B8" s="1127"/>
      <c r="C8" s="1127"/>
      <c r="D8" s="1127"/>
      <c r="E8" s="1128"/>
      <c r="F8" s="469"/>
    </row>
    <row r="9" spans="1:7" s="1" customFormat="1" x14ac:dyDescent="0.25">
      <c r="A9" s="1126"/>
      <c r="B9" s="1127"/>
      <c r="C9" s="1127"/>
      <c r="D9" s="1127"/>
      <c r="E9" s="1128"/>
      <c r="F9" s="469"/>
    </row>
    <row r="10" spans="1:7" s="1" customFormat="1" x14ac:dyDescent="0.25">
      <c r="A10" s="1126"/>
      <c r="B10" s="1127"/>
      <c r="C10" s="1127"/>
      <c r="D10" s="1127"/>
      <c r="E10" s="1128"/>
      <c r="F10" s="469"/>
    </row>
    <row r="11" spans="1:7" s="1" customFormat="1" x14ac:dyDescent="0.25">
      <c r="A11" s="1126"/>
      <c r="B11" s="1127"/>
      <c r="C11" s="1127"/>
      <c r="D11" s="1127"/>
      <c r="E11" s="1128"/>
      <c r="F11" s="469"/>
    </row>
    <row r="12" spans="1:7" s="1" customFormat="1" x14ac:dyDescent="0.25">
      <c r="A12" s="1126"/>
      <c r="B12" s="1127"/>
      <c r="C12" s="1127"/>
      <c r="D12" s="1127"/>
      <c r="E12" s="1128"/>
      <c r="F12" s="469"/>
    </row>
    <row r="13" spans="1:7" s="1" customFormat="1" x14ac:dyDescent="0.25">
      <c r="A13" s="1126"/>
      <c r="B13" s="1127"/>
      <c r="C13" s="1127"/>
      <c r="D13" s="1127"/>
      <c r="E13" s="1128"/>
      <c r="F13" s="469"/>
    </row>
    <row r="14" spans="1:7" s="1" customFormat="1" ht="4.5" customHeight="1" thickBot="1" x14ac:dyDescent="0.3">
      <c r="A14" s="1126"/>
      <c r="B14" s="1127"/>
      <c r="C14" s="1127"/>
      <c r="D14" s="1127"/>
      <c r="E14" s="1128"/>
      <c r="F14" s="469"/>
    </row>
    <row r="15" spans="1:7" s="1" customFormat="1" x14ac:dyDescent="0.25">
      <c r="A15" s="119" t="s">
        <v>1029</v>
      </c>
      <c r="B15" s="174"/>
      <c r="C15" s="420"/>
      <c r="D15" s="420"/>
      <c r="E15" s="422"/>
      <c r="F15" s="469"/>
    </row>
    <row r="16" spans="1:7" s="1" customFormat="1" x14ac:dyDescent="0.25">
      <c r="A16" s="41" t="s">
        <v>632</v>
      </c>
      <c r="B16" s="12"/>
      <c r="C16" s="24"/>
      <c r="D16" s="24"/>
      <c r="E16" s="320"/>
      <c r="F16" s="469"/>
    </row>
    <row r="17" spans="1:8" s="1" customFormat="1" x14ac:dyDescent="0.25">
      <c r="A17" s="41" t="s">
        <v>1040</v>
      </c>
      <c r="B17" s="12"/>
      <c r="C17" s="24"/>
      <c r="D17" s="24"/>
      <c r="E17" s="320"/>
      <c r="F17" s="469"/>
    </row>
    <row r="18" spans="1:8" s="1" customFormat="1" ht="13.5" thickBot="1" x14ac:dyDescent="0.3">
      <c r="A18" s="76" t="s">
        <v>13</v>
      </c>
      <c r="B18" s="140"/>
      <c r="C18" s="377"/>
      <c r="D18" s="377"/>
      <c r="E18" s="378"/>
      <c r="F18" s="469"/>
    </row>
    <row r="19" spans="1:8" s="1" customFormat="1" ht="13.5" thickBot="1" x14ac:dyDescent="0.3">
      <c r="A19" s="762" t="s">
        <v>14</v>
      </c>
      <c r="B19" s="763"/>
      <c r="C19" s="764"/>
      <c r="D19" s="766"/>
      <c r="E19" s="772">
        <f>C21+C44+C68+C88+C93+D112</f>
        <v>60640448</v>
      </c>
      <c r="F19" s="469"/>
      <c r="G19" s="14"/>
    </row>
    <row r="20" spans="1:8" ht="13.5" thickBot="1" x14ac:dyDescent="0.3">
      <c r="A20" s="11"/>
      <c r="B20" s="11"/>
      <c r="C20" s="31"/>
      <c r="D20" s="31"/>
      <c r="F20" s="368"/>
    </row>
    <row r="21" spans="1:8" ht="13.5" thickBot="1" x14ac:dyDescent="0.3">
      <c r="A21" s="1253" t="s">
        <v>1</v>
      </c>
      <c r="B21" s="1254"/>
      <c r="C21" s="804">
        <f>C22+C29+C36</f>
        <v>48596768</v>
      </c>
      <c r="D21" s="31"/>
      <c r="F21" s="206"/>
    </row>
    <row r="22" spans="1:8" s="1" customFormat="1" x14ac:dyDescent="0.25">
      <c r="A22" s="11" t="s">
        <v>97</v>
      </c>
      <c r="B22" s="298" t="s">
        <v>98</v>
      </c>
      <c r="C22" s="31">
        <f>SUM(C23:C28)</f>
        <v>25292258</v>
      </c>
      <c r="D22" s="31"/>
      <c r="F22" s="368"/>
    </row>
    <row r="23" spans="1:8" s="1" customFormat="1" x14ac:dyDescent="0.25">
      <c r="A23" s="12" t="s">
        <v>23</v>
      </c>
      <c r="B23" s="24" t="s">
        <v>20</v>
      </c>
      <c r="C23" s="24">
        <f>3885542+1432459+21454373-6000000</f>
        <v>20772374</v>
      </c>
      <c r="D23" s="31"/>
      <c r="E23" s="206"/>
      <c r="F23" s="469"/>
    </row>
    <row r="24" spans="1:8" s="1" customFormat="1" x14ac:dyDescent="0.25">
      <c r="A24" s="12" t="s">
        <v>24</v>
      </c>
      <c r="B24" s="24" t="s">
        <v>22</v>
      </c>
      <c r="C24" s="24">
        <f>3453817+971386+1679-2000000</f>
        <v>2426882</v>
      </c>
      <c r="D24" s="31"/>
      <c r="E24" s="805"/>
      <c r="F24" s="469"/>
    </row>
    <row r="25" spans="1:8" s="72" customFormat="1" ht="12.75" customHeight="1" x14ac:dyDescent="0.25">
      <c r="A25" s="12" t="s">
        <v>25</v>
      </c>
      <c r="B25" s="24" t="s">
        <v>76</v>
      </c>
      <c r="C25" s="24">
        <f>75000+738953</f>
        <v>813953</v>
      </c>
      <c r="D25" s="398"/>
      <c r="E25" s="400"/>
      <c r="F25" s="471"/>
      <c r="G25" s="363"/>
    </row>
    <row r="26" spans="1:8" s="72" customFormat="1" ht="12.75" customHeight="1" x14ac:dyDescent="0.25">
      <c r="A26" s="12" t="s">
        <v>26</v>
      </c>
      <c r="B26" s="24" t="s">
        <v>77</v>
      </c>
      <c r="C26" s="24">
        <v>1</v>
      </c>
      <c r="D26" s="398"/>
      <c r="E26" s="400"/>
      <c r="F26" s="471"/>
      <c r="G26" s="363"/>
    </row>
    <row r="27" spans="1:8" s="130" customFormat="1" ht="12.75" customHeight="1" x14ac:dyDescent="0.25">
      <c r="A27" s="12" t="s">
        <v>27</v>
      </c>
      <c r="B27" s="24" t="s">
        <v>21</v>
      </c>
      <c r="C27" s="24">
        <f>56133+1073292</f>
        <v>1129425</v>
      </c>
      <c r="D27" s="398"/>
      <c r="E27" s="400"/>
      <c r="F27" s="471"/>
      <c r="G27" s="363"/>
    </row>
    <row r="28" spans="1:8" s="130" customFormat="1" ht="12.75" customHeight="1" x14ac:dyDescent="0.25">
      <c r="A28" s="12" t="s">
        <v>28</v>
      </c>
      <c r="B28" s="24" t="s">
        <v>19</v>
      </c>
      <c r="C28" s="24">
        <f>66618+83005</f>
        <v>149623</v>
      </c>
      <c r="D28" s="398"/>
      <c r="E28" s="400"/>
      <c r="F28" s="471"/>
      <c r="G28" s="363"/>
    </row>
    <row r="29" spans="1:8" s="130" customFormat="1" ht="12.75" customHeight="1" x14ac:dyDescent="0.25">
      <c r="A29" s="11" t="s">
        <v>99</v>
      </c>
      <c r="B29" s="31" t="s">
        <v>100</v>
      </c>
      <c r="C29" s="31">
        <f>SUM(C30:C35)</f>
        <v>19223653</v>
      </c>
      <c r="D29" s="398"/>
      <c r="E29" s="400"/>
      <c r="F29" s="471"/>
      <c r="G29" s="363"/>
    </row>
    <row r="30" spans="1:8" s="130" customFormat="1" ht="12.75" customHeight="1" x14ac:dyDescent="0.25">
      <c r="A30" s="12" t="s">
        <v>30</v>
      </c>
      <c r="B30" s="24" t="s">
        <v>78</v>
      </c>
      <c r="C30" s="24">
        <f>2144167+559731+548551+157424+14054882-1000000</f>
        <v>16464755</v>
      </c>
      <c r="D30" s="398"/>
      <c r="E30" s="400"/>
      <c r="F30" s="471"/>
      <c r="G30" s="363"/>
    </row>
    <row r="31" spans="1:8" s="130" customFormat="1" ht="12.75" customHeight="1" x14ac:dyDescent="0.25">
      <c r="A31" s="12" t="s">
        <v>31</v>
      </c>
      <c r="B31" s="24" t="s">
        <v>79</v>
      </c>
      <c r="C31" s="24">
        <f>1679+629698+159236+1905926+458301-1000000</f>
        <v>2154840</v>
      </c>
      <c r="D31" s="398"/>
      <c r="E31" s="400"/>
      <c r="F31" s="471"/>
      <c r="G31" s="363"/>
    </row>
    <row r="32" spans="1:8" s="72" customFormat="1" ht="12.75" customHeight="1" x14ac:dyDescent="0.25">
      <c r="A32" s="12" t="s">
        <v>32</v>
      </c>
      <c r="B32" s="24" t="s">
        <v>80</v>
      </c>
      <c r="C32" s="24">
        <v>360612</v>
      </c>
      <c r="D32" s="398"/>
      <c r="E32" s="400"/>
      <c r="F32" s="472"/>
      <c r="G32" s="361"/>
      <c r="H32" s="12"/>
    </row>
    <row r="33" spans="1:7" s="72" customFormat="1" ht="12.75" customHeight="1" x14ac:dyDescent="0.25">
      <c r="A33" s="12" t="s">
        <v>33</v>
      </c>
      <c r="B33" s="24" t="s">
        <v>81</v>
      </c>
      <c r="C33" s="24">
        <v>1</v>
      </c>
      <c r="D33" s="398"/>
      <c r="E33" s="400"/>
      <c r="F33" s="471"/>
      <c r="G33" s="363"/>
    </row>
    <row r="34" spans="1:7" s="130" customFormat="1" ht="12.75" customHeight="1" x14ac:dyDescent="0.25">
      <c r="A34" s="12" t="s">
        <v>34</v>
      </c>
      <c r="B34" s="24" t="s">
        <v>259</v>
      </c>
      <c r="C34" s="24">
        <f>6804+236640</f>
        <v>243444</v>
      </c>
      <c r="D34" s="398"/>
      <c r="E34" s="400"/>
      <c r="F34" s="471"/>
      <c r="G34" s="363"/>
    </row>
    <row r="35" spans="1:7" s="130" customFormat="1" ht="12.75" customHeight="1" x14ac:dyDescent="0.25">
      <c r="A35" s="12" t="s">
        <v>83</v>
      </c>
      <c r="B35" s="24" t="s">
        <v>82</v>
      </c>
      <c r="C35" s="24">
        <v>1</v>
      </c>
      <c r="D35" s="398"/>
      <c r="E35" s="400"/>
      <c r="F35" s="471"/>
      <c r="G35" s="363"/>
    </row>
    <row r="36" spans="1:7" s="130" customFormat="1" ht="12.75" customHeight="1" x14ac:dyDescent="0.25">
      <c r="A36" s="11" t="s">
        <v>101</v>
      </c>
      <c r="B36" s="31" t="s">
        <v>102</v>
      </c>
      <c r="C36" s="31">
        <f>SUM(C37:C42)</f>
        <v>4080857</v>
      </c>
      <c r="D36" s="398"/>
      <c r="E36" s="400"/>
      <c r="F36" s="471"/>
      <c r="G36" s="363"/>
    </row>
    <row r="37" spans="1:7" s="72" customFormat="1" ht="12.75" customHeight="1" x14ac:dyDescent="0.25">
      <c r="A37" s="12" t="s">
        <v>39</v>
      </c>
      <c r="B37" s="24" t="s">
        <v>35</v>
      </c>
      <c r="C37" s="24">
        <f>2838337+88407+329477</f>
        <v>3256221</v>
      </c>
      <c r="D37" s="398"/>
      <c r="E37" s="400"/>
      <c r="F37" s="471"/>
      <c r="G37" s="363"/>
    </row>
    <row r="38" spans="1:7" s="72" customFormat="1" ht="12.75" customHeight="1" x14ac:dyDescent="0.25">
      <c r="A38" s="12" t="s">
        <v>40</v>
      </c>
      <c r="B38" s="24" t="s">
        <v>37</v>
      </c>
      <c r="C38" s="24">
        <f>181423+292868+46563+82369</f>
        <v>603223</v>
      </c>
      <c r="D38" s="398"/>
      <c r="E38" s="400"/>
      <c r="F38" s="471"/>
      <c r="G38" s="363"/>
    </row>
    <row r="39" spans="1:7" s="130" customFormat="1" ht="12.75" customHeight="1" x14ac:dyDescent="0.25">
      <c r="A39" s="12" t="s">
        <v>41</v>
      </c>
      <c r="B39" s="24" t="s">
        <v>84</v>
      </c>
      <c r="C39" s="24">
        <v>59069</v>
      </c>
      <c r="D39" s="398"/>
      <c r="E39" s="400"/>
      <c r="F39" s="471"/>
      <c r="G39" s="363"/>
    </row>
    <row r="40" spans="1:7" s="130" customFormat="1" ht="12.75" customHeight="1" x14ac:dyDescent="0.25">
      <c r="A40" s="12" t="s">
        <v>42</v>
      </c>
      <c r="B40" s="24" t="s">
        <v>85</v>
      </c>
      <c r="C40" s="24">
        <v>1</v>
      </c>
      <c r="D40" s="398"/>
      <c r="E40" s="400"/>
      <c r="F40" s="471"/>
      <c r="G40" s="363"/>
    </row>
    <row r="41" spans="1:7" s="130" customFormat="1" ht="12.75" customHeight="1" x14ac:dyDescent="0.25">
      <c r="A41" s="12" t="s">
        <v>43</v>
      </c>
      <c r="B41" s="24" t="s">
        <v>36</v>
      </c>
      <c r="C41" s="24">
        <f>152136+10206</f>
        <v>162342</v>
      </c>
      <c r="D41" s="398"/>
      <c r="E41" s="400"/>
      <c r="F41" s="471"/>
      <c r="G41" s="363"/>
    </row>
    <row r="42" spans="1:7" s="130" customFormat="1" ht="12.75" customHeight="1" x14ac:dyDescent="0.25">
      <c r="A42" s="12" t="s">
        <v>44</v>
      </c>
      <c r="B42" s="24" t="s">
        <v>38</v>
      </c>
      <c r="C42" s="24">
        <v>1</v>
      </c>
      <c r="D42" s="398"/>
      <c r="E42" s="400"/>
      <c r="F42" s="471"/>
      <c r="G42" s="363"/>
    </row>
    <row r="43" spans="1:7" s="130" customFormat="1" ht="12.75" customHeight="1" thickBot="1" x14ac:dyDescent="0.3">
      <c r="A43" s="12"/>
      <c r="B43" s="24"/>
      <c r="C43" s="24"/>
      <c r="D43" s="398"/>
      <c r="E43" s="400"/>
      <c r="F43" s="471"/>
      <c r="G43" s="363"/>
    </row>
    <row r="44" spans="1:7" ht="13.5" thickBot="1" x14ac:dyDescent="0.3">
      <c r="A44" s="1104" t="s">
        <v>2</v>
      </c>
      <c r="B44" s="1105"/>
      <c r="C44" s="667">
        <f>C45+C47+C49+C53+C59+C62+C51</f>
        <v>1181650</v>
      </c>
    </row>
    <row r="45" spans="1:7" s="349" customFormat="1" x14ac:dyDescent="0.25">
      <c r="A45" s="11" t="s">
        <v>103</v>
      </c>
      <c r="B45" s="298" t="s">
        <v>104</v>
      </c>
      <c r="C45" s="32">
        <f>SUM(C46)</f>
        <v>181600</v>
      </c>
      <c r="D45" s="348"/>
      <c r="E45" s="348"/>
      <c r="F45" s="406"/>
    </row>
    <row r="46" spans="1:7" s="12" customFormat="1" ht="13.5" customHeight="1" x14ac:dyDescent="0.25">
      <c r="A46" s="12" t="s">
        <v>46</v>
      </c>
      <c r="B46" s="12" t="s">
        <v>45</v>
      </c>
      <c r="C46" s="24">
        <v>181600</v>
      </c>
      <c r="D46" s="403"/>
      <c r="E46" s="353"/>
      <c r="F46" s="474"/>
      <c r="G46" s="394"/>
    </row>
    <row r="47" spans="1:7" s="12" customFormat="1" ht="13.5" customHeight="1" x14ac:dyDescent="0.25">
      <c r="A47" s="11" t="s">
        <v>105</v>
      </c>
      <c r="B47" s="11" t="s">
        <v>106</v>
      </c>
      <c r="C47" s="31">
        <f>SUM(C48:C48)</f>
        <v>142900</v>
      </c>
      <c r="D47" s="398"/>
      <c r="E47" s="353"/>
      <c r="F47" s="474"/>
      <c r="G47" s="394"/>
    </row>
    <row r="48" spans="1:7" s="5" customFormat="1" x14ac:dyDescent="0.25">
      <c r="A48" s="12" t="s">
        <v>86</v>
      </c>
      <c r="B48" s="72" t="s">
        <v>66</v>
      </c>
      <c r="C48" s="24">
        <v>142900</v>
      </c>
      <c r="D48" s="353"/>
      <c r="E48" s="353"/>
      <c r="F48" s="475"/>
    </row>
    <row r="49" spans="1:8" s="5" customFormat="1" x14ac:dyDescent="0.25">
      <c r="A49" s="11" t="s">
        <v>107</v>
      </c>
      <c r="B49" s="265" t="s">
        <v>108</v>
      </c>
      <c r="C49" s="31">
        <f>SUM(C50)</f>
        <v>144350</v>
      </c>
      <c r="D49" s="353"/>
      <c r="E49" s="353"/>
      <c r="F49" s="475"/>
    </row>
    <row r="50" spans="1:8" s="5" customFormat="1" x14ac:dyDescent="0.25">
      <c r="A50" s="12" t="s">
        <v>47</v>
      </c>
      <c r="B50" s="23" t="s">
        <v>48</v>
      </c>
      <c r="C50" s="24">
        <v>144350</v>
      </c>
      <c r="D50" s="353"/>
      <c r="E50" s="353"/>
      <c r="F50" s="475"/>
      <c r="G50" s="410"/>
    </row>
    <row r="51" spans="1:8" s="52" customFormat="1" x14ac:dyDescent="0.3">
      <c r="A51" s="11" t="s">
        <v>195</v>
      </c>
      <c r="B51" s="556" t="s">
        <v>194</v>
      </c>
      <c r="C51" s="31">
        <f>SUM(C52)</f>
        <v>172700</v>
      </c>
      <c r="D51" s="62"/>
      <c r="E51" s="62"/>
      <c r="F51" s="244"/>
    </row>
    <row r="52" spans="1:8" s="52" customFormat="1" x14ac:dyDescent="0.3">
      <c r="A52" s="12" t="s">
        <v>193</v>
      </c>
      <c r="B52" s="8" t="s">
        <v>215</v>
      </c>
      <c r="C52" s="60">
        <v>172700</v>
      </c>
      <c r="D52" s="62"/>
      <c r="E52" s="62"/>
      <c r="F52" s="244"/>
    </row>
    <row r="53" spans="1:8" s="5" customFormat="1" x14ac:dyDescent="0.25">
      <c r="A53" s="11" t="s">
        <v>119</v>
      </c>
      <c r="B53" s="559" t="s">
        <v>191</v>
      </c>
      <c r="C53" s="31">
        <f>SUM(C54:C58)</f>
        <v>169300</v>
      </c>
      <c r="D53" s="404"/>
      <c r="E53" s="353"/>
      <c r="F53" s="353"/>
      <c r="G53" s="405"/>
      <c r="H53" s="147"/>
    </row>
    <row r="54" spans="1:8" s="5" customFormat="1" x14ac:dyDescent="0.25">
      <c r="A54" s="12" t="s">
        <v>150</v>
      </c>
      <c r="B54" s="43" t="s">
        <v>695</v>
      </c>
      <c r="C54" s="24">
        <v>10500</v>
      </c>
      <c r="D54" s="404"/>
      <c r="E54" s="353"/>
      <c r="F54" s="353"/>
      <c r="G54" s="405"/>
      <c r="H54" s="147"/>
    </row>
    <row r="55" spans="1:8" s="5" customFormat="1" x14ac:dyDescent="0.25">
      <c r="A55" s="12" t="s">
        <v>697</v>
      </c>
      <c r="B55" s="43" t="s">
        <v>696</v>
      </c>
      <c r="C55" s="24">
        <v>22800</v>
      </c>
      <c r="D55" s="404"/>
      <c r="E55" s="353"/>
      <c r="F55" s="353"/>
      <c r="G55" s="405"/>
      <c r="H55" s="147"/>
    </row>
    <row r="56" spans="1:8" s="66" customFormat="1" x14ac:dyDescent="0.3">
      <c r="A56" s="72" t="s">
        <v>816</v>
      </c>
      <c r="B56" s="24" t="s">
        <v>810</v>
      </c>
      <c r="C56" s="24">
        <v>53000</v>
      </c>
      <c r="D56" s="78"/>
      <c r="E56" s="25"/>
    </row>
    <row r="57" spans="1:8" s="66" customFormat="1" x14ac:dyDescent="0.3">
      <c r="A57" s="72" t="s">
        <v>820</v>
      </c>
      <c r="B57" s="24" t="s">
        <v>821</v>
      </c>
      <c r="C57" s="24">
        <v>60500</v>
      </c>
      <c r="D57" s="78"/>
      <c r="E57" s="25"/>
    </row>
    <row r="58" spans="1:8" s="66" customFormat="1" x14ac:dyDescent="0.3">
      <c r="A58" s="72" t="s">
        <v>811</v>
      </c>
      <c r="B58" s="24" t="s">
        <v>812</v>
      </c>
      <c r="C58" s="24">
        <v>22500</v>
      </c>
      <c r="D58" s="78"/>
      <c r="E58" s="25"/>
    </row>
    <row r="59" spans="1:8" s="5" customFormat="1" x14ac:dyDescent="0.25">
      <c r="A59" s="265" t="s">
        <v>124</v>
      </c>
      <c r="B59" s="25" t="s">
        <v>123</v>
      </c>
      <c r="C59" s="31">
        <f>SUM(C60:C61)</f>
        <v>77280</v>
      </c>
      <c r="D59" s="404"/>
      <c r="E59" s="353"/>
      <c r="F59" s="353"/>
      <c r="G59" s="405"/>
      <c r="H59" s="147"/>
    </row>
    <row r="60" spans="1:8" s="66" customFormat="1" x14ac:dyDescent="0.3">
      <c r="A60" s="12" t="s">
        <v>230</v>
      </c>
      <c r="B60" s="43" t="s">
        <v>229</v>
      </c>
      <c r="C60" s="24">
        <v>41280</v>
      </c>
      <c r="D60" s="57"/>
      <c r="E60" s="57"/>
    </row>
    <row r="61" spans="1:8" s="5" customFormat="1" x14ac:dyDescent="0.25">
      <c r="A61" s="72" t="s">
        <v>93</v>
      </c>
      <c r="B61" s="24" t="s">
        <v>72</v>
      </c>
      <c r="C61" s="24">
        <v>36000</v>
      </c>
      <c r="D61" s="353"/>
      <c r="E61" s="353"/>
      <c r="F61" s="353"/>
      <c r="G61" s="394"/>
      <c r="H61" s="147"/>
    </row>
    <row r="62" spans="1:8" s="5" customFormat="1" x14ac:dyDescent="0.25">
      <c r="A62" s="265" t="s">
        <v>151</v>
      </c>
      <c r="B62" s="25" t="s">
        <v>125</v>
      </c>
      <c r="C62" s="31">
        <f>SUM(C63:C66)</f>
        <v>293520</v>
      </c>
      <c r="D62" s="352"/>
      <c r="E62" s="352"/>
      <c r="F62" s="475"/>
      <c r="G62" s="410"/>
    </row>
    <row r="63" spans="1:8" s="5" customFormat="1" x14ac:dyDescent="0.25">
      <c r="A63" s="72" t="s">
        <v>152</v>
      </c>
      <c r="B63" s="24" t="s">
        <v>65</v>
      </c>
      <c r="C63" s="24">
        <v>41830</v>
      </c>
      <c r="D63" s="353"/>
      <c r="E63" s="353"/>
      <c r="F63" s="475"/>
      <c r="G63" s="410"/>
    </row>
    <row r="64" spans="1:8" s="5" customFormat="1" x14ac:dyDescent="0.25">
      <c r="A64" s="72" t="s">
        <v>153</v>
      </c>
      <c r="B64" s="24" t="s">
        <v>70</v>
      </c>
      <c r="C64" s="24">
        <v>82960</v>
      </c>
      <c r="D64" s="353"/>
      <c r="E64" s="353"/>
      <c r="F64" s="475"/>
      <c r="G64" s="410"/>
    </row>
    <row r="65" spans="1:9" s="5" customFormat="1" x14ac:dyDescent="0.25">
      <c r="A65" s="72" t="s">
        <v>155</v>
      </c>
      <c r="B65" s="23" t="s">
        <v>125</v>
      </c>
      <c r="C65" s="24">
        <v>88730</v>
      </c>
      <c r="D65" s="353"/>
      <c r="E65" s="353"/>
      <c r="F65" s="475"/>
      <c r="G65" s="410"/>
    </row>
    <row r="66" spans="1:9" s="265" customFormat="1" ht="13.5" customHeight="1" x14ac:dyDescent="0.25">
      <c r="A66" s="72" t="s">
        <v>699</v>
      </c>
      <c r="B66" s="43" t="s">
        <v>698</v>
      </c>
      <c r="C66" s="24">
        <v>80000</v>
      </c>
      <c r="D66" s="406"/>
      <c r="E66" s="353"/>
      <c r="F66" s="353"/>
      <c r="G66" s="405"/>
      <c r="H66" s="11"/>
    </row>
    <row r="67" spans="1:9" s="5" customFormat="1" ht="13.5" thickBot="1" x14ac:dyDescent="0.3">
      <c r="A67" s="72"/>
      <c r="B67" s="23"/>
      <c r="C67" s="24"/>
      <c r="D67" s="353"/>
      <c r="E67" s="353"/>
      <c r="F67" s="475"/>
      <c r="G67" s="410"/>
    </row>
    <row r="68" spans="1:9" ht="13.5" thickBot="1" x14ac:dyDescent="0.3">
      <c r="A68" s="1096" t="s">
        <v>3</v>
      </c>
      <c r="B68" s="1097"/>
      <c r="C68" s="668">
        <f>C69+C75+C78+C82+C72+C80</f>
        <v>9319050</v>
      </c>
    </row>
    <row r="69" spans="1:9" s="349" customFormat="1" x14ac:dyDescent="0.25">
      <c r="A69" s="265" t="s">
        <v>110</v>
      </c>
      <c r="B69" s="298" t="s">
        <v>111</v>
      </c>
      <c r="C69" s="32">
        <f>SUM(C70:C71)</f>
        <v>368000</v>
      </c>
      <c r="F69" s="348"/>
      <c r="G69" s="348"/>
    </row>
    <row r="70" spans="1:9" s="72" customFormat="1" ht="13.5" customHeight="1" x14ac:dyDescent="0.25">
      <c r="A70" s="72" t="s">
        <v>269</v>
      </c>
      <c r="B70" s="24" t="s">
        <v>270</v>
      </c>
      <c r="C70" s="24">
        <v>234000</v>
      </c>
      <c r="F70" s="356"/>
      <c r="G70" s="472"/>
      <c r="H70" s="24"/>
    </row>
    <row r="71" spans="1:9" s="72" customFormat="1" ht="13.5" customHeight="1" x14ac:dyDescent="0.25">
      <c r="A71" s="72" t="s">
        <v>52</v>
      </c>
      <c r="B71" s="24" t="s">
        <v>15</v>
      </c>
      <c r="C71" s="24">
        <v>134000</v>
      </c>
      <c r="F71" s="356"/>
      <c r="G71" s="472"/>
      <c r="H71" s="24"/>
    </row>
    <row r="72" spans="1:9" s="72" customFormat="1" ht="13.5" customHeight="1" x14ac:dyDescent="0.25">
      <c r="A72" s="265" t="s">
        <v>514</v>
      </c>
      <c r="B72" s="31" t="s">
        <v>121</v>
      </c>
      <c r="C72" s="31">
        <f>SUM(C73:C74)</f>
        <v>158460</v>
      </c>
      <c r="F72" s="356"/>
      <c r="G72" s="472"/>
      <c r="H72" s="24"/>
    </row>
    <row r="73" spans="1:9" s="66" customFormat="1" ht="13.5" customHeight="1" x14ac:dyDescent="0.3">
      <c r="A73" s="59" t="s">
        <v>140</v>
      </c>
      <c r="B73" s="43" t="s">
        <v>141</v>
      </c>
      <c r="C73" s="60">
        <v>43200</v>
      </c>
      <c r="G73" s="60"/>
      <c r="H73" s="57"/>
      <c r="I73" s="57"/>
    </row>
    <row r="74" spans="1:9" s="72" customFormat="1" ht="13.5" customHeight="1" x14ac:dyDescent="0.25">
      <c r="A74" s="12" t="s">
        <v>136</v>
      </c>
      <c r="B74" s="12" t="s">
        <v>71</v>
      </c>
      <c r="C74" s="24">
        <v>115260</v>
      </c>
      <c r="F74" s="357"/>
      <c r="G74" s="12"/>
      <c r="H74" s="24"/>
    </row>
    <row r="75" spans="1:9" s="72" customFormat="1" ht="13.5" customHeight="1" x14ac:dyDescent="0.25">
      <c r="A75" s="265" t="s">
        <v>112</v>
      </c>
      <c r="B75" s="31" t="s">
        <v>157</v>
      </c>
      <c r="C75" s="31">
        <f>SUM(C76:C77)</f>
        <v>2865560</v>
      </c>
      <c r="F75" s="476"/>
      <c r="G75" s="472"/>
      <c r="H75" s="24"/>
    </row>
    <row r="76" spans="1:9" s="72" customFormat="1" ht="13.5" customHeight="1" x14ac:dyDescent="0.25">
      <c r="A76" s="72" t="s">
        <v>138</v>
      </c>
      <c r="B76" s="59" t="s">
        <v>878</v>
      </c>
      <c r="C76" s="24">
        <v>9200</v>
      </c>
      <c r="F76" s="356"/>
      <c r="G76" s="12"/>
      <c r="H76" s="24"/>
    </row>
    <row r="77" spans="1:9" s="72" customFormat="1" ht="13.5" customHeight="1" x14ac:dyDescent="0.25">
      <c r="A77" s="72" t="s">
        <v>156</v>
      </c>
      <c r="B77" s="12" t="s">
        <v>87</v>
      </c>
      <c r="C77" s="24">
        <v>2856360</v>
      </c>
      <c r="F77" s="356"/>
      <c r="G77" s="12"/>
      <c r="H77" s="24"/>
    </row>
    <row r="78" spans="1:9" s="72" customFormat="1" ht="13.5" customHeight="1" x14ac:dyDescent="0.25">
      <c r="A78" s="11" t="s">
        <v>113</v>
      </c>
      <c r="B78" s="11" t="s">
        <v>114</v>
      </c>
      <c r="C78" s="31">
        <f>SUM(C79:C79)</f>
        <v>57740</v>
      </c>
      <c r="F78" s="356"/>
      <c r="G78" s="472"/>
      <c r="H78" s="24"/>
    </row>
    <row r="79" spans="1:9" s="72" customFormat="1" ht="13.5" customHeight="1" x14ac:dyDescent="0.25">
      <c r="A79" s="12" t="s">
        <v>164</v>
      </c>
      <c r="B79" s="12" t="s">
        <v>74</v>
      </c>
      <c r="C79" s="24">
        <v>57740</v>
      </c>
      <c r="F79" s="353"/>
      <c r="G79" s="353"/>
      <c r="H79" s="12"/>
    </row>
    <row r="80" spans="1:9" s="72" customFormat="1" ht="13.5" customHeight="1" x14ac:dyDescent="0.25">
      <c r="A80" s="11" t="s">
        <v>515</v>
      </c>
      <c r="B80" s="11" t="s">
        <v>56</v>
      </c>
      <c r="C80" s="31">
        <f>SUM(C81)</f>
        <v>55450</v>
      </c>
      <c r="F80" s="357"/>
      <c r="G80" s="12"/>
      <c r="H80" s="24"/>
    </row>
    <row r="81" spans="1:10" s="72" customFormat="1" ht="13.5" customHeight="1" x14ac:dyDescent="0.25">
      <c r="A81" s="12" t="s">
        <v>55</v>
      </c>
      <c r="B81" s="12" t="s">
        <v>56</v>
      </c>
      <c r="C81" s="24">
        <v>55450</v>
      </c>
      <c r="F81" s="357"/>
      <c r="G81" s="12"/>
      <c r="H81" s="24"/>
    </row>
    <row r="82" spans="1:10" s="72" customFormat="1" ht="13.5" customHeight="1" x14ac:dyDescent="0.25">
      <c r="A82" s="265" t="s">
        <v>115</v>
      </c>
      <c r="B82" s="31" t="s">
        <v>7</v>
      </c>
      <c r="C82" s="31">
        <f>SUM(C83:C86)</f>
        <v>5813840</v>
      </c>
      <c r="F82" s="353"/>
      <c r="G82" s="12"/>
      <c r="H82" s="24"/>
    </row>
    <row r="83" spans="1:10" s="72" customFormat="1" ht="13.5" customHeight="1" x14ac:dyDescent="0.25">
      <c r="A83" s="72" t="s">
        <v>89</v>
      </c>
      <c r="B83" s="24" t="s">
        <v>8</v>
      </c>
      <c r="C83" s="24">
        <v>2927420</v>
      </c>
      <c r="F83" s="356"/>
      <c r="G83" s="353"/>
    </row>
    <row r="84" spans="1:10" s="11" customFormat="1" ht="13.5" customHeight="1" x14ac:dyDescent="0.25">
      <c r="A84" s="72" t="s">
        <v>181</v>
      </c>
      <c r="B84" s="24" t="s">
        <v>50</v>
      </c>
      <c r="C84" s="24">
        <v>82560</v>
      </c>
      <c r="F84" s="357"/>
      <c r="G84" s="353"/>
      <c r="H84" s="72"/>
      <c r="I84" s="72"/>
      <c r="J84" s="72"/>
    </row>
    <row r="85" spans="1:10" s="72" customFormat="1" ht="13.5" customHeight="1" x14ac:dyDescent="0.25">
      <c r="A85" s="72" t="s">
        <v>222</v>
      </c>
      <c r="B85" s="43" t="s">
        <v>596</v>
      </c>
      <c r="C85" s="24">
        <v>115660</v>
      </c>
      <c r="F85" s="353"/>
      <c r="G85" s="353"/>
      <c r="H85" s="11"/>
      <c r="I85" s="11"/>
      <c r="J85" s="11"/>
    </row>
    <row r="86" spans="1:10" s="72" customFormat="1" ht="13.5" customHeight="1" x14ac:dyDescent="0.25">
      <c r="A86" s="72" t="s">
        <v>90</v>
      </c>
      <c r="B86" s="24" t="s">
        <v>7</v>
      </c>
      <c r="C86" s="24">
        <v>2688200</v>
      </c>
      <c r="F86" s="353"/>
      <c r="G86" s="352"/>
      <c r="H86" s="12"/>
      <c r="J86" s="23"/>
    </row>
    <row r="87" spans="1:10" s="72" customFormat="1" ht="13.5" customHeight="1" thickBot="1" x14ac:dyDescent="0.3">
      <c r="B87" s="24"/>
      <c r="C87" s="24"/>
      <c r="D87" s="353"/>
      <c r="E87" s="352"/>
      <c r="F87" s="474"/>
      <c r="G87" s="361"/>
      <c r="H87" s="12"/>
      <c r="J87" s="23"/>
    </row>
    <row r="88" spans="1:10" ht="13.5" thickBot="1" x14ac:dyDescent="0.3">
      <c r="A88" s="1115" t="s">
        <v>5</v>
      </c>
      <c r="B88" s="1116"/>
      <c r="C88" s="669">
        <f>SUM(C89)</f>
        <v>74900</v>
      </c>
    </row>
    <row r="89" spans="1:10" s="349" customFormat="1" x14ac:dyDescent="0.25">
      <c r="A89" s="265" t="s">
        <v>128</v>
      </c>
      <c r="B89" s="298" t="s">
        <v>129</v>
      </c>
      <c r="C89" s="32">
        <f>SUM(C90:C91)</f>
        <v>74900</v>
      </c>
      <c r="D89" s="348"/>
      <c r="E89" s="348"/>
      <c r="F89" s="406"/>
    </row>
    <row r="90" spans="1:10" x14ac:dyDescent="0.25">
      <c r="A90" s="72" t="s">
        <v>516</v>
      </c>
      <c r="B90" s="72" t="s">
        <v>517</v>
      </c>
      <c r="C90" s="24">
        <v>34300</v>
      </c>
    </row>
    <row r="91" spans="1:10" x14ac:dyDescent="0.25">
      <c r="A91" s="72" t="s">
        <v>144</v>
      </c>
      <c r="B91" s="72" t="s">
        <v>12</v>
      </c>
      <c r="C91" s="24">
        <v>40600</v>
      </c>
    </row>
    <row r="92" spans="1:10" ht="13.5" thickBot="1" x14ac:dyDescent="0.3">
      <c r="A92" s="72"/>
      <c r="B92" s="72"/>
      <c r="C92" s="23"/>
    </row>
    <row r="93" spans="1:10" ht="13.5" thickBot="1" x14ac:dyDescent="0.3">
      <c r="A93" s="1100" t="s">
        <v>4</v>
      </c>
      <c r="B93" s="1101"/>
      <c r="C93" s="725">
        <f>C94+C98</f>
        <v>239810</v>
      </c>
    </row>
    <row r="94" spans="1:10" s="349" customFormat="1" x14ac:dyDescent="0.25">
      <c r="A94" s="265" t="s">
        <v>116</v>
      </c>
      <c r="B94" s="298" t="s">
        <v>117</v>
      </c>
      <c r="C94" s="32">
        <f>SUM(C95:C97)</f>
        <v>210560</v>
      </c>
      <c r="D94" s="348"/>
      <c r="E94" s="348"/>
      <c r="F94" s="406"/>
    </row>
    <row r="95" spans="1:10" s="5" customFormat="1" x14ac:dyDescent="0.25">
      <c r="A95" s="72" t="s">
        <v>91</v>
      </c>
      <c r="B95" s="72" t="s">
        <v>139</v>
      </c>
      <c r="C95" s="24">
        <v>97610</v>
      </c>
      <c r="D95" s="352"/>
      <c r="E95" s="352"/>
      <c r="F95" s="475"/>
      <c r="G95" s="410"/>
    </row>
    <row r="96" spans="1:10" s="5" customFormat="1" x14ac:dyDescent="0.25">
      <c r="A96" s="72" t="s">
        <v>57</v>
      </c>
      <c r="B96" s="12" t="s">
        <v>58</v>
      </c>
      <c r="C96" s="24">
        <v>29200</v>
      </c>
      <c r="D96" s="352"/>
      <c r="E96" s="352"/>
      <c r="F96" s="475"/>
      <c r="G96" s="410"/>
    </row>
    <row r="97" spans="1:8" s="8" customFormat="1" ht="13.5" customHeight="1" x14ac:dyDescent="0.25">
      <c r="A97" s="72" t="s">
        <v>814</v>
      </c>
      <c r="B97" s="23" t="s">
        <v>815</v>
      </c>
      <c r="C97" s="24">
        <v>83750</v>
      </c>
      <c r="D97" s="78"/>
      <c r="E97" s="25"/>
      <c r="F97" s="99"/>
      <c r="G97" s="55"/>
      <c r="H97" s="43"/>
    </row>
    <row r="98" spans="1:8" s="5" customFormat="1" x14ac:dyDescent="0.25">
      <c r="A98" s="265" t="s">
        <v>166</v>
      </c>
      <c r="B98" s="25" t="s">
        <v>134</v>
      </c>
      <c r="C98" s="31">
        <f>SUM(C99)</f>
        <v>29250</v>
      </c>
      <c r="D98" s="352"/>
      <c r="E98" s="352"/>
      <c r="F98" s="475"/>
      <c r="G98" s="410"/>
    </row>
    <row r="99" spans="1:8" s="5" customFormat="1" x14ac:dyDescent="0.25">
      <c r="A99" s="72" t="s">
        <v>167</v>
      </c>
      <c r="B99" s="23" t="s">
        <v>51</v>
      </c>
      <c r="C99" s="24">
        <f>25000*1.17</f>
        <v>29250</v>
      </c>
      <c r="D99" s="352"/>
      <c r="E99" s="352"/>
      <c r="F99" s="475"/>
      <c r="G99" s="410"/>
    </row>
    <row r="100" spans="1:8" s="5" customFormat="1" x14ac:dyDescent="0.25">
      <c r="A100" s="72"/>
      <c r="B100" s="23"/>
      <c r="C100" s="24"/>
      <c r="D100" s="352"/>
      <c r="E100" s="352"/>
      <c r="F100" s="475"/>
      <c r="G100" s="410"/>
    </row>
    <row r="101" spans="1:8" ht="13.5" thickBot="1" x14ac:dyDescent="0.3">
      <c r="A101" s="75"/>
      <c r="C101" s="472"/>
    </row>
    <row r="102" spans="1:8" s="5" customFormat="1" x14ac:dyDescent="0.25">
      <c r="A102" s="648" t="s">
        <v>826</v>
      </c>
      <c r="B102" s="649"/>
      <c r="C102" s="692" t="s">
        <v>6</v>
      </c>
      <c r="D102" s="913" t="s">
        <v>825</v>
      </c>
      <c r="F102" s="475"/>
      <c r="G102" s="410"/>
    </row>
    <row r="103" spans="1:8" s="5" customFormat="1" ht="13.5" thickBot="1" x14ac:dyDescent="0.3">
      <c r="A103" s="707"/>
      <c r="B103" s="728"/>
      <c r="C103" s="734"/>
      <c r="D103" s="735"/>
      <c r="F103" s="475"/>
      <c r="G103" s="410"/>
    </row>
    <row r="104" spans="1:8" s="5" customFormat="1" x14ac:dyDescent="0.25">
      <c r="A104" s="1106" t="s">
        <v>881</v>
      </c>
      <c r="B104" s="1107"/>
      <c r="C104" s="1107"/>
      <c r="D104" s="1108"/>
      <c r="F104" s="475"/>
      <c r="G104" s="410"/>
    </row>
    <row r="105" spans="1:8" s="5" customFormat="1" x14ac:dyDescent="0.25">
      <c r="A105" s="1136"/>
      <c r="B105" s="1137"/>
      <c r="C105" s="1137"/>
      <c r="D105" s="1138"/>
      <c r="F105" s="475"/>
      <c r="G105" s="410"/>
    </row>
    <row r="106" spans="1:8" s="5" customFormat="1" x14ac:dyDescent="0.25">
      <c r="A106" s="1136"/>
      <c r="B106" s="1137"/>
      <c r="C106" s="1137"/>
      <c r="D106" s="1138"/>
      <c r="F106" s="475"/>
      <c r="G106" s="410"/>
    </row>
    <row r="107" spans="1:8" s="5" customFormat="1" ht="13.5" thickBot="1" x14ac:dyDescent="0.3">
      <c r="A107" s="1139"/>
      <c r="B107" s="1140"/>
      <c r="C107" s="1140"/>
      <c r="D107" s="1141"/>
      <c r="F107" s="475"/>
      <c r="G107" s="410"/>
    </row>
    <row r="108" spans="1:8" s="5" customFormat="1" x14ac:dyDescent="0.25">
      <c r="A108" s="41" t="s">
        <v>1029</v>
      </c>
      <c r="B108" s="12"/>
      <c r="C108" s="24"/>
      <c r="D108" s="320"/>
      <c r="F108" s="475"/>
      <c r="G108" s="410"/>
    </row>
    <row r="109" spans="1:8" s="5" customFormat="1" x14ac:dyDescent="0.25">
      <c r="A109" s="41" t="s">
        <v>632</v>
      </c>
      <c r="B109" s="12"/>
      <c r="C109" s="24"/>
      <c r="D109" s="320"/>
      <c r="F109" s="475"/>
      <c r="G109" s="410"/>
    </row>
    <row r="110" spans="1:8" s="5" customFormat="1" x14ac:dyDescent="0.25">
      <c r="A110" s="41" t="s">
        <v>1040</v>
      </c>
      <c r="B110" s="12"/>
      <c r="C110" s="24"/>
      <c r="D110" s="320"/>
      <c r="F110" s="475"/>
      <c r="G110" s="410"/>
    </row>
    <row r="111" spans="1:8" s="5" customFormat="1" ht="13.5" thickBot="1" x14ac:dyDescent="0.3">
      <c r="A111" s="76" t="s">
        <v>13</v>
      </c>
      <c r="B111" s="140"/>
      <c r="C111" s="377"/>
      <c r="D111" s="378"/>
      <c r="F111" s="475"/>
      <c r="G111" s="410"/>
    </row>
    <row r="112" spans="1:8" s="5" customFormat="1" ht="13.5" thickBot="1" x14ac:dyDescent="0.3">
      <c r="A112" s="762" t="s">
        <v>587</v>
      </c>
      <c r="B112" s="763"/>
      <c r="C112" s="766"/>
      <c r="D112" s="772">
        <f>+C114+C131+C149</f>
        <v>1228270</v>
      </c>
      <c r="F112" s="475"/>
      <c r="G112" s="410"/>
    </row>
    <row r="113" spans="1:9" s="5" customFormat="1" ht="13.5" thickBot="1" x14ac:dyDescent="0.3">
      <c r="A113" s="11"/>
      <c r="B113" s="11"/>
      <c r="C113" s="31"/>
      <c r="D113" s="31"/>
      <c r="E113" s="196"/>
      <c r="F113" s="475"/>
      <c r="G113" s="410"/>
    </row>
    <row r="114" spans="1:9" s="5" customFormat="1" ht="13.5" thickBot="1" x14ac:dyDescent="0.3">
      <c r="A114" s="1104" t="s">
        <v>2</v>
      </c>
      <c r="B114" s="1105"/>
      <c r="C114" s="667">
        <f>C115+C119+C121+C124+C126+C117</f>
        <v>405980</v>
      </c>
      <c r="D114" s="18"/>
      <c r="E114" s="21"/>
      <c r="F114" s="475"/>
      <c r="G114" s="410"/>
    </row>
    <row r="115" spans="1:9" s="5" customFormat="1" x14ac:dyDescent="0.25">
      <c r="A115" s="11" t="s">
        <v>103</v>
      </c>
      <c r="B115" s="298" t="s">
        <v>104</v>
      </c>
      <c r="C115" s="32">
        <f>SUM(C116)</f>
        <v>46000</v>
      </c>
      <c r="D115" s="348"/>
      <c r="E115" s="237"/>
      <c r="F115" s="475"/>
      <c r="G115" s="410"/>
    </row>
    <row r="116" spans="1:9" s="5" customFormat="1" x14ac:dyDescent="0.25">
      <c r="A116" s="12" t="s">
        <v>46</v>
      </c>
      <c r="B116" s="12" t="s">
        <v>45</v>
      </c>
      <c r="C116" s="24">
        <v>46000</v>
      </c>
      <c r="D116" s="403"/>
      <c r="E116" s="353"/>
      <c r="F116" s="475"/>
      <c r="G116" s="410"/>
    </row>
    <row r="117" spans="1:9" s="5" customFormat="1" x14ac:dyDescent="0.25">
      <c r="A117" s="11" t="s">
        <v>199</v>
      </c>
      <c r="B117" s="559" t="s">
        <v>198</v>
      </c>
      <c r="C117" s="31">
        <f>SUM(C118)</f>
        <v>45500</v>
      </c>
      <c r="D117" s="403"/>
      <c r="E117" s="353"/>
      <c r="F117" s="475"/>
      <c r="G117" s="410"/>
    </row>
    <row r="118" spans="1:9" s="5" customFormat="1" x14ac:dyDescent="0.25">
      <c r="A118" s="12" t="s">
        <v>227</v>
      </c>
      <c r="B118" s="43" t="s">
        <v>226</v>
      </c>
      <c r="C118" s="24">
        <v>45500</v>
      </c>
      <c r="D118" s="403"/>
      <c r="E118" s="353"/>
      <c r="F118" s="475"/>
      <c r="G118" s="410"/>
    </row>
    <row r="119" spans="1:9" s="5" customFormat="1" x14ac:dyDescent="0.25">
      <c r="A119" s="11" t="s">
        <v>105</v>
      </c>
      <c r="B119" s="11" t="s">
        <v>106</v>
      </c>
      <c r="C119" s="31">
        <f>SUM(C120:C120)</f>
        <v>60000</v>
      </c>
      <c r="D119" s="398"/>
      <c r="E119" s="351"/>
      <c r="F119" s="475"/>
      <c r="G119" s="410"/>
    </row>
    <row r="120" spans="1:9" s="5" customFormat="1" x14ac:dyDescent="0.25">
      <c r="A120" s="12" t="s">
        <v>86</v>
      </c>
      <c r="B120" s="72" t="s">
        <v>66</v>
      </c>
      <c r="C120" s="24">
        <v>60000</v>
      </c>
      <c r="D120" s="353"/>
      <c r="E120" s="353"/>
      <c r="F120" s="475"/>
      <c r="G120" s="410"/>
    </row>
    <row r="121" spans="1:9" s="5" customFormat="1" x14ac:dyDescent="0.25">
      <c r="A121" s="11" t="s">
        <v>107</v>
      </c>
      <c r="B121" s="265" t="s">
        <v>108</v>
      </c>
      <c r="C121" s="31">
        <f>SUM(C122:C123)</f>
        <v>85800</v>
      </c>
      <c r="D121" s="353"/>
      <c r="E121" s="353"/>
      <c r="F121" s="475"/>
      <c r="G121" s="410"/>
    </row>
    <row r="122" spans="1:9" s="5" customFormat="1" x14ac:dyDescent="0.25">
      <c r="A122" s="12" t="s">
        <v>47</v>
      </c>
      <c r="B122" s="23" t="s">
        <v>48</v>
      </c>
      <c r="C122" s="24">
        <v>40800</v>
      </c>
      <c r="D122" s="353"/>
      <c r="E122" s="353"/>
      <c r="F122" s="475"/>
      <c r="G122" s="410"/>
    </row>
    <row r="123" spans="1:9" s="5" customFormat="1" x14ac:dyDescent="0.25">
      <c r="A123" s="72" t="s">
        <v>462</v>
      </c>
      <c r="B123" s="72" t="s">
        <v>463</v>
      </c>
      <c r="C123" s="24">
        <v>45000</v>
      </c>
      <c r="E123" s="353"/>
      <c r="F123" s="353"/>
      <c r="G123" s="410"/>
      <c r="I123" s="423"/>
    </row>
    <row r="124" spans="1:9" s="5" customFormat="1" x14ac:dyDescent="0.25">
      <c r="A124" s="265" t="s">
        <v>124</v>
      </c>
      <c r="B124" s="31" t="s">
        <v>123</v>
      </c>
      <c r="C124" s="31">
        <f>SUM(C125)</f>
        <v>16000</v>
      </c>
      <c r="D124" s="353"/>
      <c r="E124" s="353"/>
      <c r="F124" s="475"/>
      <c r="G124" s="410"/>
    </row>
    <row r="125" spans="1:9" s="5" customFormat="1" x14ac:dyDescent="0.25">
      <c r="A125" s="72" t="s">
        <v>93</v>
      </c>
      <c r="B125" s="24" t="s">
        <v>72</v>
      </c>
      <c r="C125" s="24">
        <v>16000</v>
      </c>
      <c r="D125" s="352"/>
      <c r="E125" s="353"/>
      <c r="F125" s="475"/>
      <c r="G125" s="410"/>
    </row>
    <row r="126" spans="1:9" s="5" customFormat="1" x14ac:dyDescent="0.25">
      <c r="A126" s="265" t="s">
        <v>151</v>
      </c>
      <c r="B126" s="25" t="s">
        <v>125</v>
      </c>
      <c r="C126" s="31">
        <f>SUM(C127:C129)</f>
        <v>152680</v>
      </c>
      <c r="D126" s="352"/>
      <c r="E126" s="352"/>
      <c r="F126" s="475"/>
      <c r="G126" s="410"/>
    </row>
    <row r="127" spans="1:9" s="5" customFormat="1" x14ac:dyDescent="0.25">
      <c r="A127" s="72" t="s">
        <v>153</v>
      </c>
      <c r="B127" s="24" t="s">
        <v>70</v>
      </c>
      <c r="C127" s="24">
        <v>22680</v>
      </c>
      <c r="D127" s="353"/>
      <c r="E127" s="352"/>
      <c r="F127" s="475"/>
      <c r="G127" s="410"/>
    </row>
    <row r="128" spans="1:9" s="5" customFormat="1" x14ac:dyDescent="0.25">
      <c r="A128" s="72" t="s">
        <v>155</v>
      </c>
      <c r="B128" s="23" t="s">
        <v>125</v>
      </c>
      <c r="C128" s="24">
        <v>26000</v>
      </c>
      <c r="D128" s="353"/>
      <c r="E128" s="353"/>
      <c r="F128" s="475"/>
      <c r="G128" s="410"/>
    </row>
    <row r="129" spans="1:8" s="265" customFormat="1" ht="13.5" customHeight="1" x14ac:dyDescent="0.25">
      <c r="A129" s="72" t="s">
        <v>699</v>
      </c>
      <c r="B129" s="43" t="s">
        <v>698</v>
      </c>
      <c r="C129" s="24">
        <v>104000</v>
      </c>
      <c r="D129" s="406"/>
      <c r="E129" s="353"/>
      <c r="F129" s="353"/>
      <c r="G129" s="405"/>
      <c r="H129" s="11"/>
    </row>
    <row r="130" spans="1:8" s="5" customFormat="1" ht="13.5" thickBot="1" x14ac:dyDescent="0.3">
      <c r="A130" s="72"/>
      <c r="B130" s="23"/>
      <c r="C130" s="24"/>
      <c r="D130" s="353"/>
      <c r="E130" s="353"/>
      <c r="F130" s="475"/>
      <c r="G130" s="410"/>
    </row>
    <row r="131" spans="1:8" s="5" customFormat="1" ht="13.5" thickBot="1" x14ac:dyDescent="0.3">
      <c r="A131" s="1096" t="s">
        <v>3</v>
      </c>
      <c r="B131" s="1097"/>
      <c r="C131" s="668">
        <f>C132+C136+C138+C142+C134+C140</f>
        <v>756520</v>
      </c>
      <c r="D131" s="18"/>
      <c r="E131" s="352"/>
      <c r="F131" s="475"/>
      <c r="G131" s="410"/>
    </row>
    <row r="132" spans="1:8" s="5" customFormat="1" x14ac:dyDescent="0.25">
      <c r="A132" s="265" t="s">
        <v>110</v>
      </c>
      <c r="B132" s="298" t="s">
        <v>111</v>
      </c>
      <c r="C132" s="32">
        <f>SUM(C133)</f>
        <v>16120</v>
      </c>
      <c r="D132" s="349"/>
      <c r="E132" s="21"/>
      <c r="F132" s="475"/>
      <c r="G132" s="410"/>
    </row>
    <row r="133" spans="1:8" s="5" customFormat="1" x14ac:dyDescent="0.25">
      <c r="A133" s="72" t="s">
        <v>52</v>
      </c>
      <c r="B133" s="24" t="s">
        <v>15</v>
      </c>
      <c r="C133" s="24">
        <v>16120</v>
      </c>
      <c r="D133" s="72"/>
      <c r="E133" s="351"/>
      <c r="F133" s="475"/>
      <c r="G133" s="410"/>
    </row>
    <row r="134" spans="1:8" s="5" customFormat="1" x14ac:dyDescent="0.25">
      <c r="A134" s="265" t="s">
        <v>514</v>
      </c>
      <c r="B134" s="31" t="s">
        <v>121</v>
      </c>
      <c r="C134" s="31">
        <f>SUM(C135)</f>
        <v>8530</v>
      </c>
      <c r="D134" s="72"/>
      <c r="E134" s="352"/>
      <c r="F134" s="475"/>
      <c r="G134" s="410"/>
    </row>
    <row r="135" spans="1:8" s="5" customFormat="1" x14ac:dyDescent="0.25">
      <c r="A135" s="12" t="s">
        <v>136</v>
      </c>
      <c r="B135" s="12" t="s">
        <v>71</v>
      </c>
      <c r="C135" s="24">
        <v>8530</v>
      </c>
      <c r="D135" s="72"/>
      <c r="E135" s="352"/>
      <c r="F135" s="475"/>
      <c r="G135" s="410"/>
    </row>
    <row r="136" spans="1:8" s="5" customFormat="1" x14ac:dyDescent="0.25">
      <c r="A136" s="265" t="s">
        <v>112</v>
      </c>
      <c r="B136" s="31" t="s">
        <v>157</v>
      </c>
      <c r="C136" s="31">
        <f>SUM(C137:C137)</f>
        <v>160000</v>
      </c>
      <c r="D136" s="72"/>
      <c r="E136" s="352"/>
      <c r="F136" s="475"/>
      <c r="G136" s="410"/>
    </row>
    <row r="137" spans="1:8" s="5" customFormat="1" x14ac:dyDescent="0.25">
      <c r="A137" s="72" t="s">
        <v>156</v>
      </c>
      <c r="B137" s="12" t="s">
        <v>87</v>
      </c>
      <c r="C137" s="24">
        <v>160000</v>
      </c>
      <c r="D137" s="72"/>
      <c r="E137" s="352"/>
      <c r="F137" s="475"/>
      <c r="G137" s="410"/>
    </row>
    <row r="138" spans="1:8" s="5" customFormat="1" x14ac:dyDescent="0.25">
      <c r="A138" s="11" t="s">
        <v>113</v>
      </c>
      <c r="B138" s="11" t="s">
        <v>114</v>
      </c>
      <c r="C138" s="31">
        <f>SUM(C139:C139)</f>
        <v>21000</v>
      </c>
      <c r="D138" s="72"/>
      <c r="E138" s="352"/>
      <c r="F138" s="475"/>
      <c r="G138" s="410"/>
    </row>
    <row r="139" spans="1:8" s="5" customFormat="1" x14ac:dyDescent="0.25">
      <c r="A139" s="12" t="s">
        <v>164</v>
      </c>
      <c r="B139" s="12" t="s">
        <v>74</v>
      </c>
      <c r="C139" s="24">
        <v>21000</v>
      </c>
      <c r="D139" s="72"/>
      <c r="E139" s="352"/>
      <c r="F139" s="475"/>
      <c r="G139" s="410"/>
    </row>
    <row r="140" spans="1:8" s="5" customFormat="1" x14ac:dyDescent="0.25">
      <c r="A140" s="11" t="s">
        <v>515</v>
      </c>
      <c r="B140" s="11" t="s">
        <v>56</v>
      </c>
      <c r="C140" s="31">
        <f>SUM(C141)</f>
        <v>16800</v>
      </c>
      <c r="D140" s="72"/>
      <c r="E140" s="352"/>
      <c r="F140" s="475"/>
      <c r="G140" s="410"/>
    </row>
    <row r="141" spans="1:8" s="5" customFormat="1" x14ac:dyDescent="0.25">
      <c r="A141" s="12" t="s">
        <v>55</v>
      </c>
      <c r="B141" s="12" t="s">
        <v>56</v>
      </c>
      <c r="C141" s="24">
        <v>16800</v>
      </c>
      <c r="D141" s="72"/>
      <c r="E141" s="352"/>
      <c r="F141" s="475"/>
      <c r="G141" s="410"/>
    </row>
    <row r="142" spans="1:8" s="5" customFormat="1" x14ac:dyDescent="0.25">
      <c r="A142" s="265" t="s">
        <v>115</v>
      </c>
      <c r="B142" s="31" t="s">
        <v>7</v>
      </c>
      <c r="C142" s="31">
        <f>SUM(C143:C147)</f>
        <v>534070</v>
      </c>
      <c r="D142" s="72"/>
      <c r="E142" s="352"/>
      <c r="F142" s="475"/>
      <c r="G142" s="410"/>
    </row>
    <row r="143" spans="1:8" s="5" customFormat="1" x14ac:dyDescent="0.25">
      <c r="A143" s="72" t="s">
        <v>89</v>
      </c>
      <c r="B143" s="24" t="s">
        <v>8</v>
      </c>
      <c r="C143" s="24">
        <v>244400</v>
      </c>
      <c r="D143" s="72"/>
      <c r="E143" s="352"/>
      <c r="F143" s="475"/>
      <c r="G143" s="410"/>
    </row>
    <row r="144" spans="1:8" s="5" customFormat="1" x14ac:dyDescent="0.25">
      <c r="A144" s="72" t="s">
        <v>181</v>
      </c>
      <c r="B144" s="24" t="s">
        <v>50</v>
      </c>
      <c r="C144" s="24">
        <v>16000</v>
      </c>
      <c r="D144" s="11"/>
      <c r="E144" s="352"/>
      <c r="F144" s="475"/>
      <c r="G144" s="410"/>
    </row>
    <row r="145" spans="1:10" s="265" customFormat="1" ht="13.5" customHeight="1" x14ac:dyDescent="0.25">
      <c r="A145" s="72" t="s">
        <v>224</v>
      </c>
      <c r="B145" s="72" t="s">
        <v>223</v>
      </c>
      <c r="C145" s="24">
        <v>43250</v>
      </c>
      <c r="D145" s="72"/>
      <c r="E145" s="72"/>
      <c r="F145" s="361"/>
      <c r="G145" s="353"/>
    </row>
    <row r="146" spans="1:10" s="72" customFormat="1" ht="13.5" customHeight="1" x14ac:dyDescent="0.25">
      <c r="A146" s="72" t="s">
        <v>222</v>
      </c>
      <c r="B146" s="43" t="s">
        <v>596</v>
      </c>
      <c r="C146" s="24">
        <v>70420</v>
      </c>
      <c r="F146" s="353"/>
      <c r="G146" s="353"/>
      <c r="H146" s="11"/>
      <c r="I146" s="11"/>
      <c r="J146" s="11"/>
    </row>
    <row r="147" spans="1:10" s="5" customFormat="1" x14ac:dyDescent="0.25">
      <c r="A147" s="72" t="s">
        <v>90</v>
      </c>
      <c r="B147" s="24" t="s">
        <v>7</v>
      </c>
      <c r="C147" s="24">
        <v>160000</v>
      </c>
      <c r="D147" s="72"/>
      <c r="E147" s="353"/>
      <c r="F147" s="475"/>
      <c r="G147" s="410"/>
    </row>
    <row r="148" spans="1:10" s="5" customFormat="1" ht="13.5" thickBot="1" x14ac:dyDescent="0.3">
      <c r="A148" s="72"/>
      <c r="B148" s="72"/>
      <c r="C148" s="23"/>
      <c r="D148" s="18"/>
      <c r="E148" s="353"/>
      <c r="F148" s="475"/>
      <c r="G148" s="410"/>
    </row>
    <row r="149" spans="1:10" s="5" customFormat="1" ht="13.5" thickBot="1" x14ac:dyDescent="0.3">
      <c r="A149" s="1100" t="s">
        <v>4</v>
      </c>
      <c r="B149" s="1101"/>
      <c r="C149" s="725">
        <f>C150+C154</f>
        <v>65770</v>
      </c>
      <c r="D149" s="18"/>
      <c r="E149" s="353"/>
      <c r="F149" s="475"/>
      <c r="G149" s="410"/>
    </row>
    <row r="150" spans="1:10" s="5" customFormat="1" x14ac:dyDescent="0.25">
      <c r="A150" s="265" t="s">
        <v>116</v>
      </c>
      <c r="B150" s="298" t="s">
        <v>117</v>
      </c>
      <c r="C150" s="32">
        <f>SUM(C151:C153)</f>
        <v>57060</v>
      </c>
      <c r="D150" s="348"/>
      <c r="E150" s="353"/>
      <c r="F150" s="475"/>
      <c r="G150" s="410"/>
    </row>
    <row r="151" spans="1:10" s="5" customFormat="1" x14ac:dyDescent="0.25">
      <c r="A151" s="72" t="s">
        <v>91</v>
      </c>
      <c r="B151" s="72" t="s">
        <v>139</v>
      </c>
      <c r="C151" s="24">
        <v>18700</v>
      </c>
      <c r="D151" s="352"/>
      <c r="E151" s="353"/>
      <c r="F151" s="475"/>
      <c r="G151" s="410"/>
    </row>
    <row r="152" spans="1:10" s="5" customFormat="1" x14ac:dyDescent="0.25">
      <c r="A152" s="72" t="s">
        <v>57</v>
      </c>
      <c r="B152" s="12" t="s">
        <v>58</v>
      </c>
      <c r="C152" s="24">
        <v>23360</v>
      </c>
      <c r="D152" s="352"/>
      <c r="E152" s="352"/>
      <c r="F152" s="475"/>
      <c r="G152" s="410"/>
    </row>
    <row r="153" spans="1:10" s="8" customFormat="1" ht="13.5" customHeight="1" x14ac:dyDescent="0.25">
      <c r="A153" s="72" t="s">
        <v>814</v>
      </c>
      <c r="B153" s="23" t="s">
        <v>815</v>
      </c>
      <c r="C153" s="24">
        <v>15000</v>
      </c>
      <c r="D153" s="78"/>
      <c r="E153" s="25"/>
      <c r="F153" s="99"/>
      <c r="G153" s="55"/>
      <c r="H153" s="43"/>
    </row>
    <row r="154" spans="1:10" s="5" customFormat="1" x14ac:dyDescent="0.25">
      <c r="A154" s="265" t="s">
        <v>166</v>
      </c>
      <c r="B154" s="25" t="s">
        <v>134</v>
      </c>
      <c r="C154" s="31">
        <f>SUM(C155)</f>
        <v>8710</v>
      </c>
      <c r="D154" s="352"/>
      <c r="E154" s="353"/>
      <c r="F154" s="475"/>
      <c r="G154" s="410"/>
    </row>
    <row r="155" spans="1:10" s="5" customFormat="1" x14ac:dyDescent="0.25">
      <c r="A155" s="72" t="s">
        <v>167</v>
      </c>
      <c r="B155" s="23" t="s">
        <v>51</v>
      </c>
      <c r="C155" s="24">
        <v>8710</v>
      </c>
      <c r="D155" s="352"/>
      <c r="E155" s="21"/>
      <c r="F155" s="475"/>
      <c r="G155" s="410"/>
    </row>
    <row r="156" spans="1:10" s="5" customFormat="1" x14ac:dyDescent="0.25">
      <c r="A156" s="72"/>
      <c r="B156" s="23"/>
      <c r="C156" s="24"/>
      <c r="D156" s="352"/>
      <c r="E156" s="21"/>
      <c r="F156" s="475"/>
      <c r="G156" s="410"/>
    </row>
    <row r="157" spans="1:10" s="5" customFormat="1" ht="13.5" thickBot="1" x14ac:dyDescent="0.3">
      <c r="A157" s="72"/>
      <c r="B157" s="23"/>
      <c r="C157" s="24"/>
      <c r="D157" s="352"/>
      <c r="E157" s="21"/>
      <c r="F157" s="475"/>
      <c r="G157" s="410"/>
    </row>
    <row r="158" spans="1:10" x14ac:dyDescent="0.25">
      <c r="A158" s="648" t="s">
        <v>827</v>
      </c>
      <c r="B158" s="649"/>
      <c r="C158" s="690"/>
      <c r="D158" s="692" t="s">
        <v>6</v>
      </c>
      <c r="E158" s="913" t="s">
        <v>497</v>
      </c>
    </row>
    <row r="159" spans="1:10" ht="13.5" thickBot="1" x14ac:dyDescent="0.3">
      <c r="A159" s="707"/>
      <c r="B159" s="740"/>
      <c r="C159" s="733"/>
      <c r="D159" s="734"/>
      <c r="E159" s="735"/>
    </row>
    <row r="160" spans="1:10" s="1" customFormat="1" x14ac:dyDescent="0.25">
      <c r="A160" s="50" t="s">
        <v>828</v>
      </c>
      <c r="B160" s="150"/>
      <c r="C160" s="51"/>
      <c r="D160" s="51"/>
      <c r="E160" s="316"/>
      <c r="F160" s="469"/>
    </row>
    <row r="161" spans="1:7" s="1" customFormat="1" x14ac:dyDescent="0.25">
      <c r="A161" s="37" t="s">
        <v>882</v>
      </c>
      <c r="B161" s="147"/>
      <c r="C161" s="120"/>
      <c r="D161" s="120"/>
      <c r="E161" s="317"/>
      <c r="F161" s="469"/>
    </row>
    <row r="162" spans="1:7" s="1" customFormat="1" x14ac:dyDescent="0.25">
      <c r="A162" s="37" t="s">
        <v>518</v>
      </c>
      <c r="B162" s="147"/>
      <c r="C162" s="120"/>
      <c r="D162" s="120"/>
      <c r="E162" s="317"/>
      <c r="F162" s="469"/>
    </row>
    <row r="163" spans="1:7" s="1" customFormat="1" x14ac:dyDescent="0.25">
      <c r="A163" s="37" t="s">
        <v>884</v>
      </c>
      <c r="B163" s="147"/>
      <c r="C163" s="120"/>
      <c r="D163" s="120"/>
      <c r="E163" s="149"/>
      <c r="F163" s="469"/>
    </row>
    <row r="164" spans="1:7" s="1" customFormat="1" x14ac:dyDescent="0.25">
      <c r="A164" s="37" t="s">
        <v>886</v>
      </c>
      <c r="B164" s="147"/>
      <c r="C164" s="120"/>
      <c r="D164" s="120"/>
      <c r="E164" s="317"/>
      <c r="F164" s="469"/>
    </row>
    <row r="165" spans="1:7" s="1" customFormat="1" x14ac:dyDescent="0.25">
      <c r="A165" s="37" t="s">
        <v>885</v>
      </c>
      <c r="B165" s="147"/>
      <c r="C165" s="120"/>
      <c r="D165" s="120"/>
      <c r="E165" s="317"/>
      <c r="F165" s="469"/>
    </row>
    <row r="166" spans="1:7" s="5" customFormat="1" x14ac:dyDescent="0.25">
      <c r="A166" s="37" t="s">
        <v>883</v>
      </c>
      <c r="B166" s="147"/>
      <c r="C166" s="120"/>
      <c r="D166" s="120"/>
      <c r="E166" s="925"/>
      <c r="F166" s="475"/>
      <c r="G166" s="410"/>
    </row>
    <row r="167" spans="1:7" s="5" customFormat="1" x14ac:dyDescent="0.25">
      <c r="A167" s="37" t="s">
        <v>801</v>
      </c>
      <c r="B167" s="147"/>
      <c r="C167" s="120"/>
      <c r="D167" s="120"/>
      <c r="E167" s="925"/>
      <c r="F167" s="475"/>
      <c r="G167" s="410"/>
    </row>
    <row r="168" spans="1:7" s="5" customFormat="1" x14ac:dyDescent="0.25">
      <c r="A168" s="37" t="s">
        <v>887</v>
      </c>
      <c r="B168" s="147"/>
      <c r="C168" s="120"/>
      <c r="D168" s="120"/>
      <c r="E168" s="925"/>
      <c r="F168" s="475"/>
      <c r="G168" s="410"/>
    </row>
    <row r="169" spans="1:7" s="5" customFormat="1" x14ac:dyDescent="0.25">
      <c r="A169" s="37" t="s">
        <v>888</v>
      </c>
      <c r="B169" s="147"/>
      <c r="C169" s="120"/>
      <c r="D169" s="120"/>
      <c r="E169" s="925"/>
      <c r="F169" s="475"/>
      <c r="G169" s="410"/>
    </row>
    <row r="170" spans="1:7" s="1" customFormat="1" ht="13.5" thickBot="1" x14ac:dyDescent="0.3">
      <c r="A170" s="40" t="s">
        <v>829</v>
      </c>
      <c r="B170" s="146"/>
      <c r="C170" s="82"/>
      <c r="D170" s="82"/>
      <c r="E170" s="319"/>
      <c r="F170" s="469"/>
    </row>
    <row r="171" spans="1:7" s="1" customFormat="1" x14ac:dyDescent="0.25">
      <c r="A171" s="41" t="s">
        <v>1029</v>
      </c>
      <c r="B171" s="12"/>
      <c r="C171" s="24"/>
      <c r="D171" s="24"/>
      <c r="E171" s="320"/>
      <c r="F171" s="469"/>
    </row>
    <row r="172" spans="1:7" s="1" customFormat="1" x14ac:dyDescent="0.25">
      <c r="A172" s="41" t="s">
        <v>830</v>
      </c>
      <c r="B172" s="12"/>
      <c r="C172" s="24"/>
      <c r="D172" s="24"/>
      <c r="E172" s="320"/>
      <c r="F172" s="469"/>
    </row>
    <row r="173" spans="1:7" s="1" customFormat="1" x14ac:dyDescent="0.25">
      <c r="A173" s="41" t="s">
        <v>1040</v>
      </c>
      <c r="B173" s="12"/>
      <c r="C173" s="24"/>
      <c r="D173" s="24"/>
      <c r="E173" s="320"/>
      <c r="F173" s="469"/>
    </row>
    <row r="174" spans="1:7" s="1" customFormat="1" ht="13.5" thickBot="1" x14ac:dyDescent="0.3">
      <c r="A174" s="76" t="s">
        <v>13</v>
      </c>
      <c r="B174" s="140"/>
      <c r="C174" s="377"/>
      <c r="D174" s="377"/>
      <c r="E174" s="378"/>
      <c r="F174" s="469"/>
    </row>
    <row r="175" spans="1:7" s="1" customFormat="1" ht="13.5" thickBot="1" x14ac:dyDescent="0.3">
      <c r="A175" s="762" t="s">
        <v>14</v>
      </c>
      <c r="B175" s="763"/>
      <c r="C175" s="764"/>
      <c r="D175" s="766"/>
      <c r="E175" s="772">
        <f>+C177+C203+C222+C232</f>
        <v>18573440</v>
      </c>
      <c r="F175" s="469"/>
      <c r="G175" s="14"/>
    </row>
    <row r="176" spans="1:7" ht="13.5" thickBot="1" x14ac:dyDescent="0.3">
      <c r="A176" s="75"/>
      <c r="E176" s="368"/>
      <c r="F176" s="368"/>
    </row>
    <row r="177" spans="1:9" ht="13.5" thickBot="1" x14ac:dyDescent="0.3">
      <c r="A177" s="1104" t="s">
        <v>2</v>
      </c>
      <c r="B177" s="1105"/>
      <c r="C177" s="667">
        <f>C178+C180+C182+C184+C198+C188+C190+C195</f>
        <v>2230110</v>
      </c>
      <c r="E177" s="206"/>
      <c r="F177" s="206"/>
    </row>
    <row r="178" spans="1:9" s="349" customFormat="1" x14ac:dyDescent="0.25">
      <c r="A178" s="11" t="s">
        <v>103</v>
      </c>
      <c r="B178" s="298" t="s">
        <v>104</v>
      </c>
      <c r="C178" s="32">
        <f>SUM(C179)</f>
        <v>97900</v>
      </c>
      <c r="D178" s="348"/>
      <c r="E178" s="348"/>
      <c r="F178" s="406"/>
    </row>
    <row r="179" spans="1:9" s="12" customFormat="1" ht="13.5" customHeight="1" x14ac:dyDescent="0.25">
      <c r="A179" s="12" t="s">
        <v>46</v>
      </c>
      <c r="B179" s="12" t="s">
        <v>45</v>
      </c>
      <c r="C179" s="24">
        <v>97900</v>
      </c>
      <c r="D179" s="403"/>
      <c r="E179" s="353"/>
      <c r="F179" s="474"/>
      <c r="G179" s="394"/>
    </row>
    <row r="180" spans="1:9" s="1" customFormat="1" x14ac:dyDescent="0.25">
      <c r="A180" s="11" t="s">
        <v>199</v>
      </c>
      <c r="B180" s="298" t="s">
        <v>219</v>
      </c>
      <c r="C180" s="31">
        <f>SUM(C181)</f>
        <v>113490</v>
      </c>
      <c r="D180" s="14"/>
      <c r="E180" s="405"/>
      <c r="F180" s="405"/>
    </row>
    <row r="181" spans="1:9" s="1" customFormat="1" x14ac:dyDescent="0.25">
      <c r="A181" s="12" t="s">
        <v>197</v>
      </c>
      <c r="B181" s="43" t="s">
        <v>196</v>
      </c>
      <c r="C181" s="24">
        <v>113490</v>
      </c>
      <c r="F181" s="375"/>
      <c r="G181" s="405"/>
      <c r="H181" s="469"/>
    </row>
    <row r="182" spans="1:9" s="12" customFormat="1" ht="13.5" customHeight="1" x14ac:dyDescent="0.25">
      <c r="A182" s="11" t="s">
        <v>105</v>
      </c>
      <c r="B182" s="11" t="s">
        <v>106</v>
      </c>
      <c r="C182" s="31">
        <f>SUM(C183)</f>
        <v>1300000</v>
      </c>
      <c r="F182" s="403"/>
      <c r="G182" s="353"/>
      <c r="H182" s="474"/>
      <c r="I182" s="394"/>
    </row>
    <row r="183" spans="1:9" s="5" customFormat="1" x14ac:dyDescent="0.25">
      <c r="A183" s="12" t="s">
        <v>86</v>
      </c>
      <c r="B183" s="72" t="s">
        <v>66</v>
      </c>
      <c r="C183" s="24">
        <v>1300000</v>
      </c>
      <c r="F183" s="403"/>
      <c r="G183" s="353"/>
      <c r="H183" s="475"/>
    </row>
    <row r="184" spans="1:9" s="12" customFormat="1" ht="13.5" customHeight="1" x14ac:dyDescent="0.25">
      <c r="A184" s="11" t="s">
        <v>107</v>
      </c>
      <c r="B184" s="265" t="s">
        <v>108</v>
      </c>
      <c r="C184" s="31">
        <f>SUM(C185:C187)</f>
        <v>184630</v>
      </c>
      <c r="F184" s="403"/>
      <c r="G184" s="353"/>
      <c r="H184" s="474"/>
      <c r="I184" s="394"/>
    </row>
    <row r="185" spans="1:9" s="5" customFormat="1" x14ac:dyDescent="0.25">
      <c r="A185" s="12" t="s">
        <v>47</v>
      </c>
      <c r="B185" s="23" t="s">
        <v>48</v>
      </c>
      <c r="C185" s="24">
        <v>105000</v>
      </c>
      <c r="F185" s="478"/>
      <c r="G185" s="353"/>
      <c r="H185" s="475"/>
      <c r="I185" s="410"/>
    </row>
    <row r="186" spans="1:9" s="5" customFormat="1" x14ac:dyDescent="0.25">
      <c r="A186" s="12" t="s">
        <v>460</v>
      </c>
      <c r="B186" s="43" t="s">
        <v>461</v>
      </c>
      <c r="C186" s="24">
        <v>52630</v>
      </c>
      <c r="F186" s="478"/>
      <c r="G186" s="353"/>
      <c r="H186" s="475"/>
      <c r="I186" s="410"/>
    </row>
    <row r="187" spans="1:9" s="5" customFormat="1" x14ac:dyDescent="0.25">
      <c r="A187" s="12" t="s">
        <v>462</v>
      </c>
      <c r="B187" s="43" t="s">
        <v>463</v>
      </c>
      <c r="C187" s="24">
        <v>27000</v>
      </c>
      <c r="F187" s="478"/>
      <c r="G187" s="353"/>
      <c r="H187" s="475"/>
      <c r="I187" s="410"/>
    </row>
    <row r="188" spans="1:9" s="52" customFormat="1" x14ac:dyDescent="0.3">
      <c r="A188" s="11" t="s">
        <v>195</v>
      </c>
      <c r="B188" s="556" t="s">
        <v>194</v>
      </c>
      <c r="C188" s="31">
        <f>SUM(C189)</f>
        <v>163740</v>
      </c>
      <c r="D188" s="62"/>
      <c r="E188" s="62"/>
      <c r="F188" s="244"/>
    </row>
    <row r="189" spans="1:9" s="52" customFormat="1" x14ac:dyDescent="0.3">
      <c r="A189" s="12" t="s">
        <v>193</v>
      </c>
      <c r="B189" s="8" t="s">
        <v>215</v>
      </c>
      <c r="C189" s="60">
        <v>163740</v>
      </c>
      <c r="D189" s="62"/>
      <c r="E189" s="62"/>
      <c r="F189" s="244"/>
    </row>
    <row r="190" spans="1:9" s="5" customFormat="1" x14ac:dyDescent="0.25">
      <c r="A190" s="11" t="s">
        <v>119</v>
      </c>
      <c r="B190" s="559" t="s">
        <v>191</v>
      </c>
      <c r="C190" s="31">
        <f>SUM(C191:C194)</f>
        <v>95000</v>
      </c>
      <c r="D190" s="404"/>
      <c r="E190" s="353"/>
      <c r="F190" s="353"/>
      <c r="G190" s="405"/>
      <c r="H190" s="147"/>
    </row>
    <row r="191" spans="1:9" s="5" customFormat="1" x14ac:dyDescent="0.25">
      <c r="A191" s="12" t="s">
        <v>150</v>
      </c>
      <c r="B191" s="43" t="s">
        <v>695</v>
      </c>
      <c r="C191" s="24">
        <v>18750</v>
      </c>
      <c r="D191" s="404"/>
      <c r="E191" s="353"/>
      <c r="F191" s="353"/>
      <c r="G191" s="405"/>
      <c r="H191" s="147"/>
    </row>
    <row r="192" spans="1:9" s="5" customFormat="1" x14ac:dyDescent="0.25">
      <c r="A192" s="12" t="s">
        <v>697</v>
      </c>
      <c r="B192" s="43" t="s">
        <v>696</v>
      </c>
      <c r="C192" s="24">
        <v>19000</v>
      </c>
      <c r="D192" s="404"/>
      <c r="E192" s="353"/>
      <c r="F192" s="353"/>
      <c r="G192" s="405"/>
      <c r="H192" s="147"/>
    </row>
    <row r="193" spans="1:10" s="66" customFormat="1" x14ac:dyDescent="0.3">
      <c r="A193" s="72" t="s">
        <v>816</v>
      </c>
      <c r="B193" s="24" t="s">
        <v>810</v>
      </c>
      <c r="C193" s="24">
        <v>40000</v>
      </c>
      <c r="D193" s="78"/>
      <c r="E193" s="25"/>
    </row>
    <row r="194" spans="1:10" s="66" customFormat="1" x14ac:dyDescent="0.3">
      <c r="A194" s="72" t="s">
        <v>811</v>
      </c>
      <c r="B194" s="24" t="s">
        <v>812</v>
      </c>
      <c r="C194" s="24">
        <v>17250</v>
      </c>
      <c r="D194" s="78"/>
      <c r="E194" s="25"/>
    </row>
    <row r="195" spans="1:10" s="5" customFormat="1" x14ac:dyDescent="0.25">
      <c r="A195" s="265" t="s">
        <v>124</v>
      </c>
      <c r="B195" s="25" t="s">
        <v>123</v>
      </c>
      <c r="C195" s="31">
        <f>SUM(C196:C197)</f>
        <v>70400</v>
      </c>
      <c r="D195" s="404"/>
      <c r="E195" s="353"/>
      <c r="F195" s="353"/>
      <c r="G195" s="405"/>
      <c r="H195" s="147"/>
    </row>
    <row r="196" spans="1:10" s="66" customFormat="1" x14ac:dyDescent="0.3">
      <c r="A196" s="12" t="s">
        <v>230</v>
      </c>
      <c r="B196" s="43" t="s">
        <v>229</v>
      </c>
      <c r="C196" s="24">
        <v>34400</v>
      </c>
      <c r="D196" s="57"/>
      <c r="E196" s="57"/>
    </row>
    <row r="197" spans="1:10" s="5" customFormat="1" x14ac:dyDescent="0.25">
      <c r="A197" s="72" t="s">
        <v>93</v>
      </c>
      <c r="B197" s="24" t="s">
        <v>72</v>
      </c>
      <c r="C197" s="24">
        <v>36000</v>
      </c>
      <c r="D197" s="353"/>
      <c r="E197" s="353"/>
      <c r="F197" s="353"/>
      <c r="G197" s="394"/>
      <c r="H197" s="147"/>
    </row>
    <row r="198" spans="1:10" s="5" customFormat="1" x14ac:dyDescent="0.25">
      <c r="A198" s="265" t="s">
        <v>151</v>
      </c>
      <c r="B198" s="25" t="s">
        <v>125</v>
      </c>
      <c r="C198" s="31">
        <f>SUM(C199:C201)</f>
        <v>204950</v>
      </c>
      <c r="F198" s="442"/>
      <c r="G198" s="352"/>
      <c r="H198" s="475"/>
      <c r="I198" s="410"/>
    </row>
    <row r="199" spans="1:10" s="5" customFormat="1" x14ac:dyDescent="0.25">
      <c r="A199" s="72" t="s">
        <v>153</v>
      </c>
      <c r="B199" s="24" t="s">
        <v>70</v>
      </c>
      <c r="C199" s="24">
        <v>36800</v>
      </c>
      <c r="F199" s="403"/>
      <c r="G199" s="353"/>
      <c r="H199" s="475"/>
      <c r="I199" s="410"/>
    </row>
    <row r="200" spans="1:10" s="5" customFormat="1" x14ac:dyDescent="0.25">
      <c r="A200" s="72" t="s">
        <v>155</v>
      </c>
      <c r="B200" s="23" t="s">
        <v>125</v>
      </c>
      <c r="C200" s="24">
        <v>68150</v>
      </c>
      <c r="F200" s="403"/>
      <c r="G200" s="353"/>
      <c r="H200" s="475"/>
      <c r="I200" s="410"/>
    </row>
    <row r="201" spans="1:10" s="265" customFormat="1" ht="13.5" customHeight="1" x14ac:dyDescent="0.25">
      <c r="A201" s="72" t="s">
        <v>699</v>
      </c>
      <c r="B201" s="43" t="s">
        <v>698</v>
      </c>
      <c r="C201" s="24">
        <v>100000</v>
      </c>
      <c r="D201" s="406"/>
      <c r="E201" s="353"/>
      <c r="F201" s="353"/>
      <c r="G201" s="405"/>
      <c r="H201" s="11"/>
    </row>
    <row r="202" spans="1:10" s="5" customFormat="1" ht="13.5" thickBot="1" x14ac:dyDescent="0.3">
      <c r="A202" s="72"/>
      <c r="B202" s="24"/>
      <c r="C202" s="23"/>
      <c r="F202" s="442"/>
      <c r="G202" s="352"/>
      <c r="H202" s="475"/>
      <c r="I202" s="410"/>
    </row>
    <row r="203" spans="1:10" ht="13.5" thickBot="1" x14ac:dyDescent="0.3">
      <c r="A203" s="1096" t="s">
        <v>3</v>
      </c>
      <c r="B203" s="1097"/>
      <c r="C203" s="668">
        <f>C204+C206+C208+C212+C215</f>
        <v>9335290</v>
      </c>
      <c r="F203" s="343"/>
      <c r="G203" s="18"/>
      <c r="H203" s="473"/>
    </row>
    <row r="204" spans="1:10" s="349" customFormat="1" x14ac:dyDescent="0.25">
      <c r="A204" s="265" t="s">
        <v>110</v>
      </c>
      <c r="B204" s="298" t="s">
        <v>111</v>
      </c>
      <c r="C204" s="32">
        <f>SUM(C205:C205)</f>
        <v>21000</v>
      </c>
      <c r="F204" s="348"/>
      <c r="G204" s="348"/>
      <c r="H204" s="406"/>
    </row>
    <row r="205" spans="1:10" s="72" customFormat="1" ht="13.5" customHeight="1" x14ac:dyDescent="0.25">
      <c r="A205" s="72" t="s">
        <v>52</v>
      </c>
      <c r="B205" s="24" t="s">
        <v>15</v>
      </c>
      <c r="C205" s="24">
        <v>21000</v>
      </c>
      <c r="F205" s="353"/>
      <c r="G205" s="352"/>
      <c r="H205" s="475"/>
      <c r="I205" s="361"/>
      <c r="J205" s="24"/>
    </row>
    <row r="206" spans="1:10" s="72" customFormat="1" ht="13.5" customHeight="1" x14ac:dyDescent="0.25">
      <c r="A206" s="11" t="s">
        <v>120</v>
      </c>
      <c r="B206" s="31" t="s">
        <v>121</v>
      </c>
      <c r="C206" s="31">
        <f>SUM(C207)</f>
        <v>20440</v>
      </c>
      <c r="F206" s="353"/>
      <c r="G206" s="352"/>
      <c r="H206" s="475"/>
      <c r="I206" s="361"/>
      <c r="J206" s="24"/>
    </row>
    <row r="207" spans="1:10" s="72" customFormat="1" ht="13.5" customHeight="1" x14ac:dyDescent="0.25">
      <c r="A207" s="12" t="s">
        <v>136</v>
      </c>
      <c r="B207" s="12" t="s">
        <v>71</v>
      </c>
      <c r="C207" s="24">
        <v>20440</v>
      </c>
      <c r="F207" s="353"/>
      <c r="G207" s="352"/>
      <c r="H207" s="475"/>
      <c r="I207" s="361"/>
      <c r="J207" s="24"/>
    </row>
    <row r="208" spans="1:10" s="72" customFormat="1" ht="13.5" customHeight="1" x14ac:dyDescent="0.25">
      <c r="A208" s="265" t="s">
        <v>112</v>
      </c>
      <c r="B208" s="31" t="s">
        <v>157</v>
      </c>
      <c r="C208" s="31">
        <f>SUM(C209:C211)</f>
        <v>7997020</v>
      </c>
      <c r="F208" s="353"/>
      <c r="G208" s="352"/>
      <c r="H208" s="475"/>
      <c r="I208" s="361"/>
      <c r="J208" s="24"/>
    </row>
    <row r="209" spans="1:12" s="72" customFormat="1" ht="13.5" customHeight="1" x14ac:dyDescent="0.25">
      <c r="A209" s="72" t="s">
        <v>138</v>
      </c>
      <c r="B209" s="59" t="s">
        <v>878</v>
      </c>
      <c r="C209" s="24">
        <v>7720</v>
      </c>
      <c r="F209" s="353"/>
      <c r="G209" s="352"/>
      <c r="H209" s="475"/>
      <c r="I209" s="361"/>
      <c r="J209" s="24"/>
    </row>
    <row r="210" spans="1:12" s="72" customFormat="1" ht="13.5" customHeight="1" x14ac:dyDescent="0.25">
      <c r="A210" s="72" t="s">
        <v>156</v>
      </c>
      <c r="B210" s="12" t="s">
        <v>87</v>
      </c>
      <c r="C210" s="24">
        <v>789300</v>
      </c>
      <c r="F210" s="477"/>
      <c r="G210" s="353"/>
      <c r="I210" s="361"/>
      <c r="J210" s="24"/>
    </row>
    <row r="211" spans="1:12" s="72" customFormat="1" ht="13.5" customHeight="1" x14ac:dyDescent="0.25">
      <c r="A211" s="72" t="s">
        <v>889</v>
      </c>
      <c r="B211" s="43" t="s">
        <v>877</v>
      </c>
      <c r="C211" s="24">
        <v>7200000</v>
      </c>
      <c r="F211" s="477"/>
      <c r="G211" s="353"/>
      <c r="I211" s="361"/>
      <c r="J211" s="24"/>
    </row>
    <row r="212" spans="1:12" s="72" customFormat="1" ht="13.5" customHeight="1" x14ac:dyDescent="0.25">
      <c r="A212" s="11" t="s">
        <v>113</v>
      </c>
      <c r="B212" s="11" t="s">
        <v>114</v>
      </c>
      <c r="C212" s="31">
        <f>SUM(C213:C214)</f>
        <v>21600</v>
      </c>
      <c r="F212" s="353"/>
      <c r="G212" s="477"/>
      <c r="H212" s="475"/>
      <c r="I212" s="361"/>
      <c r="J212" s="24"/>
    </row>
    <row r="213" spans="1:12" s="72" customFormat="1" ht="13.5" customHeight="1" x14ac:dyDescent="0.25">
      <c r="A213" s="12" t="s">
        <v>164</v>
      </c>
      <c r="B213" s="12" t="s">
        <v>74</v>
      </c>
      <c r="C213" s="24">
        <v>21600</v>
      </c>
      <c r="F213" s="353"/>
      <c r="G213" s="352"/>
      <c r="H213" s="474"/>
      <c r="I213" s="361"/>
      <c r="J213" s="12"/>
    </row>
    <row r="214" spans="1:12" s="72" customFormat="1" ht="13.5" hidden="1" customHeight="1" x14ac:dyDescent="0.25">
      <c r="A214" s="12" t="s">
        <v>519</v>
      </c>
      <c r="B214" s="43" t="s">
        <v>603</v>
      </c>
      <c r="C214" s="24">
        <v>0</v>
      </c>
      <c r="F214" s="353"/>
      <c r="G214" s="352"/>
      <c r="H214" s="474"/>
      <c r="I214" s="361"/>
      <c r="J214" s="12"/>
    </row>
    <row r="215" spans="1:12" s="72" customFormat="1" ht="13.5" customHeight="1" x14ac:dyDescent="0.25">
      <c r="A215" s="265" t="s">
        <v>115</v>
      </c>
      <c r="B215" s="31" t="s">
        <v>7</v>
      </c>
      <c r="C215" s="31">
        <f>SUM(C216:C220)</f>
        <v>1275230</v>
      </c>
      <c r="F215" s="353"/>
      <c r="G215" s="352"/>
      <c r="H215" s="474"/>
      <c r="I215" s="361"/>
      <c r="J215" s="12"/>
    </row>
    <row r="216" spans="1:12" s="72" customFormat="1" ht="13.5" customHeight="1" x14ac:dyDescent="0.25">
      <c r="A216" s="72" t="s">
        <v>89</v>
      </c>
      <c r="B216" s="24" t="s">
        <v>8</v>
      </c>
      <c r="C216" s="24">
        <v>630940</v>
      </c>
      <c r="F216" s="356"/>
      <c r="G216" s="357"/>
      <c r="I216" s="363"/>
    </row>
    <row r="217" spans="1:12" s="72" customFormat="1" ht="13.5" customHeight="1" x14ac:dyDescent="0.25">
      <c r="A217" s="72" t="s">
        <v>181</v>
      </c>
      <c r="B217" s="24" t="s">
        <v>50</v>
      </c>
      <c r="C217" s="24">
        <v>9740</v>
      </c>
      <c r="F217" s="353"/>
      <c r="G217" s="353"/>
      <c r="H217" s="475"/>
      <c r="I217" s="363"/>
    </row>
    <row r="218" spans="1:12" s="72" customFormat="1" ht="13.5" customHeight="1" x14ac:dyDescent="0.25">
      <c r="A218" s="72" t="s">
        <v>224</v>
      </c>
      <c r="B218" s="24" t="s">
        <v>223</v>
      </c>
      <c r="C218" s="24">
        <v>29250</v>
      </c>
      <c r="F218" s="477"/>
      <c r="G218" s="353"/>
      <c r="H218" s="475"/>
    </row>
    <row r="219" spans="1:12" s="72" customFormat="1" ht="13.5" customHeight="1" x14ac:dyDescent="0.25">
      <c r="A219" s="72" t="s">
        <v>222</v>
      </c>
      <c r="B219" s="12" t="s">
        <v>221</v>
      </c>
      <c r="C219" s="24">
        <v>105300</v>
      </c>
      <c r="F219" s="477"/>
      <c r="G219" s="353"/>
      <c r="H219" s="475"/>
      <c r="I219" s="363"/>
    </row>
    <row r="220" spans="1:12" s="72" customFormat="1" ht="13.5" customHeight="1" x14ac:dyDescent="0.25">
      <c r="A220" s="72" t="s">
        <v>90</v>
      </c>
      <c r="B220" s="24" t="s">
        <v>7</v>
      </c>
      <c r="C220" s="24">
        <v>500000</v>
      </c>
      <c r="F220" s="477"/>
      <c r="G220" s="352"/>
      <c r="H220" s="474"/>
      <c r="I220" s="361"/>
      <c r="J220" s="12"/>
      <c r="L220" s="23"/>
    </row>
    <row r="221" spans="1:12" s="72" customFormat="1" ht="13.5" customHeight="1" thickBot="1" x14ac:dyDescent="0.3">
      <c r="B221" s="24"/>
      <c r="C221" s="23"/>
      <c r="G221" s="353"/>
      <c r="H221" s="475"/>
      <c r="I221" s="363"/>
    </row>
    <row r="222" spans="1:12" ht="13.5" thickBot="1" x14ac:dyDescent="0.3">
      <c r="A222" s="1115" t="s">
        <v>5</v>
      </c>
      <c r="B222" s="1116"/>
      <c r="C222" s="669">
        <f>SUM(C223+C225)</f>
        <v>6861950</v>
      </c>
      <c r="F222" s="18"/>
      <c r="G222" s="18"/>
      <c r="H222" s="473"/>
    </row>
    <row r="223" spans="1:12" x14ac:dyDescent="0.25">
      <c r="A223" s="265" t="s">
        <v>126</v>
      </c>
      <c r="B223" s="298" t="s">
        <v>127</v>
      </c>
      <c r="C223" s="31">
        <f>C224</f>
        <v>112320</v>
      </c>
      <c r="F223" s="18"/>
      <c r="G223" s="18"/>
      <c r="H223" s="473"/>
    </row>
    <row r="224" spans="1:12" x14ac:dyDescent="0.25">
      <c r="A224" s="12" t="s">
        <v>593</v>
      </c>
      <c r="B224" s="43" t="s">
        <v>594</v>
      </c>
      <c r="C224" s="24">
        <v>112320</v>
      </c>
      <c r="F224" s="18"/>
      <c r="G224" s="18"/>
      <c r="H224" s="473"/>
    </row>
    <row r="225" spans="1:12" s="349" customFormat="1" x14ac:dyDescent="0.25">
      <c r="A225" s="265" t="s">
        <v>128</v>
      </c>
      <c r="B225" s="298" t="s">
        <v>129</v>
      </c>
      <c r="C225" s="32">
        <f>SUM(C226:C230)</f>
        <v>6749630</v>
      </c>
      <c r="F225" s="376"/>
      <c r="G225" s="348"/>
      <c r="H225" s="406"/>
    </row>
    <row r="226" spans="1:12" s="349" customFormat="1" x14ac:dyDescent="0.25">
      <c r="A226" s="72" t="s">
        <v>457</v>
      </c>
      <c r="B226" s="101" t="s">
        <v>521</v>
      </c>
      <c r="C226" s="22">
        <v>973300</v>
      </c>
      <c r="F226" s="376"/>
      <c r="G226" s="348"/>
      <c r="H226" s="406"/>
    </row>
    <row r="227" spans="1:12" x14ac:dyDescent="0.25">
      <c r="A227" s="72" t="s">
        <v>522</v>
      </c>
      <c r="B227" s="12" t="s">
        <v>523</v>
      </c>
      <c r="C227" s="24">
        <v>3192500</v>
      </c>
      <c r="F227" s="364"/>
      <c r="G227" s="14"/>
      <c r="H227" s="469"/>
      <c r="I227" s="1"/>
      <c r="J227" s="1"/>
      <c r="K227" s="1"/>
      <c r="L227" s="1"/>
    </row>
    <row r="228" spans="1:12" x14ac:dyDescent="0.25">
      <c r="A228" s="72" t="s">
        <v>238</v>
      </c>
      <c r="B228" s="43" t="s">
        <v>573</v>
      </c>
      <c r="C228" s="24">
        <v>219380</v>
      </c>
      <c r="F228" s="364"/>
      <c r="G228" s="14"/>
      <c r="H228" s="469"/>
      <c r="I228" s="1"/>
      <c r="J228" s="1"/>
      <c r="K228" s="1"/>
      <c r="L228" s="1"/>
    </row>
    <row r="229" spans="1:12" x14ac:dyDescent="0.25">
      <c r="A229" s="72" t="s">
        <v>240</v>
      </c>
      <c r="B229" s="12" t="s">
        <v>241</v>
      </c>
      <c r="C229" s="24">
        <f>2000000*1.17</f>
        <v>2340000</v>
      </c>
      <c r="F229" s="364"/>
      <c r="G229" s="14"/>
      <c r="H229" s="469"/>
      <c r="I229" s="1"/>
      <c r="J229" s="1"/>
      <c r="K229" s="1"/>
      <c r="L229" s="1"/>
    </row>
    <row r="230" spans="1:12" x14ac:dyDescent="0.25">
      <c r="A230" s="72" t="s">
        <v>144</v>
      </c>
      <c r="B230" s="72" t="s">
        <v>12</v>
      </c>
      <c r="C230" s="24">
        <v>24450</v>
      </c>
      <c r="F230" s="364"/>
      <c r="G230" s="14"/>
      <c r="H230" s="469"/>
      <c r="I230" s="1"/>
      <c r="J230" s="1"/>
      <c r="K230" s="1"/>
      <c r="L230" s="1"/>
    </row>
    <row r="231" spans="1:12" ht="13.5" thickBot="1" x14ac:dyDescent="0.3">
      <c r="A231" s="72"/>
      <c r="B231" s="72"/>
      <c r="C231" s="23"/>
      <c r="F231" s="16"/>
      <c r="G231" s="14"/>
      <c r="H231" s="469"/>
      <c r="I231" s="1"/>
      <c r="J231" s="1"/>
      <c r="K231" s="1"/>
      <c r="L231" s="1"/>
    </row>
    <row r="232" spans="1:12" ht="13.5" thickBot="1" x14ac:dyDescent="0.3">
      <c r="A232" s="1100" t="s">
        <v>4</v>
      </c>
      <c r="B232" s="1101"/>
      <c r="C232" s="725">
        <f>C233+C238</f>
        <v>146090</v>
      </c>
    </row>
    <row r="233" spans="1:12" s="349" customFormat="1" x14ac:dyDescent="0.25">
      <c r="A233" s="265" t="s">
        <v>116</v>
      </c>
      <c r="B233" s="298" t="s">
        <v>117</v>
      </c>
      <c r="C233" s="32">
        <f>SUM(C234:C237)</f>
        <v>135850</v>
      </c>
      <c r="D233" s="348"/>
      <c r="E233" s="348"/>
      <c r="F233" s="406"/>
    </row>
    <row r="234" spans="1:12" s="5" customFormat="1" x14ac:dyDescent="0.25">
      <c r="A234" s="72" t="s">
        <v>91</v>
      </c>
      <c r="B234" s="72" t="s">
        <v>139</v>
      </c>
      <c r="C234" s="24">
        <v>53640</v>
      </c>
      <c r="D234" s="352"/>
      <c r="E234" s="352"/>
      <c r="F234" s="475"/>
      <c r="G234" s="410"/>
    </row>
    <row r="235" spans="1:12" s="5" customFormat="1" x14ac:dyDescent="0.25">
      <c r="A235" s="72" t="s">
        <v>203</v>
      </c>
      <c r="B235" s="43" t="s">
        <v>612</v>
      </c>
      <c r="C235" s="24">
        <v>27600</v>
      </c>
      <c r="D235" s="352"/>
      <c r="E235" s="352"/>
      <c r="F235" s="475"/>
      <c r="G235" s="410"/>
    </row>
    <row r="236" spans="1:12" s="5" customFormat="1" x14ac:dyDescent="0.25">
      <c r="A236" s="72" t="s">
        <v>57</v>
      </c>
      <c r="B236" s="12" t="s">
        <v>58</v>
      </c>
      <c r="C236" s="24">
        <v>23360</v>
      </c>
      <c r="D236" s="352"/>
      <c r="E236" s="352"/>
      <c r="F236" s="475"/>
      <c r="G236" s="410"/>
    </row>
    <row r="237" spans="1:12" s="8" customFormat="1" ht="13.5" customHeight="1" x14ac:dyDescent="0.25">
      <c r="A237" s="72" t="s">
        <v>814</v>
      </c>
      <c r="B237" s="23" t="s">
        <v>815</v>
      </c>
      <c r="C237" s="24">
        <v>31250</v>
      </c>
      <c r="D237" s="78"/>
      <c r="E237" s="25"/>
      <c r="F237" s="99"/>
      <c r="G237" s="55"/>
      <c r="H237" s="43"/>
    </row>
    <row r="238" spans="1:12" s="5" customFormat="1" x14ac:dyDescent="0.25">
      <c r="A238" s="265" t="s">
        <v>166</v>
      </c>
      <c r="B238" s="25" t="s">
        <v>134</v>
      </c>
      <c r="C238" s="31">
        <f>SUM(C239)</f>
        <v>10240</v>
      </c>
      <c r="D238" s="352"/>
      <c r="E238" s="352"/>
      <c r="F238" s="475"/>
      <c r="G238" s="410"/>
    </row>
    <row r="239" spans="1:12" s="5" customFormat="1" x14ac:dyDescent="0.25">
      <c r="A239" s="72" t="s">
        <v>167</v>
      </c>
      <c r="B239" s="23" t="s">
        <v>51</v>
      </c>
      <c r="C239" s="24">
        <v>10240</v>
      </c>
      <c r="D239" s="352"/>
      <c r="E239" s="352"/>
      <c r="F239" s="475"/>
      <c r="G239" s="410"/>
    </row>
    <row r="240" spans="1:12" s="5" customFormat="1" x14ac:dyDescent="0.25">
      <c r="A240" s="72"/>
      <c r="B240" s="23"/>
      <c r="C240" s="24"/>
      <c r="D240" s="352"/>
      <c r="E240" s="352"/>
      <c r="F240" s="475"/>
      <c r="G240" s="410"/>
    </row>
    <row r="241" spans="1:7" s="5" customFormat="1" ht="13.5" thickBot="1" x14ac:dyDescent="0.3">
      <c r="A241" s="72"/>
      <c r="B241" s="23"/>
      <c r="C241" s="24"/>
      <c r="D241" s="352"/>
      <c r="E241" s="352"/>
      <c r="F241" s="475"/>
      <c r="G241" s="410"/>
    </row>
    <row r="242" spans="1:7" x14ac:dyDescent="0.25">
      <c r="A242" s="648" t="s">
        <v>832</v>
      </c>
      <c r="B242" s="649"/>
      <c r="C242" s="690"/>
      <c r="D242" s="692" t="s">
        <v>6</v>
      </c>
      <c r="E242" s="913" t="s">
        <v>831</v>
      </c>
    </row>
    <row r="243" spans="1:7" ht="13.5" thickBot="1" x14ac:dyDescent="0.3">
      <c r="A243" s="707"/>
      <c r="B243" s="740"/>
      <c r="C243" s="733"/>
      <c r="D243" s="734"/>
      <c r="E243" s="735"/>
    </row>
    <row r="244" spans="1:7" s="5" customFormat="1" x14ac:dyDescent="0.25">
      <c r="A244" s="1123" t="s">
        <v>890</v>
      </c>
      <c r="B244" s="1124"/>
      <c r="C244" s="1124"/>
      <c r="D244" s="1124"/>
      <c r="E244" s="1125"/>
      <c r="F244" s="475"/>
      <c r="G244" s="410"/>
    </row>
    <row r="245" spans="1:7" s="5" customFormat="1" x14ac:dyDescent="0.25">
      <c r="A245" s="1126"/>
      <c r="B245" s="1127"/>
      <c r="C245" s="1127"/>
      <c r="D245" s="1127"/>
      <c r="E245" s="1128"/>
      <c r="F245" s="475"/>
      <c r="G245" s="410"/>
    </row>
    <row r="246" spans="1:7" s="5" customFormat="1" x14ac:dyDescent="0.25">
      <c r="A246" s="1126"/>
      <c r="B246" s="1127"/>
      <c r="C246" s="1127"/>
      <c r="D246" s="1127"/>
      <c r="E246" s="1128"/>
      <c r="F246" s="475"/>
      <c r="G246" s="410"/>
    </row>
    <row r="247" spans="1:7" s="5" customFormat="1" ht="13.5" thickBot="1" x14ac:dyDescent="0.3">
      <c r="A247" s="1126"/>
      <c r="B247" s="1127"/>
      <c r="C247" s="1127"/>
      <c r="D247" s="1127"/>
      <c r="E247" s="1128"/>
      <c r="F247" s="475"/>
      <c r="G247" s="410"/>
    </row>
    <row r="248" spans="1:7" s="1" customFormat="1" x14ac:dyDescent="0.25">
      <c r="A248" s="119" t="s">
        <v>1029</v>
      </c>
      <c r="B248" s="174"/>
      <c r="C248" s="420"/>
      <c r="D248" s="420"/>
      <c r="E248" s="422"/>
      <c r="F248" s="469"/>
    </row>
    <row r="249" spans="1:7" s="1" customFormat="1" x14ac:dyDescent="0.25">
      <c r="A249" s="41" t="s">
        <v>632</v>
      </c>
      <c r="B249" s="12"/>
      <c r="C249" s="24"/>
      <c r="D249" s="24"/>
      <c r="E249" s="320"/>
      <c r="F249" s="469"/>
    </row>
    <row r="250" spans="1:7" s="1" customFormat="1" x14ac:dyDescent="0.25">
      <c r="A250" s="41" t="s">
        <v>1040</v>
      </c>
      <c r="B250" s="12"/>
      <c r="C250" s="24"/>
      <c r="D250" s="24"/>
      <c r="E250" s="320"/>
      <c r="F250" s="469"/>
    </row>
    <row r="251" spans="1:7" s="1" customFormat="1" ht="13.5" thickBot="1" x14ac:dyDescent="0.3">
      <c r="A251" s="76" t="s">
        <v>13</v>
      </c>
      <c r="B251" s="140"/>
      <c r="C251" s="377"/>
      <c r="D251" s="377"/>
      <c r="E251" s="378"/>
      <c r="F251" s="469"/>
    </row>
    <row r="252" spans="1:7" s="1" customFormat="1" ht="13.5" thickBot="1" x14ac:dyDescent="0.3">
      <c r="A252" s="762" t="s">
        <v>14</v>
      </c>
      <c r="B252" s="763"/>
      <c r="C252" s="764"/>
      <c r="D252" s="766"/>
      <c r="E252" s="772">
        <f>+C254+C284+C300</f>
        <v>3381315</v>
      </c>
      <c r="F252" s="469"/>
      <c r="G252" s="14"/>
    </row>
    <row r="253" spans="1:7" s="5" customFormat="1" ht="13.5" thickBot="1" x14ac:dyDescent="0.3">
      <c r="A253" s="75"/>
      <c r="B253" s="3"/>
      <c r="C253" s="18"/>
      <c r="D253" s="18"/>
      <c r="E253" s="18"/>
      <c r="F253" s="475"/>
      <c r="G253" s="410"/>
    </row>
    <row r="254" spans="1:7" s="5" customFormat="1" ht="13.5" thickBot="1" x14ac:dyDescent="0.3">
      <c r="A254" s="1104" t="s">
        <v>2</v>
      </c>
      <c r="B254" s="1105"/>
      <c r="C254" s="667">
        <f>C255+C257+C260+C262+C266+C269+C273+C278</f>
        <v>1314375</v>
      </c>
      <c r="D254" s="18"/>
      <c r="E254" s="18"/>
      <c r="F254" s="475"/>
      <c r="G254" s="410"/>
    </row>
    <row r="255" spans="1:7" s="5" customFormat="1" x14ac:dyDescent="0.25">
      <c r="A255" s="11" t="s">
        <v>103</v>
      </c>
      <c r="B255" s="298" t="s">
        <v>104</v>
      </c>
      <c r="C255" s="32">
        <f>SUM(C256)</f>
        <v>31250</v>
      </c>
      <c r="D255" s="348"/>
      <c r="E255" s="348"/>
      <c r="F255" s="475"/>
      <c r="G255" s="410"/>
    </row>
    <row r="256" spans="1:7" s="5" customFormat="1" x14ac:dyDescent="0.25">
      <c r="A256" s="12" t="s">
        <v>46</v>
      </c>
      <c r="B256" s="12" t="s">
        <v>45</v>
      </c>
      <c r="C256" s="24">
        <v>31250</v>
      </c>
      <c r="D256" s="403"/>
      <c r="E256" s="353"/>
      <c r="F256" s="475"/>
      <c r="G256" s="410"/>
    </row>
    <row r="257" spans="1:7" s="5" customFormat="1" x14ac:dyDescent="0.25">
      <c r="A257" s="11" t="s">
        <v>199</v>
      </c>
      <c r="B257" s="559" t="s">
        <v>198</v>
      </c>
      <c r="C257" s="31">
        <f>SUM(C258:C259)</f>
        <v>208000</v>
      </c>
      <c r="D257" s="403"/>
      <c r="E257" s="353"/>
      <c r="F257" s="475"/>
      <c r="G257" s="410"/>
    </row>
    <row r="258" spans="1:7" s="5" customFormat="1" x14ac:dyDescent="0.25">
      <c r="A258" s="12" t="s">
        <v>197</v>
      </c>
      <c r="B258" s="43" t="s">
        <v>196</v>
      </c>
      <c r="C258" s="24">
        <v>100000</v>
      </c>
      <c r="D258" s="403"/>
      <c r="E258" s="353"/>
      <c r="F258" s="475"/>
      <c r="G258" s="410"/>
    </row>
    <row r="259" spans="1:7" s="5" customFormat="1" x14ac:dyDescent="0.25">
      <c r="A259" s="12" t="s">
        <v>227</v>
      </c>
      <c r="B259" s="43" t="s">
        <v>226</v>
      </c>
      <c r="C259" s="24">
        <v>108000</v>
      </c>
      <c r="D259" s="403"/>
      <c r="E259" s="353"/>
      <c r="F259" s="475"/>
      <c r="G259" s="410"/>
    </row>
    <row r="260" spans="1:7" s="5" customFormat="1" x14ac:dyDescent="0.25">
      <c r="A260" s="11" t="s">
        <v>105</v>
      </c>
      <c r="B260" s="11" t="s">
        <v>106</v>
      </c>
      <c r="C260" s="31">
        <f>SUM(C261)</f>
        <v>140000</v>
      </c>
      <c r="D260" s="353"/>
      <c r="E260" s="12"/>
      <c r="F260" s="475"/>
      <c r="G260" s="410"/>
    </row>
    <row r="261" spans="1:7" s="5" customFormat="1" x14ac:dyDescent="0.25">
      <c r="A261" s="12" t="s">
        <v>86</v>
      </c>
      <c r="B261" s="72" t="s">
        <v>66</v>
      </c>
      <c r="C261" s="24">
        <v>140000</v>
      </c>
      <c r="D261" s="414"/>
      <c r="E261" s="147"/>
      <c r="F261" s="475"/>
      <c r="G261" s="410"/>
    </row>
    <row r="262" spans="1:7" s="5" customFormat="1" x14ac:dyDescent="0.3">
      <c r="A262" s="11" t="s">
        <v>107</v>
      </c>
      <c r="B262" s="265" t="s">
        <v>108</v>
      </c>
      <c r="C262" s="31">
        <f>SUM(C263:C265)</f>
        <v>145000</v>
      </c>
      <c r="D262" s="489"/>
      <c r="E262" s="484"/>
      <c r="F262" s="475"/>
      <c r="G262" s="410"/>
    </row>
    <row r="263" spans="1:7" s="5" customFormat="1" x14ac:dyDescent="0.3">
      <c r="A263" s="12" t="s">
        <v>47</v>
      </c>
      <c r="B263" s="23" t="s">
        <v>48</v>
      </c>
      <c r="C263" s="24">
        <v>45000</v>
      </c>
      <c r="D263" s="489"/>
      <c r="E263" s="484"/>
      <c r="F263" s="475"/>
      <c r="G263" s="410"/>
    </row>
    <row r="264" spans="1:7" s="5" customFormat="1" x14ac:dyDescent="0.3">
      <c r="A264" s="12" t="s">
        <v>460</v>
      </c>
      <c r="B264" s="23" t="s">
        <v>461</v>
      </c>
      <c r="C264" s="24">
        <v>65000</v>
      </c>
      <c r="D264" s="478"/>
      <c r="E264" s="484"/>
      <c r="F264" s="475"/>
      <c r="G264" s="410"/>
    </row>
    <row r="265" spans="1:7" s="5" customFormat="1" x14ac:dyDescent="0.3">
      <c r="A265" s="12" t="s">
        <v>462</v>
      </c>
      <c r="B265" s="43" t="s">
        <v>463</v>
      </c>
      <c r="C265" s="24">
        <v>35000</v>
      </c>
      <c r="D265" s="478"/>
      <c r="E265" s="484"/>
      <c r="F265" s="475"/>
      <c r="G265" s="410"/>
    </row>
    <row r="266" spans="1:7" s="5" customFormat="1" x14ac:dyDescent="0.3">
      <c r="A266" s="11" t="s">
        <v>195</v>
      </c>
      <c r="B266" s="559" t="s">
        <v>194</v>
      </c>
      <c r="C266" s="31">
        <f>SUM(C267:C268)</f>
        <v>32000</v>
      </c>
      <c r="D266" s="478"/>
      <c r="E266" s="484"/>
      <c r="F266" s="475"/>
      <c r="G266" s="410"/>
    </row>
    <row r="267" spans="1:7" s="5" customFormat="1" x14ac:dyDescent="0.3">
      <c r="A267" s="12" t="s">
        <v>193</v>
      </c>
      <c r="B267" s="43" t="s">
        <v>192</v>
      </c>
      <c r="C267" s="24">
        <v>17000</v>
      </c>
      <c r="D267" s="478"/>
      <c r="E267" s="484"/>
      <c r="F267" s="475"/>
      <c r="G267" s="410"/>
    </row>
    <row r="268" spans="1:7" s="5" customFormat="1" x14ac:dyDescent="0.3">
      <c r="A268" s="12" t="s">
        <v>214</v>
      </c>
      <c r="B268" s="43" t="s">
        <v>213</v>
      </c>
      <c r="C268" s="24">
        <v>15000</v>
      </c>
      <c r="D268" s="478"/>
      <c r="E268" s="484"/>
      <c r="F268" s="475"/>
      <c r="G268" s="410"/>
    </row>
    <row r="269" spans="1:7" s="5" customFormat="1" x14ac:dyDescent="0.25">
      <c r="A269" s="265" t="s">
        <v>119</v>
      </c>
      <c r="B269" s="25" t="s">
        <v>109</v>
      </c>
      <c r="C269" s="31">
        <f>SUM(C270:C272)</f>
        <v>362500</v>
      </c>
      <c r="D269" s="414"/>
      <c r="E269" s="147"/>
      <c r="F269" s="475"/>
      <c r="G269" s="410"/>
    </row>
    <row r="270" spans="1:7" s="5" customFormat="1" x14ac:dyDescent="0.25">
      <c r="A270" s="72" t="s">
        <v>150</v>
      </c>
      <c r="B270" s="24" t="s">
        <v>340</v>
      </c>
      <c r="C270" s="24">
        <v>12500</v>
      </c>
      <c r="E270" s="353"/>
      <c r="F270" s="475"/>
      <c r="G270" s="410"/>
    </row>
    <row r="271" spans="1:7" s="5" customFormat="1" x14ac:dyDescent="0.25">
      <c r="A271" s="72" t="s">
        <v>186</v>
      </c>
      <c r="B271" s="43" t="s">
        <v>599</v>
      </c>
      <c r="C271" s="24">
        <v>230000</v>
      </c>
      <c r="E271" s="353"/>
      <c r="F271" s="475"/>
      <c r="G271" s="410"/>
    </row>
    <row r="272" spans="1:7" s="5" customFormat="1" x14ac:dyDescent="0.25">
      <c r="A272" s="72" t="s">
        <v>600</v>
      </c>
      <c r="B272" s="43" t="s">
        <v>598</v>
      </c>
      <c r="C272" s="24">
        <v>120000</v>
      </c>
      <c r="E272" s="353"/>
      <c r="F272" s="475"/>
      <c r="G272" s="410"/>
    </row>
    <row r="273" spans="1:8" s="5" customFormat="1" x14ac:dyDescent="0.25">
      <c r="A273" s="265" t="s">
        <v>124</v>
      </c>
      <c r="B273" s="31" t="s">
        <v>123</v>
      </c>
      <c r="C273" s="31">
        <f>SUM(C274:C277)</f>
        <v>233125</v>
      </c>
      <c r="D273" s="403"/>
      <c r="E273" s="353"/>
      <c r="F273" s="475"/>
      <c r="G273" s="410"/>
    </row>
    <row r="274" spans="1:8" s="5" customFormat="1" x14ac:dyDescent="0.25">
      <c r="A274" s="72" t="s">
        <v>230</v>
      </c>
      <c r="B274" s="23" t="s">
        <v>229</v>
      </c>
      <c r="C274" s="24">
        <v>26875</v>
      </c>
      <c r="D274" s="22"/>
      <c r="E274" s="31"/>
      <c r="F274" s="475"/>
      <c r="G274" s="410"/>
    </row>
    <row r="275" spans="1:8" s="5" customFormat="1" x14ac:dyDescent="0.25">
      <c r="A275" s="12" t="s">
        <v>242</v>
      </c>
      <c r="B275" s="24" t="s">
        <v>243</v>
      </c>
      <c r="C275" s="24">
        <v>42500</v>
      </c>
      <c r="D275" s="79"/>
      <c r="E275" s="31"/>
      <c r="F275" s="475"/>
      <c r="G275" s="410"/>
    </row>
    <row r="276" spans="1:8" s="5" customFormat="1" x14ac:dyDescent="0.25">
      <c r="A276" s="12" t="s">
        <v>267</v>
      </c>
      <c r="B276" s="24" t="s">
        <v>268</v>
      </c>
      <c r="C276" s="24">
        <v>43750</v>
      </c>
      <c r="D276" s="79"/>
      <c r="E276" s="31"/>
      <c r="F276" s="475"/>
      <c r="G276" s="410"/>
    </row>
    <row r="277" spans="1:8" s="5" customFormat="1" x14ac:dyDescent="0.25">
      <c r="A277" s="72" t="s">
        <v>93</v>
      </c>
      <c r="B277" s="24" t="s">
        <v>72</v>
      </c>
      <c r="C277" s="24">
        <v>120000</v>
      </c>
      <c r="D277" s="352"/>
      <c r="E277" s="352"/>
      <c r="F277" s="475"/>
      <c r="G277" s="410"/>
    </row>
    <row r="278" spans="1:8" s="5" customFormat="1" x14ac:dyDescent="0.25">
      <c r="A278" s="265" t="s">
        <v>151</v>
      </c>
      <c r="B278" s="25" t="s">
        <v>125</v>
      </c>
      <c r="C278" s="31">
        <f>SUM(C279:C282)</f>
        <v>162500</v>
      </c>
      <c r="D278" s="352"/>
      <c r="E278" s="352"/>
      <c r="F278" s="475"/>
      <c r="G278" s="410"/>
    </row>
    <row r="279" spans="1:8" s="5" customFormat="1" x14ac:dyDescent="0.25">
      <c r="A279" s="72" t="s">
        <v>152</v>
      </c>
      <c r="B279" s="24" t="s">
        <v>65</v>
      </c>
      <c r="C279" s="24">
        <v>30000</v>
      </c>
      <c r="H279" s="3"/>
    </row>
    <row r="280" spans="1:8" s="5" customFormat="1" x14ac:dyDescent="0.25">
      <c r="A280" s="72" t="s">
        <v>153</v>
      </c>
      <c r="B280" s="24" t="s">
        <v>70</v>
      </c>
      <c r="C280" s="24">
        <v>17500</v>
      </c>
      <c r="D280" s="472"/>
      <c r="E280" s="353"/>
      <c r="F280" s="475"/>
      <c r="G280" s="410"/>
    </row>
    <row r="281" spans="1:8" s="5" customFormat="1" x14ac:dyDescent="0.25">
      <c r="A281" s="72" t="s">
        <v>155</v>
      </c>
      <c r="B281" s="23" t="s">
        <v>125</v>
      </c>
      <c r="C281" s="24">
        <v>50000</v>
      </c>
      <c r="E281" s="353"/>
      <c r="F281" s="475"/>
      <c r="G281" s="410"/>
    </row>
    <row r="282" spans="1:8" s="265" customFormat="1" ht="13.5" customHeight="1" x14ac:dyDescent="0.25">
      <c r="A282" s="72" t="s">
        <v>699</v>
      </c>
      <c r="B282" s="43" t="s">
        <v>698</v>
      </c>
      <c r="C282" s="24">
        <v>65000</v>
      </c>
      <c r="D282" s="406"/>
      <c r="E282" s="353"/>
      <c r="F282" s="353"/>
      <c r="G282" s="405"/>
      <c r="H282" s="11"/>
    </row>
    <row r="283" spans="1:8" s="5" customFormat="1" ht="13.5" thickBot="1" x14ac:dyDescent="0.3">
      <c r="A283" s="72"/>
      <c r="B283" s="24"/>
      <c r="C283" s="23"/>
      <c r="D283" s="352"/>
      <c r="E283" s="352"/>
      <c r="F283" s="475"/>
      <c r="G283" s="410"/>
    </row>
    <row r="284" spans="1:8" s="5" customFormat="1" ht="13.5" thickBot="1" x14ac:dyDescent="0.3">
      <c r="A284" s="1096" t="s">
        <v>3</v>
      </c>
      <c r="B284" s="1097"/>
      <c r="C284" s="668">
        <f>+C285+C291+C287+C293</f>
        <v>1948530</v>
      </c>
      <c r="D284" s="18"/>
      <c r="E284" s="18"/>
      <c r="F284" s="475"/>
      <c r="G284" s="410"/>
    </row>
    <row r="285" spans="1:8" s="5" customFormat="1" x14ac:dyDescent="0.25">
      <c r="A285" s="11" t="s">
        <v>120</v>
      </c>
      <c r="B285" s="31" t="s">
        <v>121</v>
      </c>
      <c r="C285" s="31">
        <f>SUM(C286:C286)</f>
        <v>24700</v>
      </c>
      <c r="D285" s="353"/>
      <c r="E285" s="352"/>
      <c r="F285" s="475"/>
      <c r="G285" s="410"/>
    </row>
    <row r="286" spans="1:8" s="5" customFormat="1" x14ac:dyDescent="0.25">
      <c r="A286" s="12" t="s">
        <v>136</v>
      </c>
      <c r="B286" s="12" t="s">
        <v>71</v>
      </c>
      <c r="C286" s="24">
        <v>24700</v>
      </c>
      <c r="D286" s="72"/>
      <c r="E286" s="352"/>
      <c r="F286" s="475"/>
      <c r="G286" s="410"/>
    </row>
    <row r="287" spans="1:8" s="5" customFormat="1" x14ac:dyDescent="0.25">
      <c r="A287" s="265" t="s">
        <v>112</v>
      </c>
      <c r="B287" s="31" t="s">
        <v>157</v>
      </c>
      <c r="C287" s="31">
        <f>SUM(C288:C290)</f>
        <v>1165370</v>
      </c>
      <c r="D287" s="72"/>
      <c r="E287" s="352"/>
      <c r="F287" s="475"/>
      <c r="G287" s="410"/>
    </row>
    <row r="288" spans="1:8" s="5" customFormat="1" x14ac:dyDescent="0.25">
      <c r="A288" s="72" t="s">
        <v>138</v>
      </c>
      <c r="B288" s="59" t="s">
        <v>878</v>
      </c>
      <c r="C288" s="24">
        <v>24000</v>
      </c>
      <c r="D288" s="72"/>
      <c r="E288" s="352"/>
      <c r="F288" s="475"/>
      <c r="G288" s="410"/>
    </row>
    <row r="289" spans="1:10" s="5" customFormat="1" x14ac:dyDescent="0.25">
      <c r="A289" s="72" t="s">
        <v>156</v>
      </c>
      <c r="B289" s="12" t="s">
        <v>87</v>
      </c>
      <c r="C289" s="24">
        <v>341370</v>
      </c>
      <c r="D289" s="72"/>
      <c r="E289" s="352"/>
      <c r="F289" s="475"/>
      <c r="G289" s="410"/>
    </row>
    <row r="290" spans="1:10" s="72" customFormat="1" ht="13.5" customHeight="1" x14ac:dyDescent="0.25">
      <c r="A290" s="72" t="s">
        <v>889</v>
      </c>
      <c r="B290" s="43" t="s">
        <v>877</v>
      </c>
      <c r="C290" s="24">
        <v>800000</v>
      </c>
      <c r="F290" s="477"/>
      <c r="G290" s="353"/>
      <c r="I290" s="361"/>
      <c r="J290" s="24"/>
    </row>
    <row r="291" spans="1:10" s="5" customFormat="1" x14ac:dyDescent="0.25">
      <c r="A291" s="11" t="s">
        <v>113</v>
      </c>
      <c r="B291" s="11" t="s">
        <v>114</v>
      </c>
      <c r="C291" s="31">
        <f>SUM(C292:C292)</f>
        <v>15560</v>
      </c>
      <c r="D291" s="72"/>
      <c r="E291" s="352"/>
      <c r="F291" s="475"/>
      <c r="G291" s="410"/>
    </row>
    <row r="292" spans="1:10" s="5" customFormat="1" x14ac:dyDescent="0.25">
      <c r="A292" s="12" t="s">
        <v>164</v>
      </c>
      <c r="B292" s="12" t="s">
        <v>74</v>
      </c>
      <c r="C292" s="24">
        <v>15560</v>
      </c>
      <c r="D292" s="72"/>
      <c r="E292" s="352"/>
      <c r="F292" s="475"/>
      <c r="G292" s="410"/>
    </row>
    <row r="293" spans="1:10" s="5" customFormat="1" x14ac:dyDescent="0.25">
      <c r="A293" s="265" t="s">
        <v>115</v>
      </c>
      <c r="B293" s="31" t="s">
        <v>8</v>
      </c>
      <c r="C293" s="31">
        <f>SUM(C294:C298)</f>
        <v>742900</v>
      </c>
      <c r="D293" s="72"/>
      <c r="E293" s="352"/>
      <c r="F293" s="475"/>
      <c r="G293" s="410"/>
    </row>
    <row r="294" spans="1:10" s="5" customFormat="1" x14ac:dyDescent="0.25">
      <c r="A294" s="72" t="s">
        <v>92</v>
      </c>
      <c r="B294" s="24" t="s">
        <v>8</v>
      </c>
      <c r="C294" s="24">
        <v>192000</v>
      </c>
      <c r="D294" s="72"/>
      <c r="E294" s="353"/>
      <c r="F294" s="475"/>
      <c r="G294" s="410"/>
    </row>
    <row r="295" spans="1:10" s="5" customFormat="1" x14ac:dyDescent="0.25">
      <c r="A295" s="72" t="s">
        <v>181</v>
      </c>
      <c r="B295" s="24" t="s">
        <v>50</v>
      </c>
      <c r="C295" s="24">
        <v>8400</v>
      </c>
      <c r="D295" s="11"/>
      <c r="E295" s="353"/>
      <c r="F295" s="475"/>
      <c r="G295" s="410"/>
    </row>
    <row r="296" spans="1:10" s="5" customFormat="1" x14ac:dyDescent="0.25">
      <c r="A296" s="70" t="s">
        <v>224</v>
      </c>
      <c r="B296" s="43" t="s">
        <v>223</v>
      </c>
      <c r="C296" s="60">
        <v>32500</v>
      </c>
      <c r="D296" s="11"/>
      <c r="E296" s="353"/>
      <c r="F296" s="475"/>
      <c r="G296" s="410"/>
    </row>
    <row r="297" spans="1:10" s="5" customFormat="1" x14ac:dyDescent="0.25">
      <c r="A297" s="72" t="s">
        <v>222</v>
      </c>
      <c r="B297" s="12" t="s">
        <v>221</v>
      </c>
      <c r="C297" s="24">
        <v>60000</v>
      </c>
      <c r="D297" s="72"/>
      <c r="E297" s="353"/>
      <c r="F297" s="475"/>
      <c r="G297" s="410"/>
    </row>
    <row r="298" spans="1:10" s="5" customFormat="1" x14ac:dyDescent="0.25">
      <c r="A298" s="72" t="s">
        <v>90</v>
      </c>
      <c r="B298" s="24" t="s">
        <v>7</v>
      </c>
      <c r="C298" s="24">
        <v>450000</v>
      </c>
      <c r="D298" s="72"/>
      <c r="E298" s="352"/>
      <c r="F298" s="475"/>
      <c r="G298" s="410"/>
    </row>
    <row r="299" spans="1:10" s="5" customFormat="1" ht="13.5" thickBot="1" x14ac:dyDescent="0.3">
      <c r="A299" s="72"/>
      <c r="B299" s="24"/>
      <c r="C299" s="23"/>
      <c r="D299" s="477"/>
      <c r="E299" s="353"/>
      <c r="F299" s="475"/>
      <c r="G299" s="410"/>
    </row>
    <row r="300" spans="1:10" s="5" customFormat="1" ht="13.5" thickBot="1" x14ac:dyDescent="0.3">
      <c r="A300" s="1100" t="s">
        <v>4</v>
      </c>
      <c r="B300" s="1101"/>
      <c r="C300" s="725">
        <f>+C301+C304+C308</f>
        <v>118410</v>
      </c>
      <c r="D300" s="18"/>
      <c r="E300" s="18"/>
      <c r="F300" s="475"/>
      <c r="G300" s="410"/>
    </row>
    <row r="301" spans="1:10" s="124" customFormat="1" ht="13.5" customHeight="1" x14ac:dyDescent="0.25">
      <c r="A301" s="262" t="s">
        <v>179</v>
      </c>
      <c r="B301" s="564" t="s">
        <v>178</v>
      </c>
      <c r="C301" s="32">
        <f>SUM(C302:C303)</f>
        <v>45000</v>
      </c>
      <c r="D301" s="293"/>
      <c r="E301" s="293"/>
      <c r="F301" s="101"/>
      <c r="H301" s="325"/>
      <c r="I301" s="308"/>
    </row>
    <row r="302" spans="1:10" s="128" customFormat="1" ht="13.5" customHeight="1" x14ac:dyDescent="0.25">
      <c r="A302" s="273" t="s">
        <v>175</v>
      </c>
      <c r="B302" s="273" t="s">
        <v>285</v>
      </c>
      <c r="C302" s="303">
        <v>22200</v>
      </c>
      <c r="D302" s="312"/>
      <c r="E302" s="274"/>
      <c r="F302" s="265"/>
      <c r="G302" s="122"/>
      <c r="H302" s="322"/>
      <c r="I302" s="276"/>
    </row>
    <row r="303" spans="1:10" s="128" customFormat="1" ht="13.5" customHeight="1" x14ac:dyDescent="0.25">
      <c r="A303" s="273" t="s">
        <v>298</v>
      </c>
      <c r="B303" s="273" t="s">
        <v>172</v>
      </c>
      <c r="C303" s="303">
        <v>22800</v>
      </c>
      <c r="D303" s="275"/>
      <c r="E303" s="274"/>
      <c r="F303" s="265"/>
      <c r="G303" s="122"/>
      <c r="H303" s="323"/>
      <c r="I303" s="276"/>
    </row>
    <row r="304" spans="1:10" s="5" customFormat="1" x14ac:dyDescent="0.25">
      <c r="A304" s="265" t="s">
        <v>116</v>
      </c>
      <c r="B304" s="298" t="s">
        <v>117</v>
      </c>
      <c r="C304" s="32">
        <f>SUM(C305:C307)</f>
        <v>68610</v>
      </c>
      <c r="D304" s="348"/>
      <c r="E304" s="348"/>
      <c r="F304" s="475"/>
      <c r="G304" s="410"/>
    </row>
    <row r="305" spans="1:8" s="5" customFormat="1" x14ac:dyDescent="0.25">
      <c r="A305" s="72" t="s">
        <v>91</v>
      </c>
      <c r="B305" s="72" t="s">
        <v>139</v>
      </c>
      <c r="C305" s="24">
        <v>26500</v>
      </c>
      <c r="D305" s="352"/>
      <c r="E305" s="352"/>
      <c r="F305" s="475"/>
      <c r="G305" s="410"/>
    </row>
    <row r="306" spans="1:8" s="5" customFormat="1" x14ac:dyDescent="0.25">
      <c r="A306" s="72" t="s">
        <v>57</v>
      </c>
      <c r="B306" s="12" t="s">
        <v>58</v>
      </c>
      <c r="C306" s="24">
        <v>23360</v>
      </c>
      <c r="D306" s="352"/>
      <c r="E306" s="352"/>
      <c r="F306" s="475"/>
      <c r="G306" s="410"/>
    </row>
    <row r="307" spans="1:8" s="8" customFormat="1" ht="13.5" customHeight="1" x14ac:dyDescent="0.25">
      <c r="A307" s="72" t="s">
        <v>814</v>
      </c>
      <c r="B307" s="23" t="s">
        <v>815</v>
      </c>
      <c r="C307" s="24">
        <v>18750</v>
      </c>
      <c r="D307" s="78"/>
      <c r="E307" s="25"/>
      <c r="F307" s="99"/>
      <c r="G307" s="55"/>
      <c r="H307" s="43"/>
    </row>
    <row r="308" spans="1:8" s="5" customFormat="1" x14ac:dyDescent="0.25">
      <c r="A308" s="265" t="s">
        <v>166</v>
      </c>
      <c r="B308" s="25" t="s">
        <v>134</v>
      </c>
      <c r="C308" s="31">
        <f>SUM(C309)</f>
        <v>4800</v>
      </c>
      <c r="D308" s="352"/>
      <c r="E308" s="352"/>
      <c r="F308" s="475"/>
      <c r="G308" s="410"/>
    </row>
    <row r="309" spans="1:8" x14ac:dyDescent="0.25">
      <c r="A309" s="72" t="s">
        <v>167</v>
      </c>
      <c r="B309" s="23" t="s">
        <v>51</v>
      </c>
      <c r="C309" s="24">
        <v>4800</v>
      </c>
      <c r="D309" s="352"/>
      <c r="E309" s="352"/>
    </row>
    <row r="310" spans="1:8" x14ac:dyDescent="0.25">
      <c r="A310" s="72"/>
      <c r="B310" s="23"/>
      <c r="C310" s="24"/>
      <c r="D310" s="352"/>
      <c r="E310" s="352"/>
    </row>
    <row r="311" spans="1:8" s="10" customFormat="1" ht="13.5" customHeight="1" thickBot="1" x14ac:dyDescent="0.3">
      <c r="A311" s="415"/>
      <c r="B311" s="415"/>
      <c r="C311" s="23"/>
      <c r="D311" s="416"/>
      <c r="E311" s="417"/>
      <c r="F311" s="416"/>
      <c r="G311" s="418"/>
    </row>
    <row r="312" spans="1:8" s="1" customFormat="1" ht="13.5" customHeight="1" x14ac:dyDescent="0.25">
      <c r="A312" s="648" t="s">
        <v>891</v>
      </c>
      <c r="B312" s="649"/>
      <c r="C312" s="690"/>
      <c r="D312" s="692" t="s">
        <v>6</v>
      </c>
      <c r="E312" s="911">
        <v>1704</v>
      </c>
      <c r="F312" s="419"/>
      <c r="G312" s="405"/>
    </row>
    <row r="313" spans="1:8" s="1" customFormat="1" ht="13.5" customHeight="1" thickBot="1" x14ac:dyDescent="0.3">
      <c r="A313" s="652"/>
      <c r="B313" s="653"/>
      <c r="C313" s="693"/>
      <c r="D313" s="695"/>
      <c r="E313" s="696"/>
      <c r="F313" s="419"/>
      <c r="G313" s="405"/>
    </row>
    <row r="314" spans="1:8" s="1" customFormat="1" ht="13.5" customHeight="1" x14ac:dyDescent="0.25">
      <c r="A314" s="1123" t="s">
        <v>892</v>
      </c>
      <c r="B314" s="1124"/>
      <c r="C314" s="1124"/>
      <c r="D314" s="1124"/>
      <c r="E314" s="1125"/>
    </row>
    <row r="315" spans="1:8" s="1" customFormat="1" ht="13.5" customHeight="1" x14ac:dyDescent="0.25">
      <c r="A315" s="1126"/>
      <c r="B315" s="1127"/>
      <c r="C315" s="1127"/>
      <c r="D315" s="1127"/>
      <c r="E315" s="1128"/>
    </row>
    <row r="316" spans="1:8" s="1" customFormat="1" ht="13.5" customHeight="1" x14ac:dyDescent="0.25">
      <c r="A316" s="1126"/>
      <c r="B316" s="1127"/>
      <c r="C316" s="1127"/>
      <c r="D316" s="1127"/>
      <c r="E316" s="1128"/>
    </row>
    <row r="317" spans="1:8" s="1" customFormat="1" ht="13.5" customHeight="1" x14ac:dyDescent="0.25">
      <c r="A317" s="1126"/>
      <c r="B317" s="1127"/>
      <c r="C317" s="1127"/>
      <c r="D317" s="1127"/>
      <c r="E317" s="1128"/>
    </row>
    <row r="318" spans="1:8" s="1" customFormat="1" ht="13.5" customHeight="1" x14ac:dyDescent="0.25">
      <c r="A318" s="1126"/>
      <c r="B318" s="1127"/>
      <c r="C318" s="1127"/>
      <c r="D318" s="1127"/>
      <c r="E318" s="1128"/>
    </row>
    <row r="319" spans="1:8" s="1" customFormat="1" ht="13.5" customHeight="1" thickBot="1" x14ac:dyDescent="0.3">
      <c r="A319" s="1126"/>
      <c r="B319" s="1127"/>
      <c r="C319" s="1127"/>
      <c r="D319" s="1127"/>
      <c r="E319" s="1128"/>
    </row>
    <row r="320" spans="1:8" s="12" customFormat="1" ht="13.5" customHeight="1" x14ac:dyDescent="0.25">
      <c r="A320" s="119" t="s">
        <v>1029</v>
      </c>
      <c r="B320" s="119"/>
      <c r="C320" s="420"/>
      <c r="D320" s="421"/>
      <c r="E320" s="422"/>
    </row>
    <row r="321" spans="1:8" s="12" customFormat="1" ht="13.5" customHeight="1" x14ac:dyDescent="0.25">
      <c r="A321" s="41" t="s">
        <v>687</v>
      </c>
      <c r="B321" s="41"/>
      <c r="C321" s="24"/>
      <c r="D321" s="22"/>
      <c r="E321" s="320"/>
    </row>
    <row r="322" spans="1:8" s="12" customFormat="1" ht="13.5" customHeight="1" x14ac:dyDescent="0.25">
      <c r="A322" s="41" t="s">
        <v>1040</v>
      </c>
      <c r="B322" s="41"/>
      <c r="C322" s="24"/>
      <c r="D322" s="22"/>
      <c r="E322" s="320"/>
    </row>
    <row r="323" spans="1:8" s="12" customFormat="1" ht="13.5" customHeight="1" thickBot="1" x14ac:dyDescent="0.3">
      <c r="A323" s="76" t="s">
        <v>11</v>
      </c>
      <c r="B323" s="76"/>
      <c r="C323" s="377"/>
      <c r="D323" s="396"/>
      <c r="E323" s="378"/>
    </row>
    <row r="324" spans="1:8" s="12" customFormat="1" ht="13.5" customHeight="1" thickBot="1" x14ac:dyDescent="0.3">
      <c r="A324" s="661" t="s">
        <v>0</v>
      </c>
      <c r="B324" s="661"/>
      <c r="C324" s="798"/>
      <c r="D324" s="755"/>
      <c r="E324" s="665">
        <f>+C326+C356+C375</f>
        <v>35472640</v>
      </c>
      <c r="F324" s="78"/>
    </row>
    <row r="325" spans="1:8" s="10" customFormat="1" ht="13.5" customHeight="1" thickBot="1" x14ac:dyDescent="0.3">
      <c r="A325" s="72"/>
      <c r="B325" s="72"/>
      <c r="C325" s="23"/>
      <c r="D325" s="22"/>
      <c r="F325" s="344"/>
      <c r="G325" s="418"/>
    </row>
    <row r="326" spans="1:8" s="265" customFormat="1" ht="13.5" customHeight="1" thickBot="1" x14ac:dyDescent="0.3">
      <c r="A326" s="1104" t="s">
        <v>2</v>
      </c>
      <c r="B326" s="1105"/>
      <c r="C326" s="667">
        <f>C327+C329+C332+C334+C346+C349+C340+C338</f>
        <v>10250970</v>
      </c>
      <c r="D326" s="357"/>
      <c r="F326" s="344"/>
    </row>
    <row r="327" spans="1:8" s="101" customFormat="1" ht="13.5" customHeight="1" x14ac:dyDescent="0.25">
      <c r="A327" s="11" t="s">
        <v>103</v>
      </c>
      <c r="B327" s="298" t="s">
        <v>104</v>
      </c>
      <c r="C327" s="32">
        <f>SUM(C328)</f>
        <v>7657900</v>
      </c>
      <c r="D327" s="357"/>
      <c r="F327" s="346"/>
      <c r="H327" s="12"/>
    </row>
    <row r="328" spans="1:8" s="12" customFormat="1" ht="13.5" customHeight="1" x14ac:dyDescent="0.25">
      <c r="A328" s="12" t="s">
        <v>46</v>
      </c>
      <c r="B328" s="12" t="s">
        <v>45</v>
      </c>
      <c r="C328" s="24">
        <v>7657900</v>
      </c>
      <c r="H328" s="5"/>
    </row>
    <row r="329" spans="1:8" s="12" customFormat="1" ht="13.5" customHeight="1" x14ac:dyDescent="0.25">
      <c r="A329" s="11" t="s">
        <v>199</v>
      </c>
      <c r="B329" s="11" t="s">
        <v>219</v>
      </c>
      <c r="C329" s="31">
        <f>SUM(C330:C331)</f>
        <v>81220</v>
      </c>
      <c r="H329" s="5"/>
    </row>
    <row r="330" spans="1:8" s="12" customFormat="1" ht="13.5" customHeight="1" x14ac:dyDescent="0.25">
      <c r="A330" s="12" t="s">
        <v>197</v>
      </c>
      <c r="B330" s="12" t="s">
        <v>459</v>
      </c>
      <c r="C330" s="24">
        <v>39100</v>
      </c>
      <c r="H330" s="5"/>
    </row>
    <row r="331" spans="1:8" s="12" customFormat="1" ht="13.5" customHeight="1" x14ac:dyDescent="0.25">
      <c r="A331" s="12" t="s">
        <v>227</v>
      </c>
      <c r="B331" s="70" t="s">
        <v>226</v>
      </c>
      <c r="C331" s="24">
        <v>42120</v>
      </c>
      <c r="H331" s="5"/>
    </row>
    <row r="332" spans="1:8" s="12" customFormat="1" ht="13.5" customHeight="1" x14ac:dyDescent="0.25">
      <c r="A332" s="11" t="s">
        <v>105</v>
      </c>
      <c r="B332" s="11" t="s">
        <v>106</v>
      </c>
      <c r="C332" s="31">
        <f>SUM(C333)</f>
        <v>24000</v>
      </c>
      <c r="H332" s="5"/>
    </row>
    <row r="333" spans="1:8" x14ac:dyDescent="0.25">
      <c r="A333" s="12" t="s">
        <v>86</v>
      </c>
      <c r="B333" s="72" t="s">
        <v>66</v>
      </c>
      <c r="C333" s="24">
        <v>24000</v>
      </c>
      <c r="D333" s="3"/>
      <c r="E333" s="3"/>
      <c r="F333" s="3"/>
    </row>
    <row r="334" spans="1:8" x14ac:dyDescent="0.25">
      <c r="A334" s="11" t="s">
        <v>107</v>
      </c>
      <c r="B334" s="265" t="s">
        <v>108</v>
      </c>
      <c r="C334" s="31">
        <f>SUM(C335:C337)</f>
        <v>465980</v>
      </c>
      <c r="D334" s="3"/>
      <c r="E334" s="3"/>
      <c r="F334" s="3"/>
    </row>
    <row r="335" spans="1:8" s="5" customFormat="1" x14ac:dyDescent="0.3">
      <c r="A335" s="12" t="s">
        <v>47</v>
      </c>
      <c r="B335" s="23" t="s">
        <v>48</v>
      </c>
      <c r="C335" s="24">
        <v>105630</v>
      </c>
      <c r="D335" s="489"/>
      <c r="E335" s="484"/>
      <c r="F335" s="475"/>
      <c r="G335" s="410"/>
    </row>
    <row r="336" spans="1:8" x14ac:dyDescent="0.25">
      <c r="A336" s="12" t="s">
        <v>460</v>
      </c>
      <c r="B336" s="23" t="s">
        <v>461</v>
      </c>
      <c r="C336" s="24">
        <v>328200</v>
      </c>
      <c r="D336" s="3"/>
      <c r="E336" s="3"/>
      <c r="F336" s="3"/>
      <c r="H336" s="5"/>
    </row>
    <row r="337" spans="1:9" s="5" customFormat="1" x14ac:dyDescent="0.25">
      <c r="A337" s="72" t="s">
        <v>462</v>
      </c>
      <c r="B337" s="72" t="s">
        <v>463</v>
      </c>
      <c r="C337" s="24">
        <v>32150</v>
      </c>
      <c r="E337" s="353"/>
      <c r="F337" s="353"/>
      <c r="G337" s="410"/>
      <c r="I337" s="423"/>
    </row>
    <row r="338" spans="1:9" s="306" customFormat="1" ht="13.5" customHeight="1" x14ac:dyDescent="0.25">
      <c r="A338" s="11" t="s">
        <v>748</v>
      </c>
      <c r="B338" s="31" t="s">
        <v>194</v>
      </c>
      <c r="C338" s="31">
        <f>SUM(C339:C339)</f>
        <v>108900</v>
      </c>
      <c r="D338" s="302"/>
      <c r="E338" s="300"/>
      <c r="F338" s="25"/>
      <c r="I338" s="307"/>
    </row>
    <row r="339" spans="1:9" s="306" customFormat="1" ht="13.5" customHeight="1" x14ac:dyDescent="0.25">
      <c r="A339" s="12" t="s">
        <v>261</v>
      </c>
      <c r="B339" s="24" t="s">
        <v>262</v>
      </c>
      <c r="C339" s="24">
        <v>108900</v>
      </c>
      <c r="D339" s="302"/>
      <c r="E339" s="300"/>
      <c r="F339" s="25"/>
      <c r="I339" s="307"/>
    </row>
    <row r="340" spans="1:9" s="5" customFormat="1" x14ac:dyDescent="0.25">
      <c r="A340" s="11" t="s">
        <v>119</v>
      </c>
      <c r="B340" s="559" t="s">
        <v>191</v>
      </c>
      <c r="C340" s="31">
        <f>SUM(C341:C345)</f>
        <v>222170</v>
      </c>
      <c r="D340" s="404"/>
      <c r="E340" s="353"/>
      <c r="F340" s="353"/>
      <c r="G340" s="405"/>
      <c r="H340" s="147"/>
    </row>
    <row r="341" spans="1:9" s="5" customFormat="1" x14ac:dyDescent="0.25">
      <c r="A341" s="12" t="s">
        <v>150</v>
      </c>
      <c r="B341" s="43" t="s">
        <v>695</v>
      </c>
      <c r="C341" s="24">
        <v>18000</v>
      </c>
      <c r="D341" s="404"/>
      <c r="E341" s="353"/>
      <c r="F341" s="353"/>
      <c r="G341" s="405"/>
      <c r="H341" s="147"/>
    </row>
    <row r="342" spans="1:9" s="5" customFormat="1" x14ac:dyDescent="0.25">
      <c r="A342" s="12" t="s">
        <v>697</v>
      </c>
      <c r="B342" s="43" t="s">
        <v>696</v>
      </c>
      <c r="C342" s="24">
        <v>34800</v>
      </c>
      <c r="D342" s="404"/>
      <c r="E342" s="353"/>
      <c r="F342" s="353"/>
      <c r="G342" s="405"/>
      <c r="H342" s="147"/>
    </row>
    <row r="343" spans="1:9" s="66" customFormat="1" x14ac:dyDescent="0.3">
      <c r="A343" s="72" t="s">
        <v>816</v>
      </c>
      <c r="B343" s="24" t="s">
        <v>810</v>
      </c>
      <c r="C343" s="24">
        <v>66250</v>
      </c>
      <c r="D343" s="78"/>
      <c r="E343" s="25"/>
    </row>
    <row r="344" spans="1:9" s="66" customFormat="1" x14ac:dyDescent="0.3">
      <c r="A344" s="72" t="s">
        <v>820</v>
      </c>
      <c r="B344" s="24" t="s">
        <v>821</v>
      </c>
      <c r="C344" s="24">
        <v>73120</v>
      </c>
      <c r="D344" s="78"/>
      <c r="E344" s="25"/>
    </row>
    <row r="345" spans="1:9" s="66" customFormat="1" x14ac:dyDescent="0.3">
      <c r="A345" s="72" t="s">
        <v>811</v>
      </c>
      <c r="B345" s="24" t="s">
        <v>812</v>
      </c>
      <c r="C345" s="24">
        <v>30000</v>
      </c>
      <c r="D345" s="78"/>
      <c r="E345" s="25"/>
    </row>
    <row r="346" spans="1:9" x14ac:dyDescent="0.25">
      <c r="A346" s="265" t="s">
        <v>124</v>
      </c>
      <c r="B346" s="25" t="s">
        <v>123</v>
      </c>
      <c r="C346" s="31">
        <f>SUM(C347:C348)</f>
        <v>133750</v>
      </c>
      <c r="D346" s="3"/>
      <c r="E346" s="3"/>
      <c r="F346" s="3"/>
      <c r="H346" s="5"/>
    </row>
    <row r="347" spans="1:9" s="66" customFormat="1" x14ac:dyDescent="0.3">
      <c r="A347" s="12" t="s">
        <v>230</v>
      </c>
      <c r="B347" s="43" t="s">
        <v>229</v>
      </c>
      <c r="C347" s="24">
        <v>85000</v>
      </c>
      <c r="D347" s="57"/>
      <c r="E347" s="57"/>
    </row>
    <row r="348" spans="1:9" s="5" customFormat="1" x14ac:dyDescent="0.25">
      <c r="A348" s="72" t="s">
        <v>93</v>
      </c>
      <c r="B348" s="24" t="s">
        <v>72</v>
      </c>
      <c r="C348" s="24">
        <v>48750</v>
      </c>
      <c r="H348" s="72"/>
    </row>
    <row r="349" spans="1:9" s="5" customFormat="1" x14ac:dyDescent="0.25">
      <c r="A349" s="265" t="s">
        <v>151</v>
      </c>
      <c r="B349" s="25" t="s">
        <v>125</v>
      </c>
      <c r="C349" s="31">
        <f>SUM(C350:C354)</f>
        <v>1557050</v>
      </c>
      <c r="H349" s="72"/>
    </row>
    <row r="350" spans="1:9" s="5" customFormat="1" x14ac:dyDescent="0.25">
      <c r="A350" s="72" t="s">
        <v>152</v>
      </c>
      <c r="B350" s="24" t="s">
        <v>65</v>
      </c>
      <c r="C350" s="24">
        <v>1070600</v>
      </c>
      <c r="H350" s="3"/>
    </row>
    <row r="351" spans="1:9" s="5" customFormat="1" x14ac:dyDescent="0.25">
      <c r="A351" s="72" t="s">
        <v>244</v>
      </c>
      <c r="B351" s="24" t="s">
        <v>245</v>
      </c>
      <c r="C351" s="24">
        <v>297000</v>
      </c>
      <c r="H351" s="265"/>
    </row>
    <row r="352" spans="1:9" s="5" customFormat="1" x14ac:dyDescent="0.25">
      <c r="A352" s="72" t="s">
        <v>153</v>
      </c>
      <c r="B352" s="24" t="s">
        <v>70</v>
      </c>
      <c r="C352" s="24">
        <v>11700</v>
      </c>
      <c r="H352" s="72"/>
    </row>
    <row r="353" spans="1:256" x14ac:dyDescent="0.25">
      <c r="A353" s="72" t="s">
        <v>155</v>
      </c>
      <c r="B353" s="23" t="s">
        <v>125</v>
      </c>
      <c r="C353" s="24">
        <v>65550</v>
      </c>
      <c r="D353" s="3"/>
      <c r="E353" s="3"/>
      <c r="F353" s="3"/>
      <c r="H353" s="72"/>
    </row>
    <row r="354" spans="1:256" s="265" customFormat="1" ht="13.5" customHeight="1" x14ac:dyDescent="0.25">
      <c r="A354" s="72" t="s">
        <v>699</v>
      </c>
      <c r="B354" s="43" t="s">
        <v>698</v>
      </c>
      <c r="C354" s="24">
        <v>112200</v>
      </c>
      <c r="D354" s="406"/>
      <c r="E354" s="353"/>
      <c r="F354" s="353"/>
      <c r="G354" s="405"/>
      <c r="H354" s="11"/>
    </row>
    <row r="355" spans="1:256" s="5" customFormat="1" ht="13.5" thickBot="1" x14ac:dyDescent="0.3">
      <c r="A355" s="72"/>
      <c r="B355" s="24"/>
      <c r="C355" s="24"/>
      <c r="H355" s="72"/>
    </row>
    <row r="356" spans="1:256" s="265" customFormat="1" ht="13.5" customHeight="1" thickBot="1" x14ac:dyDescent="0.3">
      <c r="A356" s="1096" t="s">
        <v>3</v>
      </c>
      <c r="B356" s="1097"/>
      <c r="C356" s="668">
        <f>C357+C360+C364+C367+C369</f>
        <v>24831990</v>
      </c>
      <c r="H356" s="72"/>
    </row>
    <row r="357" spans="1:256" s="101" customFormat="1" ht="13.5" customHeight="1" x14ac:dyDescent="0.25">
      <c r="A357" s="265" t="s">
        <v>110</v>
      </c>
      <c r="B357" s="298" t="s">
        <v>111</v>
      </c>
      <c r="C357" s="32">
        <f>SUM(C358:C359)</f>
        <v>101340</v>
      </c>
    </row>
    <row r="358" spans="1:256" s="72" customFormat="1" ht="13.5" customHeight="1" x14ac:dyDescent="0.25">
      <c r="A358" s="72" t="s">
        <v>269</v>
      </c>
      <c r="B358" s="24" t="s">
        <v>270</v>
      </c>
      <c r="C358" s="24">
        <v>86000</v>
      </c>
      <c r="F358" s="356"/>
      <c r="G358" s="472"/>
      <c r="H358" s="24"/>
    </row>
    <row r="359" spans="1:256" s="72" customFormat="1" ht="13.5" customHeight="1" x14ac:dyDescent="0.25">
      <c r="A359" s="72" t="s">
        <v>52</v>
      </c>
      <c r="B359" s="24" t="s">
        <v>15</v>
      </c>
      <c r="C359" s="24">
        <v>15340</v>
      </c>
      <c r="D359" s="361"/>
    </row>
    <row r="360" spans="1:256" s="72" customFormat="1" ht="13.5" customHeight="1" x14ac:dyDescent="0.25">
      <c r="A360" s="11" t="s">
        <v>120</v>
      </c>
      <c r="B360" s="31" t="s">
        <v>121</v>
      </c>
      <c r="C360" s="31">
        <f>SUM(C361:C363)</f>
        <v>391180</v>
      </c>
      <c r="D360" s="361"/>
    </row>
    <row r="361" spans="1:256" s="72" customFormat="1" ht="13.5" customHeight="1" x14ac:dyDescent="0.25">
      <c r="A361" s="12" t="s">
        <v>246</v>
      </c>
      <c r="B361" s="43" t="s">
        <v>247</v>
      </c>
      <c r="C361" s="24">
        <v>210300</v>
      </c>
      <c r="D361" s="361"/>
    </row>
    <row r="362" spans="1:256" s="66" customFormat="1" ht="13.5" customHeight="1" x14ac:dyDescent="0.3">
      <c r="A362" s="59" t="s">
        <v>140</v>
      </c>
      <c r="B362" s="43" t="s">
        <v>141</v>
      </c>
      <c r="C362" s="60">
        <v>100000</v>
      </c>
      <c r="G362" s="60"/>
      <c r="H362" s="57"/>
      <c r="I362" s="57"/>
    </row>
    <row r="363" spans="1:256" s="72" customFormat="1" ht="13.5" customHeight="1" x14ac:dyDescent="0.25">
      <c r="A363" s="12" t="s">
        <v>136</v>
      </c>
      <c r="B363" s="12" t="s">
        <v>71</v>
      </c>
      <c r="C363" s="24">
        <v>80880</v>
      </c>
      <c r="D363" s="353"/>
    </row>
    <row r="364" spans="1:256" s="72" customFormat="1" ht="13.5" customHeight="1" x14ac:dyDescent="0.25">
      <c r="A364" s="265" t="s">
        <v>112</v>
      </c>
      <c r="B364" s="31" t="s">
        <v>157</v>
      </c>
      <c r="C364" s="31">
        <f>SUM(C365:C366)</f>
        <v>13135800</v>
      </c>
      <c r="D364" s="353"/>
    </row>
    <row r="365" spans="1:256" s="72" customFormat="1" ht="13.5" customHeight="1" x14ac:dyDescent="0.25">
      <c r="A365" s="72" t="s">
        <v>138</v>
      </c>
      <c r="B365" s="12" t="s">
        <v>137</v>
      </c>
      <c r="C365" s="24">
        <v>16700</v>
      </c>
      <c r="D365" s="353"/>
      <c r="E365" s="12"/>
    </row>
    <row r="366" spans="1:256" s="72" customFormat="1" ht="13.5" customHeight="1" x14ac:dyDescent="0.25">
      <c r="A366" s="72" t="s">
        <v>49</v>
      </c>
      <c r="B366" s="24" t="s">
        <v>87</v>
      </c>
      <c r="C366" s="24">
        <v>13119100</v>
      </c>
      <c r="H366" s="358"/>
      <c r="I366" s="353"/>
      <c r="J366" s="120"/>
      <c r="K366" s="407"/>
    </row>
    <row r="367" spans="1:256" s="72" customFormat="1" ht="13.5" customHeight="1" x14ac:dyDescent="0.25">
      <c r="A367" s="11" t="s">
        <v>113</v>
      </c>
      <c r="B367" s="31" t="s">
        <v>114</v>
      </c>
      <c r="C367" s="31">
        <f>SUM(C368:C368)</f>
        <v>595000</v>
      </c>
      <c r="H367" s="353"/>
      <c r="I367" s="12"/>
    </row>
    <row r="368" spans="1:256" s="72" customFormat="1" ht="13.5" customHeight="1" x14ac:dyDescent="0.25">
      <c r="A368" s="12" t="s">
        <v>164</v>
      </c>
      <c r="B368" s="12" t="s">
        <v>74</v>
      </c>
      <c r="C368" s="24">
        <v>595000</v>
      </c>
      <c r="H368" s="424"/>
      <c r="I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7"/>
      <c r="AY368" s="147"/>
      <c r="AZ368" s="147"/>
      <c r="BA368" s="147"/>
      <c r="BB368" s="147"/>
      <c r="BC368" s="147"/>
      <c r="BD368" s="147"/>
      <c r="BE368" s="147"/>
      <c r="BF368" s="147"/>
      <c r="BG368" s="147"/>
      <c r="BH368" s="147"/>
      <c r="BI368" s="147"/>
      <c r="BJ368" s="147"/>
      <c r="BK368" s="147"/>
      <c r="BL368" s="147"/>
      <c r="BM368" s="147"/>
      <c r="BN368" s="147"/>
      <c r="BO368" s="147"/>
      <c r="BP368" s="147"/>
      <c r="BQ368" s="147"/>
      <c r="BR368" s="147"/>
      <c r="BS368" s="147"/>
      <c r="BT368" s="147"/>
      <c r="BU368" s="147"/>
      <c r="BV368" s="147"/>
      <c r="BW368" s="147"/>
      <c r="BX368" s="147"/>
      <c r="BY368" s="147"/>
      <c r="BZ368" s="147"/>
      <c r="CA368" s="147"/>
      <c r="CB368" s="147"/>
      <c r="CC368" s="147"/>
      <c r="CD368" s="147"/>
      <c r="CE368" s="147"/>
      <c r="CF368" s="147"/>
      <c r="CG368" s="147"/>
      <c r="CH368" s="147"/>
      <c r="CI368" s="147"/>
      <c r="CJ368" s="147"/>
      <c r="CK368" s="147"/>
      <c r="CL368" s="147"/>
      <c r="CM368" s="147"/>
      <c r="CN368" s="147"/>
      <c r="CO368" s="147"/>
      <c r="CP368" s="147"/>
      <c r="CQ368" s="147"/>
      <c r="CR368" s="147"/>
      <c r="CS368" s="147"/>
      <c r="CT368" s="147"/>
      <c r="CU368" s="147"/>
      <c r="CV368" s="147"/>
      <c r="CW368" s="147"/>
      <c r="CX368" s="147"/>
      <c r="CY368" s="147"/>
      <c r="CZ368" s="147"/>
      <c r="DA368" s="147"/>
      <c r="DB368" s="147"/>
      <c r="DC368" s="147"/>
      <c r="DD368" s="147"/>
      <c r="DE368" s="147"/>
      <c r="DF368" s="147"/>
      <c r="DG368" s="147"/>
      <c r="DH368" s="147"/>
      <c r="DI368" s="147"/>
      <c r="DJ368" s="147"/>
      <c r="DK368" s="147"/>
      <c r="DL368" s="147"/>
      <c r="DM368" s="147"/>
      <c r="DN368" s="147"/>
      <c r="DO368" s="147"/>
      <c r="DP368" s="147"/>
      <c r="DQ368" s="147"/>
      <c r="DR368" s="147"/>
      <c r="DS368" s="147"/>
      <c r="DT368" s="147"/>
      <c r="DU368" s="147"/>
      <c r="DV368" s="147"/>
      <c r="DW368" s="147"/>
      <c r="DX368" s="147"/>
      <c r="DY368" s="147"/>
      <c r="DZ368" s="147"/>
      <c r="EA368" s="147"/>
      <c r="EB368" s="147"/>
      <c r="EC368" s="147"/>
      <c r="ED368" s="147"/>
      <c r="EE368" s="147"/>
      <c r="EF368" s="147"/>
      <c r="EG368" s="147"/>
      <c r="EH368" s="147"/>
      <c r="EI368" s="147"/>
      <c r="EJ368" s="147"/>
      <c r="EK368" s="147"/>
      <c r="EL368" s="147"/>
      <c r="EM368" s="147"/>
      <c r="EN368" s="147"/>
      <c r="EO368" s="147"/>
      <c r="EP368" s="147"/>
      <c r="EQ368" s="147"/>
      <c r="ER368" s="147"/>
      <c r="ES368" s="147"/>
      <c r="ET368" s="147"/>
      <c r="EU368" s="147"/>
      <c r="EV368" s="147"/>
      <c r="EW368" s="147"/>
      <c r="EX368" s="147"/>
      <c r="EY368" s="147"/>
      <c r="EZ368" s="147"/>
      <c r="FA368" s="147"/>
      <c r="FB368" s="147"/>
      <c r="FC368" s="147"/>
      <c r="FD368" s="147"/>
      <c r="FE368" s="147"/>
      <c r="FF368" s="147"/>
      <c r="FG368" s="147"/>
      <c r="FH368" s="147"/>
      <c r="FI368" s="147"/>
      <c r="FJ368" s="147"/>
      <c r="FK368" s="147"/>
      <c r="FL368" s="147"/>
      <c r="FM368" s="147"/>
      <c r="FN368" s="147"/>
      <c r="FO368" s="147"/>
      <c r="FP368" s="147"/>
      <c r="FQ368" s="147"/>
      <c r="FR368" s="147"/>
      <c r="FS368" s="147"/>
      <c r="FT368" s="147"/>
      <c r="FU368" s="147"/>
      <c r="FV368" s="147"/>
      <c r="FW368" s="147"/>
      <c r="FX368" s="147"/>
      <c r="FY368" s="147"/>
      <c r="FZ368" s="147"/>
      <c r="GA368" s="147"/>
      <c r="GB368" s="147"/>
      <c r="GC368" s="147"/>
      <c r="GD368" s="147"/>
      <c r="GE368" s="147"/>
      <c r="GF368" s="147"/>
      <c r="GG368" s="147"/>
      <c r="GH368" s="147"/>
      <c r="GI368" s="147"/>
      <c r="GJ368" s="147"/>
      <c r="GK368" s="147"/>
      <c r="GL368" s="147"/>
      <c r="GM368" s="147"/>
      <c r="GN368" s="147"/>
      <c r="GO368" s="147"/>
      <c r="GP368" s="147"/>
      <c r="GQ368" s="147"/>
      <c r="GR368" s="147"/>
      <c r="GS368" s="147"/>
      <c r="GT368" s="147"/>
      <c r="GU368" s="147"/>
      <c r="GV368" s="147"/>
      <c r="GW368" s="147"/>
      <c r="GX368" s="147"/>
      <c r="GY368" s="147"/>
      <c r="GZ368" s="147"/>
      <c r="HA368" s="147"/>
      <c r="HB368" s="147"/>
      <c r="HC368" s="147"/>
      <c r="HD368" s="147"/>
      <c r="HE368" s="147"/>
      <c r="HF368" s="147"/>
      <c r="HG368" s="147"/>
      <c r="HH368" s="147"/>
      <c r="HI368" s="147"/>
      <c r="HJ368" s="147"/>
      <c r="HK368" s="147"/>
      <c r="HL368" s="147"/>
      <c r="HM368" s="147"/>
      <c r="HN368" s="147"/>
      <c r="HO368" s="147"/>
      <c r="HP368" s="147"/>
      <c r="HQ368" s="147"/>
      <c r="HR368" s="147"/>
      <c r="HS368" s="147"/>
      <c r="HT368" s="147"/>
      <c r="HU368" s="147"/>
      <c r="HV368" s="147"/>
      <c r="HW368" s="147"/>
      <c r="HX368" s="147"/>
      <c r="HY368" s="147"/>
      <c r="HZ368" s="147"/>
      <c r="IA368" s="147"/>
      <c r="IB368" s="147"/>
      <c r="IC368" s="147"/>
      <c r="ID368" s="147"/>
      <c r="IE368" s="147"/>
      <c r="IF368" s="147"/>
      <c r="IG368" s="147"/>
      <c r="IH368" s="147"/>
      <c r="II368" s="147"/>
      <c r="IJ368" s="147"/>
      <c r="IK368" s="147"/>
      <c r="IL368" s="147"/>
      <c r="IM368" s="147"/>
      <c r="IN368" s="147"/>
      <c r="IO368" s="147"/>
      <c r="IP368" s="147"/>
      <c r="IQ368" s="147"/>
      <c r="IR368" s="147"/>
      <c r="IS368" s="147"/>
      <c r="IT368" s="147"/>
      <c r="IU368" s="147"/>
      <c r="IV368" s="147"/>
    </row>
    <row r="369" spans="1:256" s="72" customFormat="1" ht="13.5" customHeight="1" x14ac:dyDescent="0.25">
      <c r="A369" s="265" t="s">
        <v>115</v>
      </c>
      <c r="B369" s="31" t="s">
        <v>8</v>
      </c>
      <c r="C369" s="31">
        <f>SUM(C370:C373)</f>
        <v>10608670</v>
      </c>
      <c r="H369" s="624"/>
      <c r="I369" s="363"/>
      <c r="K369" s="147"/>
      <c r="L369" s="147"/>
      <c r="M369" s="147"/>
      <c r="N369" s="147"/>
      <c r="O369" s="147"/>
      <c r="P369" s="147"/>
      <c r="Q369" s="147"/>
      <c r="R369" s="147"/>
      <c r="S369" s="147"/>
      <c r="T369" s="147"/>
      <c r="U369" s="147"/>
      <c r="V369" s="147"/>
      <c r="W369" s="147"/>
      <c r="X369" s="147"/>
      <c r="Y369" s="147"/>
      <c r="Z369" s="147"/>
      <c r="AA369" s="147"/>
      <c r="AB369" s="147"/>
      <c r="AC369" s="147"/>
      <c r="AD369" s="147"/>
      <c r="AE369" s="147"/>
      <c r="AF369" s="147"/>
      <c r="AG369" s="147"/>
      <c r="AH369" s="147"/>
      <c r="AI369" s="147"/>
      <c r="AJ369" s="147"/>
      <c r="AK369" s="147"/>
      <c r="AL369" s="147"/>
      <c r="AM369" s="147"/>
      <c r="AN369" s="147"/>
      <c r="AO369" s="147"/>
      <c r="AP369" s="147"/>
      <c r="AQ369" s="147"/>
      <c r="AR369" s="147"/>
      <c r="AS369" s="147"/>
      <c r="AT369" s="147"/>
      <c r="AU369" s="147"/>
      <c r="AV369" s="147"/>
      <c r="AW369" s="147"/>
      <c r="AX369" s="147"/>
      <c r="AY369" s="147"/>
      <c r="AZ369" s="147"/>
      <c r="BA369" s="147"/>
      <c r="BB369" s="147"/>
      <c r="BC369" s="147"/>
      <c r="BD369" s="147"/>
      <c r="BE369" s="147"/>
      <c r="BF369" s="147"/>
      <c r="BG369" s="147"/>
      <c r="BH369" s="147"/>
      <c r="BI369" s="147"/>
      <c r="BJ369" s="147"/>
      <c r="BK369" s="147"/>
      <c r="BL369" s="147"/>
      <c r="BM369" s="147"/>
      <c r="BN369" s="147"/>
      <c r="BO369" s="147"/>
      <c r="BP369" s="147"/>
      <c r="BQ369" s="147"/>
      <c r="BR369" s="147"/>
      <c r="BS369" s="147"/>
      <c r="BT369" s="147"/>
      <c r="BU369" s="147"/>
      <c r="BV369" s="147"/>
      <c r="BW369" s="147"/>
      <c r="BX369" s="147"/>
      <c r="BY369" s="147"/>
      <c r="BZ369" s="147"/>
      <c r="CA369" s="147"/>
      <c r="CB369" s="147"/>
      <c r="CC369" s="147"/>
      <c r="CD369" s="147"/>
      <c r="CE369" s="147"/>
      <c r="CF369" s="147"/>
      <c r="CG369" s="147"/>
      <c r="CH369" s="147"/>
      <c r="CI369" s="147"/>
      <c r="CJ369" s="147"/>
      <c r="CK369" s="147"/>
      <c r="CL369" s="147"/>
      <c r="CM369" s="147"/>
      <c r="CN369" s="147"/>
      <c r="CO369" s="147"/>
      <c r="CP369" s="147"/>
      <c r="CQ369" s="147"/>
      <c r="CR369" s="147"/>
      <c r="CS369" s="147"/>
      <c r="CT369" s="147"/>
      <c r="CU369" s="147"/>
      <c r="CV369" s="147"/>
      <c r="CW369" s="147"/>
      <c r="CX369" s="147"/>
      <c r="CY369" s="147"/>
      <c r="CZ369" s="147"/>
      <c r="DA369" s="147"/>
      <c r="DB369" s="147"/>
      <c r="DC369" s="147"/>
      <c r="DD369" s="147"/>
      <c r="DE369" s="147"/>
      <c r="DF369" s="147"/>
      <c r="DG369" s="147"/>
      <c r="DH369" s="147"/>
      <c r="DI369" s="147"/>
      <c r="DJ369" s="147"/>
      <c r="DK369" s="147"/>
      <c r="DL369" s="147"/>
      <c r="DM369" s="147"/>
      <c r="DN369" s="147"/>
      <c r="DO369" s="147"/>
      <c r="DP369" s="147"/>
      <c r="DQ369" s="147"/>
      <c r="DR369" s="147"/>
      <c r="DS369" s="147"/>
      <c r="DT369" s="147"/>
      <c r="DU369" s="147"/>
      <c r="DV369" s="147"/>
      <c r="DW369" s="147"/>
      <c r="DX369" s="147"/>
      <c r="DY369" s="147"/>
      <c r="DZ369" s="147"/>
      <c r="EA369" s="147"/>
      <c r="EB369" s="147"/>
      <c r="EC369" s="147"/>
      <c r="ED369" s="147"/>
      <c r="EE369" s="147"/>
      <c r="EF369" s="147"/>
      <c r="EG369" s="147"/>
      <c r="EH369" s="147"/>
      <c r="EI369" s="147"/>
      <c r="EJ369" s="147"/>
      <c r="EK369" s="147"/>
      <c r="EL369" s="147"/>
      <c r="EM369" s="147"/>
      <c r="EN369" s="147"/>
      <c r="EO369" s="147"/>
      <c r="EP369" s="147"/>
      <c r="EQ369" s="147"/>
      <c r="ER369" s="147"/>
      <c r="ES369" s="147"/>
      <c r="ET369" s="147"/>
      <c r="EU369" s="147"/>
      <c r="EV369" s="147"/>
      <c r="EW369" s="147"/>
      <c r="EX369" s="147"/>
      <c r="EY369" s="147"/>
      <c r="EZ369" s="147"/>
      <c r="FA369" s="147"/>
      <c r="FB369" s="147"/>
      <c r="FC369" s="147"/>
      <c r="FD369" s="147"/>
      <c r="FE369" s="147"/>
      <c r="FF369" s="147"/>
      <c r="FG369" s="147"/>
      <c r="FH369" s="147"/>
      <c r="FI369" s="147"/>
      <c r="FJ369" s="147"/>
      <c r="FK369" s="147"/>
      <c r="FL369" s="147"/>
      <c r="FM369" s="147"/>
      <c r="FN369" s="147"/>
      <c r="FO369" s="147"/>
      <c r="FP369" s="147"/>
      <c r="FQ369" s="147"/>
      <c r="FR369" s="147"/>
      <c r="FS369" s="147"/>
      <c r="FT369" s="147"/>
      <c r="FU369" s="147"/>
      <c r="FV369" s="147"/>
      <c r="FW369" s="147"/>
      <c r="FX369" s="147"/>
      <c r="FY369" s="147"/>
      <c r="FZ369" s="147"/>
      <c r="GA369" s="147"/>
      <c r="GB369" s="147"/>
      <c r="GC369" s="147"/>
      <c r="GD369" s="147"/>
      <c r="GE369" s="147"/>
      <c r="GF369" s="147"/>
      <c r="GG369" s="147"/>
      <c r="GH369" s="147"/>
      <c r="GI369" s="147"/>
      <c r="GJ369" s="147"/>
      <c r="GK369" s="147"/>
      <c r="GL369" s="147"/>
      <c r="GM369" s="147"/>
      <c r="GN369" s="147"/>
      <c r="GO369" s="147"/>
      <c r="GP369" s="147"/>
      <c r="GQ369" s="147"/>
      <c r="GR369" s="147"/>
      <c r="GS369" s="147"/>
      <c r="GT369" s="147"/>
      <c r="GU369" s="147"/>
      <c r="GV369" s="147"/>
      <c r="GW369" s="147"/>
      <c r="GX369" s="147"/>
      <c r="GY369" s="147"/>
      <c r="GZ369" s="147"/>
      <c r="HA369" s="147"/>
      <c r="HB369" s="147"/>
      <c r="HC369" s="147"/>
      <c r="HD369" s="147"/>
      <c r="HE369" s="147"/>
      <c r="HF369" s="147"/>
      <c r="HG369" s="147"/>
      <c r="HH369" s="147"/>
      <c r="HI369" s="147"/>
      <c r="HJ369" s="147"/>
      <c r="HK369" s="147"/>
      <c r="HL369" s="147"/>
      <c r="HM369" s="147"/>
      <c r="HN369" s="147"/>
      <c r="HO369" s="147"/>
      <c r="HP369" s="147"/>
      <c r="HQ369" s="147"/>
      <c r="HR369" s="147"/>
      <c r="HS369" s="147"/>
      <c r="HT369" s="147"/>
      <c r="HU369" s="147"/>
      <c r="HV369" s="147"/>
      <c r="HW369" s="147"/>
      <c r="HX369" s="147"/>
      <c r="HY369" s="147"/>
      <c r="HZ369" s="147"/>
      <c r="IA369" s="147"/>
      <c r="IB369" s="147"/>
      <c r="IC369" s="147"/>
      <c r="ID369" s="147"/>
      <c r="IE369" s="147"/>
      <c r="IF369" s="147"/>
      <c r="IG369" s="147"/>
      <c r="IH369" s="147"/>
      <c r="II369" s="147"/>
      <c r="IJ369" s="147"/>
      <c r="IK369" s="147"/>
      <c r="IL369" s="147"/>
      <c r="IM369" s="147"/>
      <c r="IN369" s="147"/>
      <c r="IO369" s="147"/>
      <c r="IP369" s="147"/>
      <c r="IQ369" s="147"/>
      <c r="IR369" s="147"/>
      <c r="IS369" s="147"/>
      <c r="IT369" s="147"/>
      <c r="IU369" s="147"/>
      <c r="IV369" s="147"/>
    </row>
    <row r="370" spans="1:256" s="72" customFormat="1" ht="13.5" customHeight="1" x14ac:dyDescent="0.25">
      <c r="A370" s="72" t="s">
        <v>92</v>
      </c>
      <c r="B370" s="96" t="s">
        <v>8</v>
      </c>
      <c r="C370" s="24">
        <v>9753900</v>
      </c>
      <c r="H370" s="424"/>
      <c r="J370" s="352"/>
      <c r="K370" s="363"/>
    </row>
    <row r="371" spans="1:256" s="72" customFormat="1" ht="13.5" customHeight="1" x14ac:dyDescent="0.25">
      <c r="A371" s="72" t="s">
        <v>181</v>
      </c>
      <c r="B371" s="24" t="s">
        <v>50</v>
      </c>
      <c r="C371" s="24">
        <v>45750</v>
      </c>
    </row>
    <row r="372" spans="1:256" s="11" customFormat="1" ht="13.5" customHeight="1" x14ac:dyDescent="0.25">
      <c r="A372" s="72" t="s">
        <v>222</v>
      </c>
      <c r="B372" s="12" t="s">
        <v>221</v>
      </c>
      <c r="C372" s="24">
        <v>291520</v>
      </c>
      <c r="H372" s="369"/>
      <c r="I372" s="353"/>
      <c r="J372" s="353"/>
      <c r="K372" s="361"/>
    </row>
    <row r="373" spans="1:256" s="72" customFormat="1" ht="13.5" customHeight="1" x14ac:dyDescent="0.25">
      <c r="A373" s="72" t="s">
        <v>90</v>
      </c>
      <c r="B373" s="24" t="s">
        <v>7</v>
      </c>
      <c r="C373" s="24">
        <v>517500</v>
      </c>
      <c r="H373" s="356"/>
      <c r="I373" s="353"/>
      <c r="J373" s="352"/>
      <c r="K373" s="363"/>
    </row>
    <row r="374" spans="1:256" s="72" customFormat="1" ht="13.5" customHeight="1" thickBot="1" x14ac:dyDescent="0.3">
      <c r="B374" s="24"/>
      <c r="C374" s="24"/>
      <c r="H374" s="576"/>
      <c r="I374" s="576"/>
      <c r="J374" s="577"/>
      <c r="K374" s="577"/>
      <c r="L374" s="577"/>
      <c r="M374" s="1"/>
      <c r="N374" s="1"/>
    </row>
    <row r="375" spans="1:256" s="265" customFormat="1" ht="13.5" customHeight="1" thickBot="1" x14ac:dyDescent="0.3">
      <c r="A375" s="1100" t="s">
        <v>4</v>
      </c>
      <c r="B375" s="1101"/>
      <c r="C375" s="670">
        <f>C376+C381</f>
        <v>389680</v>
      </c>
      <c r="H375" s="576"/>
      <c r="I375" s="576"/>
      <c r="J375" s="577"/>
      <c r="K375" s="577"/>
      <c r="L375" s="577"/>
      <c r="M375" s="1"/>
      <c r="N375" s="1"/>
    </row>
    <row r="376" spans="1:256" s="101" customFormat="1" ht="13.5" customHeight="1" x14ac:dyDescent="0.25">
      <c r="A376" s="265" t="s">
        <v>116</v>
      </c>
      <c r="B376" s="298" t="s">
        <v>117</v>
      </c>
      <c r="C376" s="32">
        <f>SUM(C377:C380)</f>
        <v>365480</v>
      </c>
      <c r="D376" s="357"/>
      <c r="F376" s="357"/>
      <c r="G376" s="358"/>
      <c r="H376" s="576"/>
      <c r="I376" s="576"/>
      <c r="J376" s="577"/>
      <c r="K376" s="577"/>
      <c r="L376" s="577"/>
      <c r="M376" s="1"/>
      <c r="N376" s="1"/>
    </row>
    <row r="377" spans="1:256" s="5" customFormat="1" ht="13.5" x14ac:dyDescent="0.25">
      <c r="A377" s="72" t="s">
        <v>91</v>
      </c>
      <c r="B377" s="72" t="s">
        <v>139</v>
      </c>
      <c r="C377" s="24">
        <v>116700</v>
      </c>
      <c r="D377" s="410"/>
      <c r="E377" s="353"/>
      <c r="F377" s="353"/>
      <c r="G377" s="410"/>
      <c r="H377" s="576"/>
      <c r="I377" s="576"/>
      <c r="J377" s="577"/>
      <c r="K377" s="577"/>
      <c r="L377" s="577"/>
      <c r="M377" s="1"/>
      <c r="N377" s="1"/>
    </row>
    <row r="378" spans="1:256" s="5" customFormat="1" ht="13.5" x14ac:dyDescent="0.25">
      <c r="A378" s="72" t="s">
        <v>203</v>
      </c>
      <c r="B378" s="43" t="s">
        <v>612</v>
      </c>
      <c r="C378" s="24">
        <v>26700</v>
      </c>
      <c r="D378" s="353"/>
      <c r="E378" s="353"/>
      <c r="F378" s="353"/>
      <c r="G378" s="410"/>
      <c r="H378" s="576"/>
      <c r="I378" s="576"/>
      <c r="J378" s="577"/>
      <c r="K378" s="577"/>
      <c r="L378" s="576"/>
      <c r="M378" s="1"/>
      <c r="N378" s="1"/>
    </row>
    <row r="379" spans="1:256" s="5" customFormat="1" ht="13.5" x14ac:dyDescent="0.25">
      <c r="A379" s="72" t="s">
        <v>57</v>
      </c>
      <c r="B379" s="72" t="s">
        <v>58</v>
      </c>
      <c r="C379" s="24">
        <v>46160</v>
      </c>
      <c r="D379" s="363"/>
      <c r="E379" s="353"/>
      <c r="F379" s="353"/>
      <c r="G379" s="410"/>
      <c r="H379" s="576"/>
      <c r="I379" s="576"/>
      <c r="J379" s="577"/>
      <c r="K379" s="577"/>
      <c r="L379" s="576"/>
      <c r="M379" s="1"/>
      <c r="N379" s="1"/>
    </row>
    <row r="380" spans="1:256" s="8" customFormat="1" ht="13.5" customHeight="1" x14ac:dyDescent="0.25">
      <c r="A380" s="72" t="s">
        <v>814</v>
      </c>
      <c r="B380" s="23" t="s">
        <v>815</v>
      </c>
      <c r="C380" s="24">
        <v>175920</v>
      </c>
      <c r="D380" s="78"/>
      <c r="E380" s="25"/>
      <c r="F380" s="99"/>
      <c r="G380" s="55"/>
      <c r="H380" s="43"/>
    </row>
    <row r="381" spans="1:256" s="5" customFormat="1" ht="13.5" x14ac:dyDescent="0.25">
      <c r="A381" s="265" t="s">
        <v>166</v>
      </c>
      <c r="B381" s="25" t="s">
        <v>134</v>
      </c>
      <c r="C381" s="31">
        <f>SUM(C382)</f>
        <v>24200</v>
      </c>
      <c r="D381" s="353"/>
      <c r="E381" s="353"/>
      <c r="F381" s="353"/>
      <c r="G381" s="410"/>
      <c r="H381" s="576"/>
      <c r="I381" s="576"/>
      <c r="J381" s="577"/>
      <c r="K381" s="577"/>
      <c r="L381" s="577"/>
      <c r="M381" s="1"/>
      <c r="N381" s="1"/>
    </row>
    <row r="382" spans="1:256" s="5" customFormat="1" ht="13.5" x14ac:dyDescent="0.25">
      <c r="A382" s="72" t="s">
        <v>167</v>
      </c>
      <c r="B382" s="23" t="s">
        <v>51</v>
      </c>
      <c r="C382" s="24">
        <v>24200</v>
      </c>
      <c r="D382" s="363"/>
      <c r="E382" s="353"/>
      <c r="F382" s="353"/>
      <c r="G382" s="410"/>
      <c r="H382" s="576"/>
      <c r="I382" s="576"/>
      <c r="J382" s="577"/>
      <c r="K382" s="577"/>
      <c r="L382" s="577"/>
      <c r="M382" s="1"/>
      <c r="N382" s="1"/>
    </row>
    <row r="383" spans="1:256" s="147" customFormat="1" ht="13.5" x14ac:dyDescent="0.25">
      <c r="A383" s="12"/>
      <c r="B383" s="24"/>
      <c r="C383" s="24"/>
      <c r="D383" s="361"/>
      <c r="E383" s="353"/>
      <c r="F383" s="353"/>
      <c r="G383" s="394"/>
      <c r="H383" s="576"/>
      <c r="I383" s="576"/>
      <c r="J383" s="577"/>
      <c r="K383" s="577"/>
      <c r="L383" s="577"/>
      <c r="M383" s="1"/>
      <c r="N383" s="1"/>
    </row>
    <row r="384" spans="1:256" ht="14" thickBot="1" x14ac:dyDescent="0.3">
      <c r="A384" s="75"/>
      <c r="C384" s="472"/>
      <c r="H384" s="576"/>
      <c r="I384" s="576"/>
      <c r="J384" s="577"/>
      <c r="K384" s="578"/>
      <c r="L384" s="806"/>
      <c r="M384" s="1"/>
      <c r="N384" s="1"/>
    </row>
    <row r="385" spans="1:14" ht="13.5" x14ac:dyDescent="0.25">
      <c r="A385" s="648" t="s">
        <v>893</v>
      </c>
      <c r="B385" s="649"/>
      <c r="C385" s="690"/>
      <c r="D385" s="692" t="s">
        <v>6</v>
      </c>
      <c r="E385" s="913" t="s">
        <v>660</v>
      </c>
      <c r="H385" s="576"/>
      <c r="I385" s="576"/>
      <c r="J385" s="577"/>
      <c r="K385" s="577"/>
      <c r="L385" s="577"/>
      <c r="M385" s="1"/>
      <c r="N385" s="1"/>
    </row>
    <row r="386" spans="1:14" ht="14" thickBot="1" x14ac:dyDescent="0.3">
      <c r="A386" s="707"/>
      <c r="B386" s="926"/>
      <c r="C386" s="733"/>
      <c r="D386" s="734"/>
      <c r="E386" s="735"/>
      <c r="H386" s="576"/>
      <c r="I386" s="576"/>
      <c r="J386" s="577"/>
      <c r="K386" s="577"/>
      <c r="L386" s="577"/>
      <c r="M386" s="1"/>
      <c r="N386" s="1"/>
    </row>
    <row r="387" spans="1:14" s="1" customFormat="1" ht="13.5" x14ac:dyDescent="0.25">
      <c r="A387" s="1244" t="s">
        <v>894</v>
      </c>
      <c r="B387" s="1245"/>
      <c r="C387" s="1245"/>
      <c r="D387" s="1245"/>
      <c r="E387" s="1246"/>
      <c r="F387" s="469"/>
      <c r="H387" s="576"/>
      <c r="I387" s="576"/>
      <c r="J387" s="577"/>
      <c r="K387" s="577"/>
      <c r="L387" s="577"/>
    </row>
    <row r="388" spans="1:14" s="1" customFormat="1" ht="13.5" x14ac:dyDescent="0.25">
      <c r="A388" s="1247"/>
      <c r="B388" s="1248"/>
      <c r="C388" s="1248"/>
      <c r="D388" s="1248"/>
      <c r="E388" s="1249"/>
      <c r="F388" s="469"/>
      <c r="H388" s="576"/>
      <c r="I388" s="576"/>
      <c r="J388" s="577"/>
      <c r="K388" s="577"/>
      <c r="L388" s="577"/>
    </row>
    <row r="389" spans="1:14" s="1" customFormat="1" ht="13.5" x14ac:dyDescent="0.25">
      <c r="A389" s="1247"/>
      <c r="B389" s="1248"/>
      <c r="C389" s="1248"/>
      <c r="D389" s="1248"/>
      <c r="E389" s="1249"/>
      <c r="F389" s="469"/>
      <c r="H389" s="576"/>
      <c r="I389" s="576"/>
      <c r="J389" s="577"/>
      <c r="K389" s="577"/>
      <c r="L389" s="577"/>
    </row>
    <row r="390" spans="1:14" s="1" customFormat="1" ht="13.5" x14ac:dyDescent="0.25">
      <c r="A390" s="1247"/>
      <c r="B390" s="1248"/>
      <c r="C390" s="1248"/>
      <c r="D390" s="1248"/>
      <c r="E390" s="1249"/>
      <c r="F390" s="469"/>
      <c r="H390" s="807"/>
      <c r="I390" s="576"/>
      <c r="J390" s="577"/>
      <c r="K390" s="577"/>
      <c r="L390" s="577"/>
    </row>
    <row r="391" spans="1:14" s="1" customFormat="1" ht="13.5" x14ac:dyDescent="0.25">
      <c r="A391" s="1247"/>
      <c r="B391" s="1248"/>
      <c r="C391" s="1248"/>
      <c r="D391" s="1248"/>
      <c r="E391" s="1249"/>
      <c r="F391" s="469"/>
      <c r="H391" s="807"/>
      <c r="I391" s="576"/>
      <c r="J391" s="577"/>
      <c r="K391" s="577"/>
      <c r="L391" s="577"/>
    </row>
    <row r="392" spans="1:14" s="1" customFormat="1" ht="14" thickBot="1" x14ac:dyDescent="0.3">
      <c r="A392" s="1250"/>
      <c r="B392" s="1251"/>
      <c r="C392" s="1251"/>
      <c r="D392" s="1251"/>
      <c r="E392" s="1252"/>
      <c r="F392" s="469"/>
      <c r="H392" s="576"/>
      <c r="I392" s="576"/>
      <c r="J392" s="577"/>
      <c r="K392" s="577"/>
      <c r="L392" s="577"/>
    </row>
    <row r="393" spans="1:14" s="1" customFormat="1" ht="13.5" x14ac:dyDescent="0.25">
      <c r="A393" s="41" t="s">
        <v>1029</v>
      </c>
      <c r="B393" s="12"/>
      <c r="C393" s="24"/>
      <c r="D393" s="24"/>
      <c r="E393" s="320"/>
      <c r="F393" s="469"/>
      <c r="G393" s="147"/>
      <c r="H393" s="576"/>
      <c r="I393" s="576"/>
      <c r="J393" s="577"/>
      <c r="K393" s="577"/>
      <c r="L393" s="577"/>
    </row>
    <row r="394" spans="1:14" s="1" customFormat="1" ht="13.5" x14ac:dyDescent="0.25">
      <c r="A394" s="41" t="s">
        <v>632</v>
      </c>
      <c r="B394" s="12"/>
      <c r="C394" s="24"/>
      <c r="D394" s="24"/>
      <c r="E394" s="320"/>
      <c r="F394" s="469"/>
      <c r="G394" s="147"/>
      <c r="H394" s="807"/>
      <c r="I394" s="576"/>
      <c r="J394" s="577"/>
      <c r="K394" s="577"/>
      <c r="L394" s="577"/>
    </row>
    <row r="395" spans="1:14" s="1" customFormat="1" ht="13.5" x14ac:dyDescent="0.25">
      <c r="A395" s="41" t="s">
        <v>1040</v>
      </c>
      <c r="B395" s="12"/>
      <c r="C395" s="24"/>
      <c r="D395" s="24"/>
      <c r="E395" s="320"/>
      <c r="F395" s="469"/>
      <c r="G395" s="147"/>
      <c r="H395" s="807"/>
      <c r="I395" s="576"/>
      <c r="J395" s="577"/>
      <c r="K395" s="577"/>
      <c r="L395" s="577"/>
    </row>
    <row r="396" spans="1:14" s="1" customFormat="1" ht="13.5" thickBot="1" x14ac:dyDescent="0.3">
      <c r="A396" s="76" t="s">
        <v>13</v>
      </c>
      <c r="B396" s="140"/>
      <c r="C396" s="377"/>
      <c r="D396" s="377"/>
      <c r="E396" s="378"/>
      <c r="F396" s="469"/>
      <c r="G396" s="14"/>
    </row>
    <row r="397" spans="1:14" s="1" customFormat="1" ht="13.5" thickBot="1" x14ac:dyDescent="0.3">
      <c r="A397" s="762" t="s">
        <v>802</v>
      </c>
      <c r="B397" s="763"/>
      <c r="C397" s="764"/>
      <c r="D397" s="766"/>
      <c r="E397" s="772">
        <f>+C399+C415+C433</f>
        <v>1183700</v>
      </c>
      <c r="F397" s="469"/>
      <c r="G397" s="14"/>
    </row>
    <row r="398" spans="1:14" s="1" customFormat="1" ht="13.5" thickBot="1" x14ac:dyDescent="0.3">
      <c r="A398" s="11"/>
      <c r="B398" s="11"/>
      <c r="C398" s="31"/>
      <c r="D398" s="31"/>
      <c r="E398" s="31"/>
      <c r="F398" s="469"/>
      <c r="G398" s="14"/>
    </row>
    <row r="399" spans="1:14" s="1" customFormat="1" ht="13.5" thickBot="1" x14ac:dyDescent="0.3">
      <c r="A399" s="1104" t="s">
        <v>2</v>
      </c>
      <c r="B399" s="1105"/>
      <c r="C399" s="667">
        <f>C400+C402+C404+C406+C408+C410</f>
        <v>254400</v>
      </c>
      <c r="D399" s="31"/>
      <c r="E399" s="31"/>
      <c r="F399" s="469"/>
      <c r="G399" s="14"/>
    </row>
    <row r="400" spans="1:14" s="1" customFormat="1" x14ac:dyDescent="0.25">
      <c r="A400" s="11" t="s">
        <v>103</v>
      </c>
      <c r="B400" s="298" t="s">
        <v>104</v>
      </c>
      <c r="C400" s="32">
        <f>SUM(C401)</f>
        <v>25000</v>
      </c>
      <c r="D400" s="31"/>
      <c r="E400" s="31"/>
      <c r="F400" s="469"/>
      <c r="G400" s="14"/>
    </row>
    <row r="401" spans="1:8" s="1" customFormat="1" x14ac:dyDescent="0.25">
      <c r="A401" s="12" t="s">
        <v>46</v>
      </c>
      <c r="B401" s="12" t="s">
        <v>45</v>
      </c>
      <c r="C401" s="24">
        <v>25000</v>
      </c>
      <c r="D401" s="31"/>
      <c r="E401" s="31"/>
      <c r="F401" s="469"/>
      <c r="G401" s="14"/>
    </row>
    <row r="402" spans="1:8" s="1" customFormat="1" x14ac:dyDescent="0.25">
      <c r="A402" s="11" t="s">
        <v>199</v>
      </c>
      <c r="B402" s="559" t="s">
        <v>198</v>
      </c>
      <c r="C402" s="31">
        <f>SUM(C403)</f>
        <v>25000</v>
      </c>
      <c r="D402" s="31"/>
      <c r="E402" s="31"/>
      <c r="F402" s="469"/>
      <c r="G402" s="14"/>
    </row>
    <row r="403" spans="1:8" s="1" customFormat="1" x14ac:dyDescent="0.25">
      <c r="A403" s="12" t="s">
        <v>227</v>
      </c>
      <c r="B403" s="101" t="s">
        <v>226</v>
      </c>
      <c r="C403" s="24">
        <v>25000</v>
      </c>
      <c r="D403" s="31"/>
      <c r="E403" s="31"/>
      <c r="F403" s="469"/>
      <c r="G403" s="14"/>
    </row>
    <row r="404" spans="1:8" s="1" customFormat="1" x14ac:dyDescent="0.25">
      <c r="A404" s="11" t="s">
        <v>105</v>
      </c>
      <c r="B404" s="11" t="s">
        <v>106</v>
      </c>
      <c r="C404" s="31">
        <f>SUM(C405)</f>
        <v>56700</v>
      </c>
      <c r="D404" s="31"/>
      <c r="E404" s="31"/>
      <c r="F404" s="469"/>
      <c r="G404" s="14"/>
    </row>
    <row r="405" spans="1:8" s="1" customFormat="1" x14ac:dyDescent="0.25">
      <c r="A405" s="12" t="s">
        <v>86</v>
      </c>
      <c r="B405" s="72" t="s">
        <v>66</v>
      </c>
      <c r="C405" s="24">
        <v>56700</v>
      </c>
      <c r="D405" s="31"/>
      <c r="E405" s="31"/>
      <c r="F405" s="469"/>
      <c r="G405" s="14"/>
    </row>
    <row r="406" spans="1:8" s="1" customFormat="1" x14ac:dyDescent="0.25">
      <c r="A406" s="11" t="s">
        <v>107</v>
      </c>
      <c r="B406" s="265" t="s">
        <v>108</v>
      </c>
      <c r="C406" s="31">
        <f>SUM(C407)</f>
        <v>24000</v>
      </c>
      <c r="D406" s="31"/>
      <c r="E406" s="31"/>
      <c r="F406" s="469"/>
      <c r="G406" s="14"/>
    </row>
    <row r="407" spans="1:8" s="1" customFormat="1" x14ac:dyDescent="0.25">
      <c r="A407" s="12" t="s">
        <v>47</v>
      </c>
      <c r="B407" s="23" t="s">
        <v>48</v>
      </c>
      <c r="C407" s="24">
        <v>24000</v>
      </c>
      <c r="D407" s="31"/>
      <c r="E407" s="31"/>
      <c r="F407" s="469"/>
      <c r="G407" s="14"/>
    </row>
    <row r="408" spans="1:8" s="1" customFormat="1" x14ac:dyDescent="0.25">
      <c r="A408" s="265" t="s">
        <v>124</v>
      </c>
      <c r="B408" s="31" t="s">
        <v>123</v>
      </c>
      <c r="C408" s="31">
        <f>SUM(C409)</f>
        <v>6800</v>
      </c>
      <c r="D408" s="31"/>
      <c r="E408" s="31"/>
      <c r="F408" s="469"/>
      <c r="G408" s="14"/>
    </row>
    <row r="409" spans="1:8" s="1" customFormat="1" x14ac:dyDescent="0.25">
      <c r="A409" s="72" t="s">
        <v>93</v>
      </c>
      <c r="B409" s="24" t="s">
        <v>72</v>
      </c>
      <c r="C409" s="24">
        <v>6800</v>
      </c>
      <c r="D409" s="31"/>
      <c r="E409" s="31"/>
      <c r="F409" s="469"/>
      <c r="G409" s="14"/>
    </row>
    <row r="410" spans="1:8" s="1" customFormat="1" x14ac:dyDescent="0.25">
      <c r="A410" s="265" t="s">
        <v>151</v>
      </c>
      <c r="B410" s="25" t="s">
        <v>125</v>
      </c>
      <c r="C410" s="31">
        <f>SUM(C411:C413)</f>
        <v>116900</v>
      </c>
      <c r="D410" s="31"/>
      <c r="E410" s="31"/>
      <c r="F410" s="469"/>
      <c r="G410" s="14"/>
    </row>
    <row r="411" spans="1:8" s="1" customFormat="1" x14ac:dyDescent="0.25">
      <c r="A411" s="72" t="s">
        <v>153</v>
      </c>
      <c r="B411" s="24" t="s">
        <v>70</v>
      </c>
      <c r="C411" s="24">
        <v>17000</v>
      </c>
      <c r="D411" s="31"/>
      <c r="E411" s="31"/>
      <c r="F411" s="469"/>
      <c r="G411" s="14"/>
    </row>
    <row r="412" spans="1:8" s="1" customFormat="1" x14ac:dyDescent="0.25">
      <c r="A412" s="72" t="s">
        <v>155</v>
      </c>
      <c r="B412" s="23" t="s">
        <v>125</v>
      </c>
      <c r="C412" s="24">
        <v>34900</v>
      </c>
      <c r="D412" s="31"/>
      <c r="E412" s="31"/>
      <c r="F412" s="469"/>
      <c r="G412" s="14"/>
    </row>
    <row r="413" spans="1:8" s="265" customFormat="1" ht="13.5" customHeight="1" x14ac:dyDescent="0.25">
      <c r="A413" s="72" t="s">
        <v>699</v>
      </c>
      <c r="B413" s="43" t="s">
        <v>698</v>
      </c>
      <c r="C413" s="24">
        <v>65000</v>
      </c>
      <c r="D413" s="406"/>
      <c r="E413" s="353"/>
      <c r="F413" s="353"/>
      <c r="G413" s="405"/>
      <c r="H413" s="11"/>
    </row>
    <row r="414" spans="1:8" s="1" customFormat="1" ht="13.5" thickBot="1" x14ac:dyDescent="0.3">
      <c r="A414" s="72"/>
      <c r="B414" s="24"/>
      <c r="C414" s="23"/>
      <c r="D414" s="31"/>
      <c r="E414" s="31"/>
      <c r="F414" s="469"/>
      <c r="G414" s="14"/>
    </row>
    <row r="415" spans="1:8" s="1" customFormat="1" ht="13.5" thickBot="1" x14ac:dyDescent="0.3">
      <c r="A415" s="1096" t="s">
        <v>3</v>
      </c>
      <c r="B415" s="1097"/>
      <c r="C415" s="668">
        <f>C416+C418+C420+C423+C426</f>
        <v>904300</v>
      </c>
      <c r="D415" s="31"/>
      <c r="E415" s="31"/>
      <c r="F415" s="469"/>
      <c r="G415" s="14"/>
    </row>
    <row r="416" spans="1:8" s="1" customFormat="1" x14ac:dyDescent="0.25">
      <c r="A416" s="265" t="s">
        <v>110</v>
      </c>
      <c r="B416" s="298" t="s">
        <v>111</v>
      </c>
      <c r="C416" s="32">
        <f>SUM(C417)</f>
        <v>34000</v>
      </c>
      <c r="D416" s="31"/>
      <c r="E416" s="31"/>
      <c r="F416" s="469"/>
      <c r="G416" s="14"/>
    </row>
    <row r="417" spans="1:7" s="1" customFormat="1" x14ac:dyDescent="0.25">
      <c r="A417" s="72" t="s">
        <v>52</v>
      </c>
      <c r="B417" s="24" t="s">
        <v>15</v>
      </c>
      <c r="C417" s="24">
        <v>34000</v>
      </c>
      <c r="D417" s="31"/>
      <c r="E417" s="31"/>
      <c r="F417" s="469"/>
      <c r="G417" s="14"/>
    </row>
    <row r="418" spans="1:7" s="1" customFormat="1" x14ac:dyDescent="0.25">
      <c r="A418" s="11" t="s">
        <v>120</v>
      </c>
      <c r="B418" s="31" t="s">
        <v>121</v>
      </c>
      <c r="C418" s="31">
        <f>SUM(C419)</f>
        <v>26500</v>
      </c>
      <c r="D418" s="31"/>
      <c r="E418" s="31"/>
      <c r="F418" s="469"/>
      <c r="G418" s="14"/>
    </row>
    <row r="419" spans="1:7" s="1" customFormat="1" x14ac:dyDescent="0.25">
      <c r="A419" s="12" t="s">
        <v>136</v>
      </c>
      <c r="B419" s="12" t="s">
        <v>71</v>
      </c>
      <c r="C419" s="24">
        <v>26500</v>
      </c>
      <c r="D419" s="31"/>
      <c r="E419" s="31"/>
      <c r="F419" s="469"/>
      <c r="G419" s="14"/>
    </row>
    <row r="420" spans="1:7" s="1" customFormat="1" x14ac:dyDescent="0.25">
      <c r="A420" s="265" t="s">
        <v>112</v>
      </c>
      <c r="B420" s="31" t="s">
        <v>157</v>
      </c>
      <c r="C420" s="31">
        <f>SUM(C421:C422)</f>
        <v>255800</v>
      </c>
      <c r="D420" s="31"/>
      <c r="E420" s="31"/>
      <c r="F420" s="469"/>
      <c r="G420" s="14"/>
    </row>
    <row r="421" spans="1:7" s="1" customFormat="1" x14ac:dyDescent="0.25">
      <c r="A421" s="72" t="s">
        <v>138</v>
      </c>
      <c r="B421" s="12" t="s">
        <v>137</v>
      </c>
      <c r="C421" s="24">
        <v>5800</v>
      </c>
      <c r="D421" s="31"/>
      <c r="E421" s="31"/>
      <c r="F421" s="469"/>
      <c r="G421" s="14"/>
    </row>
    <row r="422" spans="1:7" s="1" customFormat="1" x14ac:dyDescent="0.25">
      <c r="A422" s="72" t="s">
        <v>156</v>
      </c>
      <c r="B422" s="12" t="s">
        <v>87</v>
      </c>
      <c r="C422" s="24">
        <v>250000</v>
      </c>
      <c r="D422" s="31"/>
      <c r="E422" s="31"/>
      <c r="F422" s="469"/>
      <c r="G422" s="14"/>
    </row>
    <row r="423" spans="1:7" s="1" customFormat="1" x14ac:dyDescent="0.25">
      <c r="A423" s="11" t="s">
        <v>113</v>
      </c>
      <c r="B423" s="11" t="s">
        <v>114</v>
      </c>
      <c r="C423" s="31">
        <f>SUM(C424:C425)</f>
        <v>115000</v>
      </c>
      <c r="D423" s="31"/>
      <c r="E423" s="31"/>
      <c r="F423" s="469"/>
      <c r="G423" s="14"/>
    </row>
    <row r="424" spans="1:7" s="1" customFormat="1" x14ac:dyDescent="0.25">
      <c r="A424" s="12" t="s">
        <v>53</v>
      </c>
      <c r="B424" s="12" t="s">
        <v>54</v>
      </c>
      <c r="C424" s="24">
        <v>90000</v>
      </c>
      <c r="D424" s="31"/>
      <c r="E424" s="31"/>
      <c r="F424" s="469"/>
      <c r="G424" s="14"/>
    </row>
    <row r="425" spans="1:7" s="1" customFormat="1" x14ac:dyDescent="0.25">
      <c r="A425" s="12" t="s">
        <v>164</v>
      </c>
      <c r="B425" s="12" t="s">
        <v>74</v>
      </c>
      <c r="C425" s="24">
        <v>25000</v>
      </c>
      <c r="D425" s="31"/>
      <c r="E425" s="31"/>
      <c r="F425" s="469"/>
      <c r="G425" s="14"/>
    </row>
    <row r="426" spans="1:7" s="1" customFormat="1" x14ac:dyDescent="0.25">
      <c r="A426" s="265" t="s">
        <v>115</v>
      </c>
      <c r="B426" s="31" t="s">
        <v>8</v>
      </c>
      <c r="C426" s="31">
        <f>SUM(C427:C431)</f>
        <v>473000</v>
      </c>
      <c r="D426" s="31"/>
      <c r="E426" s="31"/>
      <c r="F426" s="469"/>
      <c r="G426" s="14"/>
    </row>
    <row r="427" spans="1:7" s="1" customFormat="1" x14ac:dyDescent="0.25">
      <c r="A427" s="72" t="s">
        <v>92</v>
      </c>
      <c r="B427" s="24" t="s">
        <v>8</v>
      </c>
      <c r="C427" s="24">
        <v>270000</v>
      </c>
      <c r="D427" s="31"/>
      <c r="E427" s="31"/>
      <c r="F427" s="469"/>
      <c r="G427" s="14"/>
    </row>
    <row r="428" spans="1:7" s="1" customFormat="1" x14ac:dyDescent="0.25">
      <c r="A428" s="72" t="s">
        <v>94</v>
      </c>
      <c r="B428" s="24" t="s">
        <v>50</v>
      </c>
      <c r="C428" s="24">
        <v>18000</v>
      </c>
      <c r="D428" s="31"/>
      <c r="E428" s="31"/>
      <c r="F428" s="469"/>
      <c r="G428" s="14"/>
    </row>
    <row r="429" spans="1:7" s="1" customFormat="1" x14ac:dyDescent="0.25">
      <c r="A429" s="72" t="s">
        <v>224</v>
      </c>
      <c r="B429" s="43" t="s">
        <v>223</v>
      </c>
      <c r="C429" s="24">
        <v>45000</v>
      </c>
      <c r="D429" s="31"/>
      <c r="E429" s="31"/>
      <c r="F429" s="469"/>
      <c r="G429" s="14"/>
    </row>
    <row r="430" spans="1:7" s="1" customFormat="1" x14ac:dyDescent="0.25">
      <c r="A430" s="72" t="s">
        <v>222</v>
      </c>
      <c r="B430" s="12" t="s">
        <v>221</v>
      </c>
      <c r="C430" s="24">
        <f>150000-30000</f>
        <v>120000</v>
      </c>
      <c r="D430" s="31"/>
      <c r="E430" s="31"/>
      <c r="F430" s="469"/>
      <c r="G430" s="14"/>
    </row>
    <row r="431" spans="1:7" s="1" customFormat="1" x14ac:dyDescent="0.25">
      <c r="A431" s="72" t="s">
        <v>90</v>
      </c>
      <c r="B431" s="24" t="s">
        <v>7</v>
      </c>
      <c r="C431" s="24">
        <v>20000</v>
      </c>
      <c r="D431" s="31"/>
      <c r="E431" s="31"/>
      <c r="F431" s="469"/>
      <c r="G431" s="14"/>
    </row>
    <row r="432" spans="1:7" s="1" customFormat="1" ht="13.5" thickBot="1" x14ac:dyDescent="0.3">
      <c r="A432" s="72"/>
      <c r="B432" s="24"/>
      <c r="C432" s="23"/>
      <c r="D432" s="31"/>
      <c r="E432" s="31"/>
      <c r="F432" s="469"/>
      <c r="G432" s="14"/>
    </row>
    <row r="433" spans="1:11" s="1" customFormat="1" ht="13.5" thickBot="1" x14ac:dyDescent="0.3">
      <c r="A433" s="1100" t="s">
        <v>4</v>
      </c>
      <c r="B433" s="1101"/>
      <c r="C433" s="725">
        <f>C434</f>
        <v>25000</v>
      </c>
      <c r="D433" s="31"/>
      <c r="E433" s="31"/>
      <c r="F433" s="469"/>
      <c r="G433" s="14"/>
    </row>
    <row r="434" spans="1:11" s="1" customFormat="1" x14ac:dyDescent="0.25">
      <c r="A434" s="265" t="s">
        <v>166</v>
      </c>
      <c r="B434" s="25" t="s">
        <v>134</v>
      </c>
      <c r="C434" s="32">
        <f>SUM(C435)</f>
        <v>25000</v>
      </c>
      <c r="D434" s="31"/>
      <c r="E434" s="31"/>
      <c r="F434" s="469"/>
      <c r="G434" s="14"/>
    </row>
    <row r="435" spans="1:11" s="1" customFormat="1" x14ac:dyDescent="0.25">
      <c r="A435" s="72" t="s">
        <v>167</v>
      </c>
      <c r="B435" s="23" t="s">
        <v>51</v>
      </c>
      <c r="C435" s="24">
        <v>25000</v>
      </c>
      <c r="D435" s="31"/>
      <c r="E435" s="31"/>
      <c r="F435" s="469"/>
      <c r="G435" s="14"/>
    </row>
    <row r="436" spans="1:11" s="1" customFormat="1" x14ac:dyDescent="0.25">
      <c r="A436" s="11"/>
      <c r="B436" s="11"/>
      <c r="C436" s="31"/>
      <c r="D436" s="31"/>
      <c r="E436" s="31"/>
      <c r="F436" s="469"/>
      <c r="G436" s="14"/>
    </row>
    <row r="437" spans="1:11" ht="13.5" thickBot="1" x14ac:dyDescent="0.3">
      <c r="G437" s="1"/>
    </row>
    <row r="438" spans="1:11" s="1" customFormat="1" x14ac:dyDescent="0.25">
      <c r="A438" s="648" t="s">
        <v>803</v>
      </c>
      <c r="B438" s="649"/>
      <c r="C438" s="690"/>
      <c r="D438" s="692" t="s">
        <v>6</v>
      </c>
      <c r="E438" s="913" t="s">
        <v>833</v>
      </c>
      <c r="F438" s="469"/>
    </row>
    <row r="439" spans="1:11" s="1" customFormat="1" ht="13.5" thickBot="1" x14ac:dyDescent="0.3">
      <c r="A439" s="652"/>
      <c r="B439" s="653"/>
      <c r="C439" s="693"/>
      <c r="D439" s="695"/>
      <c r="E439" s="718"/>
      <c r="F439" s="469"/>
    </row>
    <row r="440" spans="1:11" s="1" customFormat="1" x14ac:dyDescent="0.25">
      <c r="A440" s="1123" t="s">
        <v>895</v>
      </c>
      <c r="B440" s="1124"/>
      <c r="C440" s="1124"/>
      <c r="D440" s="1124"/>
      <c r="E440" s="1125"/>
      <c r="F440" s="469"/>
    </row>
    <row r="441" spans="1:11" s="1" customFormat="1" x14ac:dyDescent="0.25">
      <c r="A441" s="1126"/>
      <c r="B441" s="1127"/>
      <c r="C441" s="1127"/>
      <c r="D441" s="1127"/>
      <c r="E441" s="1128"/>
      <c r="F441" s="469"/>
      <c r="G441" s="147"/>
      <c r="H441" s="147"/>
      <c r="I441" s="147"/>
      <c r="J441" s="147"/>
      <c r="K441" s="147"/>
    </row>
    <row r="442" spans="1:11" s="1" customFormat="1" x14ac:dyDescent="0.25">
      <c r="A442" s="1126"/>
      <c r="B442" s="1127"/>
      <c r="C442" s="1127"/>
      <c r="D442" s="1127"/>
      <c r="E442" s="1128"/>
      <c r="F442" s="469"/>
      <c r="G442" s="147"/>
      <c r="H442" s="147"/>
      <c r="I442" s="120"/>
      <c r="J442" s="120"/>
      <c r="K442" s="120"/>
    </row>
    <row r="443" spans="1:11" s="1" customFormat="1" x14ac:dyDescent="0.25">
      <c r="A443" s="1126"/>
      <c r="B443" s="1127"/>
      <c r="C443" s="1127"/>
      <c r="D443" s="1127"/>
      <c r="E443" s="1128"/>
      <c r="F443" s="570"/>
      <c r="G443" s="147"/>
      <c r="H443" s="147"/>
      <c r="I443" s="120"/>
      <c r="J443" s="120"/>
      <c r="K443" s="120"/>
    </row>
    <row r="444" spans="1:11" s="1" customFormat="1" x14ac:dyDescent="0.25">
      <c r="A444" s="1126"/>
      <c r="B444" s="1127"/>
      <c r="C444" s="1127"/>
      <c r="D444" s="1127"/>
      <c r="E444" s="1128"/>
      <c r="F444" s="474"/>
      <c r="G444" s="147"/>
      <c r="H444" s="147"/>
      <c r="I444" s="120"/>
      <c r="J444" s="120"/>
      <c r="K444" s="120"/>
    </row>
    <row r="445" spans="1:11" s="1" customFormat="1" ht="13.5" thickBot="1" x14ac:dyDescent="0.3">
      <c r="A445" s="1126"/>
      <c r="B445" s="1127"/>
      <c r="C445" s="1127"/>
      <c r="D445" s="1127"/>
      <c r="E445" s="1128"/>
      <c r="F445" s="469"/>
      <c r="G445" s="147"/>
      <c r="H445" s="147"/>
      <c r="I445" s="120"/>
      <c r="J445" s="120"/>
      <c r="K445" s="120"/>
    </row>
    <row r="446" spans="1:11" s="1" customFormat="1" x14ac:dyDescent="0.25">
      <c r="A446" s="119" t="s">
        <v>1029</v>
      </c>
      <c r="B446" s="174"/>
      <c r="C446" s="420"/>
      <c r="D446" s="420"/>
      <c r="E446" s="422"/>
      <c r="G446" s="147"/>
      <c r="H446" s="147"/>
      <c r="I446" s="120"/>
      <c r="J446" s="120"/>
      <c r="K446" s="120"/>
    </row>
    <row r="447" spans="1:11" s="1" customFormat="1" x14ac:dyDescent="0.25">
      <c r="A447" s="41" t="s">
        <v>632</v>
      </c>
      <c r="B447" s="12"/>
      <c r="C447" s="24"/>
      <c r="D447" s="24"/>
      <c r="E447" s="320"/>
      <c r="G447" s="120"/>
      <c r="H447" s="147"/>
      <c r="I447" s="120"/>
      <c r="J447" s="120"/>
      <c r="K447" s="120"/>
    </row>
    <row r="448" spans="1:11" s="1" customFormat="1" x14ac:dyDescent="0.25">
      <c r="A448" s="41" t="s">
        <v>1040</v>
      </c>
      <c r="B448" s="11"/>
      <c r="C448" s="31"/>
      <c r="D448" s="31"/>
      <c r="E448" s="149"/>
      <c r="G448" s="120"/>
      <c r="H448" s="147"/>
      <c r="I448" s="147"/>
      <c r="J448" s="147"/>
      <c r="K448" s="147"/>
    </row>
    <row r="449" spans="1:7" s="1" customFormat="1" ht="13.5" thickBot="1" x14ac:dyDescent="0.3">
      <c r="A449" s="76" t="s">
        <v>13</v>
      </c>
      <c r="B449" s="466"/>
      <c r="C449" s="48"/>
      <c r="D449" s="48"/>
      <c r="E449" s="159"/>
    </row>
    <row r="450" spans="1:7" s="1" customFormat="1" ht="13.5" thickBot="1" x14ac:dyDescent="0.3">
      <c r="A450" s="762" t="s">
        <v>14</v>
      </c>
      <c r="B450" s="794"/>
      <c r="C450" s="764"/>
      <c r="D450" s="766"/>
      <c r="E450" s="772">
        <f>+C452+C467+C481</f>
        <v>2391080</v>
      </c>
      <c r="F450" s="469"/>
      <c r="G450" s="3"/>
    </row>
    <row r="451" spans="1:7" ht="13.5" thickBot="1" x14ac:dyDescent="0.3">
      <c r="F451" s="368"/>
    </row>
    <row r="452" spans="1:7" ht="13.5" thickBot="1" x14ac:dyDescent="0.3">
      <c r="A452" s="1104" t="s">
        <v>2</v>
      </c>
      <c r="B452" s="1105"/>
      <c r="C452" s="667">
        <f>C453+C455+C457+C459+C461+C463</f>
        <v>127800</v>
      </c>
      <c r="F452" s="206"/>
      <c r="G452" s="349"/>
    </row>
    <row r="453" spans="1:7" s="349" customFormat="1" x14ac:dyDescent="0.25">
      <c r="A453" s="11" t="s">
        <v>103</v>
      </c>
      <c r="B453" s="298" t="s">
        <v>104</v>
      </c>
      <c r="C453" s="32">
        <f>SUM(C454)</f>
        <v>35000</v>
      </c>
      <c r="D453" s="348"/>
      <c r="E453" s="348"/>
      <c r="F453" s="406"/>
      <c r="G453" s="394"/>
    </row>
    <row r="454" spans="1:7" s="12" customFormat="1" ht="13.5" customHeight="1" x14ac:dyDescent="0.25">
      <c r="A454" s="12" t="s">
        <v>46</v>
      </c>
      <c r="B454" s="12" t="s">
        <v>45</v>
      </c>
      <c r="C454" s="24">
        <v>35000</v>
      </c>
      <c r="D454" s="403"/>
      <c r="E454" s="353"/>
      <c r="F454" s="474"/>
      <c r="G454" s="3"/>
    </row>
    <row r="455" spans="1:7" x14ac:dyDescent="0.25">
      <c r="A455" s="11" t="s">
        <v>199</v>
      </c>
      <c r="B455" s="559" t="s">
        <v>198</v>
      </c>
      <c r="C455" s="31">
        <f>SUM(C456)</f>
        <v>12800</v>
      </c>
      <c r="F455" s="206"/>
    </row>
    <row r="456" spans="1:7" x14ac:dyDescent="0.25">
      <c r="A456" s="12" t="s">
        <v>227</v>
      </c>
      <c r="B456" s="101" t="s">
        <v>226</v>
      </c>
      <c r="C456" s="24">
        <v>12800</v>
      </c>
      <c r="F456" s="206"/>
      <c r="G456" s="394"/>
    </row>
    <row r="457" spans="1:7" s="12" customFormat="1" ht="13.5" customHeight="1" x14ac:dyDescent="0.25">
      <c r="A457" s="11" t="s">
        <v>105</v>
      </c>
      <c r="B457" s="11" t="s">
        <v>106</v>
      </c>
      <c r="C457" s="31">
        <f>SUM(C458)</f>
        <v>25000</v>
      </c>
      <c r="D457" s="356"/>
      <c r="F457" s="435"/>
      <c r="G457" s="5"/>
    </row>
    <row r="458" spans="1:7" s="5" customFormat="1" x14ac:dyDescent="0.25">
      <c r="A458" s="12" t="s">
        <v>86</v>
      </c>
      <c r="B458" s="72" t="s">
        <v>66</v>
      </c>
      <c r="C458" s="24">
        <v>25000</v>
      </c>
      <c r="D458" s="478"/>
      <c r="E458" s="486"/>
      <c r="F458" s="475"/>
    </row>
    <row r="459" spans="1:7" s="5" customFormat="1" x14ac:dyDescent="0.25">
      <c r="A459" s="11" t="s">
        <v>107</v>
      </c>
      <c r="B459" s="265" t="s">
        <v>108</v>
      </c>
      <c r="C459" s="31">
        <f>SUM(C460)</f>
        <v>25000</v>
      </c>
      <c r="D459" s="478"/>
      <c r="E459" s="486"/>
      <c r="F459" s="475"/>
      <c r="G459" s="410"/>
    </row>
    <row r="460" spans="1:7" s="5" customFormat="1" x14ac:dyDescent="0.25">
      <c r="A460" s="12" t="s">
        <v>47</v>
      </c>
      <c r="B460" s="23" t="s">
        <v>48</v>
      </c>
      <c r="C460" s="24">
        <v>25000</v>
      </c>
      <c r="D460" s="478"/>
      <c r="E460" s="487"/>
      <c r="F460" s="475"/>
      <c r="G460" s="410"/>
    </row>
    <row r="461" spans="1:7" s="5" customFormat="1" x14ac:dyDescent="0.25">
      <c r="A461" s="265" t="s">
        <v>124</v>
      </c>
      <c r="B461" s="31" t="s">
        <v>123</v>
      </c>
      <c r="C461" s="31">
        <f>SUM(C462)</f>
        <v>6500</v>
      </c>
      <c r="D461" s="478"/>
      <c r="E461" s="487"/>
      <c r="F461" s="475"/>
      <c r="G461" s="410"/>
    </row>
    <row r="462" spans="1:7" s="5" customFormat="1" x14ac:dyDescent="0.3">
      <c r="A462" s="72" t="s">
        <v>93</v>
      </c>
      <c r="B462" s="24" t="s">
        <v>72</v>
      </c>
      <c r="C462" s="24">
        <v>6500</v>
      </c>
      <c r="D462" s="66"/>
      <c r="E462" s="486"/>
      <c r="F462" s="475"/>
      <c r="G462" s="410"/>
    </row>
    <row r="463" spans="1:7" s="5" customFormat="1" x14ac:dyDescent="0.25">
      <c r="A463" s="265" t="s">
        <v>151</v>
      </c>
      <c r="B463" s="25" t="s">
        <v>125</v>
      </c>
      <c r="C463" s="31">
        <f>SUM(C464:C465)</f>
        <v>23500</v>
      </c>
      <c r="D463" s="403"/>
      <c r="E463" s="488"/>
      <c r="F463" s="475"/>
      <c r="G463" s="410"/>
    </row>
    <row r="464" spans="1:7" s="5" customFormat="1" x14ac:dyDescent="0.25">
      <c r="A464" s="72" t="s">
        <v>153</v>
      </c>
      <c r="B464" s="24" t="s">
        <v>70</v>
      </c>
      <c r="C464" s="24">
        <v>12500</v>
      </c>
      <c r="E464" s="476"/>
      <c r="F464" s="475"/>
      <c r="G464" s="410"/>
    </row>
    <row r="465" spans="1:10" s="5" customFormat="1" x14ac:dyDescent="0.25">
      <c r="A465" s="72" t="s">
        <v>155</v>
      </c>
      <c r="B465" s="23" t="s">
        <v>125</v>
      </c>
      <c r="C465" s="24">
        <v>11000</v>
      </c>
      <c r="E465" s="476"/>
      <c r="F465" s="475"/>
      <c r="G465" s="410"/>
    </row>
    <row r="466" spans="1:10" s="5" customFormat="1" ht="13.5" thickBot="1" x14ac:dyDescent="0.3">
      <c r="A466" s="72"/>
      <c r="B466" s="24"/>
      <c r="C466" s="23"/>
      <c r="D466" s="403"/>
      <c r="E466" s="488"/>
      <c r="F466" s="475"/>
      <c r="G466" s="3"/>
    </row>
    <row r="467" spans="1:10" ht="13.5" thickBot="1" x14ac:dyDescent="0.3">
      <c r="A467" s="1096" t="s">
        <v>3</v>
      </c>
      <c r="B467" s="1097"/>
      <c r="C467" s="668">
        <f>C468+C470+C472+C474</f>
        <v>2238280</v>
      </c>
      <c r="D467" s="479"/>
      <c r="E467" s="479"/>
      <c r="G467" s="349"/>
    </row>
    <row r="468" spans="1:10" s="349" customFormat="1" x14ac:dyDescent="0.25">
      <c r="A468" s="265" t="s">
        <v>110</v>
      </c>
      <c r="B468" s="298" t="s">
        <v>111</v>
      </c>
      <c r="C468" s="32">
        <f>SUM(C469:C469)</f>
        <v>18000</v>
      </c>
      <c r="D468" s="376"/>
      <c r="E468" s="376"/>
      <c r="F468" s="406"/>
      <c r="G468" s="361"/>
    </row>
    <row r="469" spans="1:10" s="72" customFormat="1" ht="13.5" customHeight="1" x14ac:dyDescent="0.25">
      <c r="A469" s="72" t="s">
        <v>52</v>
      </c>
      <c r="B469" s="24" t="s">
        <v>15</v>
      </c>
      <c r="C469" s="24">
        <v>18000</v>
      </c>
      <c r="D469" s="356"/>
      <c r="E469" s="488"/>
      <c r="F469" s="475"/>
      <c r="G469" s="361"/>
      <c r="H469" s="24"/>
    </row>
    <row r="470" spans="1:10" s="72" customFormat="1" ht="13.5" customHeight="1" x14ac:dyDescent="0.25">
      <c r="A470" s="11" t="s">
        <v>120</v>
      </c>
      <c r="B470" s="31" t="s">
        <v>121</v>
      </c>
      <c r="C470" s="31">
        <f>SUM(C471)</f>
        <v>5100</v>
      </c>
      <c r="D470" s="356"/>
      <c r="E470" s="488"/>
      <c r="F470" s="475"/>
      <c r="G470" s="361"/>
      <c r="H470" s="24"/>
    </row>
    <row r="471" spans="1:10" s="72" customFormat="1" ht="13.5" customHeight="1" x14ac:dyDescent="0.25">
      <c r="A471" s="12" t="s">
        <v>136</v>
      </c>
      <c r="B471" s="12" t="s">
        <v>71</v>
      </c>
      <c r="C471" s="24">
        <v>5100</v>
      </c>
      <c r="D471" s="356"/>
      <c r="E471" s="488"/>
      <c r="F471" s="475"/>
      <c r="G471" s="361"/>
      <c r="H471" s="24"/>
    </row>
    <row r="472" spans="1:10" s="72" customFormat="1" ht="13.5" customHeight="1" x14ac:dyDescent="0.25">
      <c r="A472" s="265" t="s">
        <v>112</v>
      </c>
      <c r="B472" s="31" t="s">
        <v>157</v>
      </c>
      <c r="C472" s="31">
        <f>SUM(C473:C473)</f>
        <v>180000</v>
      </c>
      <c r="D472" s="356"/>
      <c r="E472" s="488"/>
      <c r="F472" s="475"/>
      <c r="G472" s="361"/>
      <c r="H472" s="24"/>
    </row>
    <row r="473" spans="1:10" s="72" customFormat="1" ht="13.5" customHeight="1" x14ac:dyDescent="0.25">
      <c r="A473" s="72" t="s">
        <v>156</v>
      </c>
      <c r="B473" s="12" t="s">
        <v>87</v>
      </c>
      <c r="C473" s="24">
        <v>180000</v>
      </c>
      <c r="D473" s="356"/>
      <c r="F473" s="488"/>
      <c r="G473" s="475"/>
      <c r="H473" s="361"/>
    </row>
    <row r="474" spans="1:10" s="72" customFormat="1" ht="13.5" customHeight="1" x14ac:dyDescent="0.25">
      <c r="A474" s="265" t="s">
        <v>115</v>
      </c>
      <c r="B474" s="31" t="s">
        <v>8</v>
      </c>
      <c r="C474" s="31">
        <f>SUM(C475:C479)</f>
        <v>2035180</v>
      </c>
      <c r="D474" s="356"/>
      <c r="F474" s="488"/>
      <c r="G474" s="475"/>
      <c r="H474" s="361"/>
    </row>
    <row r="475" spans="1:10" s="72" customFormat="1" ht="13.5" customHeight="1" x14ac:dyDescent="0.25">
      <c r="A475" s="72" t="s">
        <v>92</v>
      </c>
      <c r="B475" s="24" t="s">
        <v>8</v>
      </c>
      <c r="C475" s="24">
        <v>1734380</v>
      </c>
      <c r="D475" s="477"/>
      <c r="F475" s="357"/>
      <c r="G475" s="363"/>
      <c r="H475" s="363"/>
    </row>
    <row r="476" spans="1:10" s="11" customFormat="1" ht="13.5" customHeight="1" x14ac:dyDescent="0.25">
      <c r="A476" s="72" t="s">
        <v>94</v>
      </c>
      <c r="B476" s="24" t="s">
        <v>50</v>
      </c>
      <c r="C476" s="24">
        <v>50000</v>
      </c>
      <c r="D476" s="356"/>
      <c r="E476" s="476"/>
      <c r="F476" s="475"/>
      <c r="G476" s="363"/>
      <c r="H476" s="72"/>
      <c r="I476" s="72"/>
      <c r="J476" s="72"/>
    </row>
    <row r="477" spans="1:10" s="11" customFormat="1" ht="13.5" customHeight="1" x14ac:dyDescent="0.25">
      <c r="A477" s="72" t="s">
        <v>224</v>
      </c>
      <c r="B477" s="43" t="s">
        <v>223</v>
      </c>
      <c r="C477" s="24">
        <v>35000</v>
      </c>
      <c r="D477" s="356"/>
      <c r="E477" s="476"/>
      <c r="F477" s="475"/>
      <c r="G477" s="353"/>
      <c r="H477" s="72"/>
      <c r="I477" s="72"/>
      <c r="J477" s="72"/>
    </row>
    <row r="478" spans="1:10" s="72" customFormat="1" ht="13.5" customHeight="1" x14ac:dyDescent="0.25">
      <c r="A478" s="72" t="s">
        <v>222</v>
      </c>
      <c r="B478" s="12" t="s">
        <v>221</v>
      </c>
      <c r="C478" s="24">
        <v>190000</v>
      </c>
      <c r="G478" s="361"/>
    </row>
    <row r="479" spans="1:10" s="72" customFormat="1" ht="13.5" customHeight="1" x14ac:dyDescent="0.25">
      <c r="A479" s="72" t="s">
        <v>90</v>
      </c>
      <c r="B479" s="24" t="s">
        <v>7</v>
      </c>
      <c r="C479" s="24">
        <v>25800</v>
      </c>
      <c r="D479" s="356"/>
      <c r="E479" s="488"/>
      <c r="F479" s="474"/>
      <c r="G479" s="363"/>
      <c r="H479" s="12"/>
      <c r="J479" s="23"/>
    </row>
    <row r="480" spans="1:10" s="72" customFormat="1" ht="13.5" customHeight="1" thickBot="1" x14ac:dyDescent="0.3">
      <c r="B480" s="24"/>
      <c r="C480" s="23"/>
      <c r="D480" s="477"/>
      <c r="E480" s="353"/>
      <c r="F480" s="475"/>
      <c r="G480" s="3"/>
    </row>
    <row r="481" spans="1:7" ht="13.5" thickBot="1" x14ac:dyDescent="0.3">
      <c r="A481" s="1100" t="s">
        <v>4</v>
      </c>
      <c r="B481" s="1101"/>
      <c r="C481" s="725">
        <f>C482</f>
        <v>25000</v>
      </c>
      <c r="G481" s="349"/>
    </row>
    <row r="482" spans="1:7" s="349" customFormat="1" x14ac:dyDescent="0.25">
      <c r="A482" s="265" t="s">
        <v>166</v>
      </c>
      <c r="B482" s="25" t="s">
        <v>134</v>
      </c>
      <c r="C482" s="32">
        <f>SUM(C483)</f>
        <v>25000</v>
      </c>
      <c r="D482" s="348"/>
      <c r="E482" s="348"/>
      <c r="F482" s="406"/>
      <c r="G482" s="410"/>
    </row>
    <row r="483" spans="1:7" s="5" customFormat="1" x14ac:dyDescent="0.25">
      <c r="A483" s="72" t="s">
        <v>167</v>
      </c>
      <c r="B483" s="23" t="s">
        <v>51</v>
      </c>
      <c r="C483" s="24">
        <v>25000</v>
      </c>
      <c r="D483" s="352"/>
      <c r="E483" s="352"/>
      <c r="F483" s="475"/>
      <c r="G483" s="3"/>
    </row>
    <row r="485" spans="1:7" x14ac:dyDescent="0.25">
      <c r="D485" s="18">
        <f>+E450+E397+E324+E252+E175+E19</f>
        <v>121642623</v>
      </c>
    </row>
  </sheetData>
  <mergeCells count="30">
    <mergeCell ref="A415:B415"/>
    <mergeCell ref="A254:B254"/>
    <mergeCell ref="A284:B284"/>
    <mergeCell ref="A300:B300"/>
    <mergeCell ref="A114:B114"/>
    <mergeCell ref="A131:B131"/>
    <mergeCell ref="A149:B149"/>
    <mergeCell ref="A203:B203"/>
    <mergeCell ref="A222:B222"/>
    <mergeCell ref="A232:B232"/>
    <mergeCell ref="A6:E14"/>
    <mergeCell ref="A104:D107"/>
    <mergeCell ref="A244:E247"/>
    <mergeCell ref="A314:E319"/>
    <mergeCell ref="A21:B21"/>
    <mergeCell ref="A44:B44"/>
    <mergeCell ref="A68:B68"/>
    <mergeCell ref="A88:B88"/>
    <mergeCell ref="A93:B93"/>
    <mergeCell ref="A177:B177"/>
    <mergeCell ref="A467:B467"/>
    <mergeCell ref="A481:B481"/>
    <mergeCell ref="A326:B326"/>
    <mergeCell ref="A356:B356"/>
    <mergeCell ref="A375:B375"/>
    <mergeCell ref="A399:B399"/>
    <mergeCell ref="A387:E392"/>
    <mergeCell ref="A440:E445"/>
    <mergeCell ref="A433:B433"/>
    <mergeCell ref="A452:B452"/>
  </mergeCells>
  <pageMargins left="0.78740157480314965" right="0.19685039370078741" top="0.78740157480314965" bottom="0.78740157480314965" header="0.39370078740157483" footer="0.19685039370078741"/>
  <pageSetup paperSize="9" scale="90" orientation="portrait" r:id="rId1"/>
  <headerFooter alignWithMargins="0">
    <oddHeader xml:space="preserve">&amp;L&amp;"Arial Narrow,Normal"&amp;8Presupuesto Municipal 2020
&amp;R&amp;"Arial Narrow,Normal"&amp;8MUNICIPALIDAD DE VILLA MARÍA
Secretaría de Economía y Finanzas
</oddHeader>
  </headerFooter>
  <rowBreaks count="8" manualBreakCount="8">
    <brk id="58" max="4" man="1"/>
    <brk id="113" max="4" man="1"/>
    <brk id="170" max="4" man="1"/>
    <brk id="231" max="4" man="1"/>
    <brk id="290" max="4" man="1"/>
    <brk id="348" max="4" man="1"/>
    <brk id="403" max="4" man="1"/>
    <brk id="46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17</vt:i4>
      </vt:variant>
    </vt:vector>
  </HeadingPairs>
  <TitlesOfParts>
    <vt:vector size="35" baseType="lpstr">
      <vt:lpstr>INGRESOS 2020 </vt:lpstr>
      <vt:lpstr>Ejecutivo y Privada 2020</vt:lpstr>
      <vt:lpstr>Gabinete 2020</vt:lpstr>
      <vt:lpstr>Gobierno 2020</vt:lpstr>
      <vt:lpstr>URBANO 2020</vt:lpstr>
      <vt:lpstr>Economía 2020</vt:lpstr>
      <vt:lpstr>Inclusión Social 2020</vt:lpstr>
      <vt:lpstr>Salud 2020</vt:lpstr>
      <vt:lpstr>Educacion 2020</vt:lpstr>
      <vt:lpstr>justicia de faltas 2020</vt:lpstr>
      <vt:lpstr>Concejo Deliberante 2020</vt:lpstr>
      <vt:lpstr>Trib-Ctas 2020</vt:lpstr>
      <vt:lpstr>Auditoria 2020</vt:lpstr>
      <vt:lpstr>T-Reclam-Apelac-2020</vt:lpstr>
      <vt:lpstr>Ente Control SM 2020</vt:lpstr>
      <vt:lpstr>T-Admis-Conc-2020</vt:lpstr>
      <vt:lpstr>CAM 2020</vt:lpstr>
      <vt:lpstr>JUSTICIA ELECTORAL 2020</vt:lpstr>
      <vt:lpstr>'Auditoria 2020'!Área_de_impresión</vt:lpstr>
      <vt:lpstr>'CAM 2020'!Área_de_impresión</vt:lpstr>
      <vt:lpstr>'Concejo Deliberante 2020'!Área_de_impresión</vt:lpstr>
      <vt:lpstr>'Economía 2020'!Área_de_impresión</vt:lpstr>
      <vt:lpstr>'Educacion 2020'!Área_de_impresión</vt:lpstr>
      <vt:lpstr>'Ejecutivo y Privada 2020'!Área_de_impresión</vt:lpstr>
      <vt:lpstr>'Ente Control SM 2020'!Área_de_impresión</vt:lpstr>
      <vt:lpstr>'Gabinete 2020'!Área_de_impresión</vt:lpstr>
      <vt:lpstr>'Gobierno 2020'!Área_de_impresión</vt:lpstr>
      <vt:lpstr>'Inclusión Social 2020'!Área_de_impresión</vt:lpstr>
      <vt:lpstr>'INGRESOS 2020 '!Área_de_impresión</vt:lpstr>
      <vt:lpstr>'justicia de faltas 2020'!Área_de_impresión</vt:lpstr>
      <vt:lpstr>'JUSTICIA ELECTORAL 2020'!Área_de_impresión</vt:lpstr>
      <vt:lpstr>'Salud 2020'!Área_de_impresión</vt:lpstr>
      <vt:lpstr>'T-Admis-Conc-2020'!Área_de_impresión</vt:lpstr>
      <vt:lpstr>'T-Reclam-Apelac-2020'!Área_de_impresión</vt:lpstr>
      <vt:lpstr>'Trib-Ctas 2020'!Área_de_impresión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2021-06-30T14:08:51Z</dcterms:created>
  <dcterms:modified xsi:type="dcterms:W3CDTF">2021-06-30T14:10:18Z</dcterms:modified>
</cp:coreProperties>
</file>