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892" activeTab="0"/>
  </bookViews>
  <sheets>
    <sheet name="EDUCACION Y CULTURA" sheetId="1" r:id="rId1"/>
    <sheet name="SALUD Y PREVENCION" sheetId="2" r:id="rId2"/>
    <sheet name="DESARROLLO URBANISTICO" sheetId="3" r:id="rId3"/>
    <sheet name="INCLUSION SOCIAL" sheetId="4" r:id="rId4"/>
    <sheet name="SEGURIDAD CIUDADANA" sheetId="5" r:id="rId5"/>
    <sheet name="TRANSPARENCIA" sheetId="6" r:id="rId6"/>
    <sheet name="AUTOSUSTENTABILIDAD" sheetId="7" r:id="rId7"/>
    <sheet name="RESGUAR-APOYO" sheetId="8" r:id="rId8"/>
    <sheet name="JUSTICIA DE FALTAS" sheetId="9" r:id="rId9"/>
    <sheet name="CD" sheetId="10" r:id="rId10"/>
    <sheet name="TRIBUNAL DE CUENTAS" sheetId="11" r:id="rId11"/>
    <sheet name="AUDITORIA" sheetId="12" r:id="rId12"/>
    <sheet name="TMRECLAMOS" sheetId="13" r:id="rId13"/>
    <sheet name="ENTE CONTROL" sheetId="14" r:id="rId14"/>
    <sheet name="TADMISIONES" sheetId="15" r:id="rId15"/>
    <sheet name="CAM" sheetId="16" r:id="rId16"/>
    <sheet name="JUSTICIA ELECTORAL" sheetId="17" r:id="rId17"/>
  </sheets>
  <definedNames/>
  <calcPr fullCalcOnLoad="1"/>
</workbook>
</file>

<file path=xl/sharedStrings.xml><?xml version="1.0" encoding="utf-8"?>
<sst xmlns="http://schemas.openxmlformats.org/spreadsheetml/2006/main" count="9118" uniqueCount="1122">
  <si>
    <t>COSTO TOTAL PROGRAMA:</t>
  </si>
  <si>
    <t>PERSONAL</t>
  </si>
  <si>
    <t>BIENES DE CONSUMO</t>
  </si>
  <si>
    <t>SERVICIOS</t>
  </si>
  <si>
    <t>BIENES DE CAPITAL</t>
  </si>
  <si>
    <t>TRANSFERENCIAS</t>
  </si>
  <si>
    <t>CÓDIGO:</t>
  </si>
  <si>
    <t>Otros Servicios</t>
  </si>
  <si>
    <t>Locaciones y Contrataciones Varias</t>
  </si>
  <si>
    <t>Muebles y  Equipos de Oficina</t>
  </si>
  <si>
    <t>UNIDAD EJECUTORA: Departamento Ejecutivo.</t>
  </si>
  <si>
    <t>DURACION ESTIMADA: 12 meses.</t>
  </si>
  <si>
    <t>Subsidios a Entregar</t>
  </si>
  <si>
    <t>DURACIÓN ESTIMADA: 12 meses.</t>
  </si>
  <si>
    <t>COSTO TOTAL DEL PROGRAMA:</t>
  </si>
  <si>
    <t>Alquileres Varios</t>
  </si>
  <si>
    <t>Transferencia Escuela Granja "Los Amigos"</t>
  </si>
  <si>
    <t>Transferencia IMV - Instituto Municipal de la Vivienda</t>
  </si>
  <si>
    <t>Transferencia IMI - Instituto Municipal de Inversión</t>
  </si>
  <si>
    <t>Otros Gastos en Personal Permanente</t>
  </si>
  <si>
    <t>Sueldos y Salarios Personal Permanente</t>
  </si>
  <si>
    <t>Asignaciones Familiares Personal Permanente</t>
  </si>
  <si>
    <t>Contribuciones Patronales Personal Permanente</t>
  </si>
  <si>
    <t>2.1.1.1.01.01</t>
  </si>
  <si>
    <t>2.1.1.1.01.02</t>
  </si>
  <si>
    <t>2.1.1.1.01.03</t>
  </si>
  <si>
    <t>2.1.1.1.01.04</t>
  </si>
  <si>
    <t>2.1.1.1.01.05</t>
  </si>
  <si>
    <t>2.1.1.1.01.06</t>
  </si>
  <si>
    <t>Asignaciones Familiares Autoridades y Personal Directivo</t>
  </si>
  <si>
    <t>2.1.1.1.02.01</t>
  </si>
  <si>
    <t>2.1.1.1.02.02</t>
  </si>
  <si>
    <t>2.1.1.1.02.03</t>
  </si>
  <si>
    <t>2.1.1.1.02.04</t>
  </si>
  <si>
    <t>2.1.1.1.02.05</t>
  </si>
  <si>
    <t>Sueldos y Salarios Personal Contratado</t>
  </si>
  <si>
    <t>Asignaciones Familiares Personal Contratado</t>
  </si>
  <si>
    <t>Contribuciones Patronales Personal Contratado</t>
  </si>
  <si>
    <t>Otros Gastos en Personal Contratado</t>
  </si>
  <si>
    <t>2.1.1.1.03.01</t>
  </si>
  <si>
    <t>2.1.1.1.03.02</t>
  </si>
  <si>
    <t>2.1.1.1.03.03</t>
  </si>
  <si>
    <t>2.1.1.1.03.04</t>
  </si>
  <si>
    <t>2.1.1.1.03.05</t>
  </si>
  <si>
    <t>2.1.1.1.03.06</t>
  </si>
  <si>
    <t>Racionamiento, Alimentos y Productos Alimenticios para Personas</t>
  </si>
  <si>
    <t>2.1.1.2.01.01</t>
  </si>
  <si>
    <t>2.1.1.2.04.01</t>
  </si>
  <si>
    <t>Útiles, Artículos de Librería, Insumos Informáticos</t>
  </si>
  <si>
    <t xml:space="preserve">2.1.1.3.05.02       </t>
  </si>
  <si>
    <t>Pasajes, Viáticos y Movilidad</t>
  </si>
  <si>
    <t>Otros Bienes de Capital no Especificados</t>
  </si>
  <si>
    <t>2.1.1.3.02.04</t>
  </si>
  <si>
    <t>2.1.1.3.06.03</t>
  </si>
  <si>
    <t>Imprenta, Publicaciones y Reproducciones</t>
  </si>
  <si>
    <t>2.1.1.3.07.01</t>
  </si>
  <si>
    <t>Publicidad y Propaganda</t>
  </si>
  <si>
    <t>2.2.1.1.04.04</t>
  </si>
  <si>
    <t>Aparatos Audio-Visuales y Electrónicos Varios</t>
  </si>
  <si>
    <t>2.1.1.4.01.01</t>
  </si>
  <si>
    <t>2.1.1.4.01.02</t>
  </si>
  <si>
    <t>2.1.1.4.01.03</t>
  </si>
  <si>
    <t>Otras Transferencias al Sector Público</t>
  </si>
  <si>
    <t>2.1.1.4.01.08</t>
  </si>
  <si>
    <t>Trámites y Gastos Varios</t>
  </si>
  <si>
    <t>Elementos de Limpieza e Higiene</t>
  </si>
  <si>
    <t>Productos de Artes Gráficas</t>
  </si>
  <si>
    <t>2.1.1.2.03.01</t>
  </si>
  <si>
    <t>Libros, Revistas y Periódicos</t>
  </si>
  <si>
    <t>Repuestos y Accesorios de Equipos y Sistemas Informáticos y de Comunicación en General</t>
  </si>
  <si>
    <t>Premios, Obsequios, Presentes, Otros</t>
  </si>
  <si>
    <t>Mantenimiento y Reparaciones Varias</t>
  </si>
  <si>
    <t>Materiales Conservaciones Varias</t>
  </si>
  <si>
    <t>Suscripciones</t>
  </si>
  <si>
    <t>Primas y Gastos de Seguros</t>
  </si>
  <si>
    <t>2.1.1.3.06.05</t>
  </si>
  <si>
    <t>Seguros Personal Permanente</t>
  </si>
  <si>
    <t>Indemnizaciones Personal Permanente</t>
  </si>
  <si>
    <t>Sueldos y Salarios Autoridades y Personal Jerárquico</t>
  </si>
  <si>
    <t>Contribuciones Patronales Autoridades y Personal Jerárquico</t>
  </si>
  <si>
    <t>Seguros Autoridades y Personal Jerárquico</t>
  </si>
  <si>
    <t>Indemnizaciones Autoridades y Personal Jerárquico</t>
  </si>
  <si>
    <t>Otros Gastos en Autoridades y Personal Jerárquico</t>
  </si>
  <si>
    <t>2.1.1.1.02.06</t>
  </si>
  <si>
    <t>Seguros Personal Contratado</t>
  </si>
  <si>
    <t>Indemnizaciones Personal Contratado</t>
  </si>
  <si>
    <t>2.1.1.2.03.02</t>
  </si>
  <si>
    <t>Honorarios por Servicios Técnicos y Profesionales</t>
  </si>
  <si>
    <t>2.1.1.3.06.07</t>
  </si>
  <si>
    <t>2.1.1.3.09.01</t>
  </si>
  <si>
    <t>2.1.1.3.09.08</t>
  </si>
  <si>
    <t>2.2.1.1.04.01</t>
  </si>
  <si>
    <t xml:space="preserve">2.1.1.3.09.01       </t>
  </si>
  <si>
    <t>2.1.1.2.08.05</t>
  </si>
  <si>
    <t xml:space="preserve">2.1.1.3.09.03      </t>
  </si>
  <si>
    <t>2.1.1.3.07.04</t>
  </si>
  <si>
    <t>Costos de Creación, Edición y Distribución de Material de Difusión</t>
  </si>
  <si>
    <t>2.1.1.1.01.</t>
  </si>
  <si>
    <t>Personal Permanente</t>
  </si>
  <si>
    <t>2.1.1.1.02.</t>
  </si>
  <si>
    <t>Autoridades y Personal Jerárquico</t>
  </si>
  <si>
    <t>2.1.1.1.03.</t>
  </si>
  <si>
    <t>Personal Contratado</t>
  </si>
  <si>
    <t>2.1.1.2.01.</t>
  </si>
  <si>
    <t>Productos Alimenticios, Agropecuarios y Forestales</t>
  </si>
  <si>
    <t>2.1.1.2.03.</t>
  </si>
  <si>
    <t>Productos de Papel, Cartón e Impresos</t>
  </si>
  <si>
    <t>2.1.1.2.04.</t>
  </si>
  <si>
    <t>Útiles e Insumos de Oficina y Enseñanza</t>
  </si>
  <si>
    <t>Repuestos, Accesorios, Herramientas Menores y Otros</t>
  </si>
  <si>
    <t>2.1.1.3.02.</t>
  </si>
  <si>
    <t>Alquileres y Derechos</t>
  </si>
  <si>
    <t>2.1.1.3.05.</t>
  </si>
  <si>
    <t>2.1.1.3.06.</t>
  </si>
  <si>
    <t>Servicios Comerciales y Financieros</t>
  </si>
  <si>
    <t>2.1.1.3.09.</t>
  </si>
  <si>
    <t>2.2.1.1.04.</t>
  </si>
  <si>
    <t>Muebles, Equipos de Oficina, Comunicación, Educacional y Recreativo</t>
  </si>
  <si>
    <t>2.2.1.1.06.</t>
  </si>
  <si>
    <t>2.1.1.2.07.</t>
  </si>
  <si>
    <t>2.1.1.3.03.</t>
  </si>
  <si>
    <t>Servicios de Mantenimiento, Reparación y Limpieza</t>
  </si>
  <si>
    <t>Servicios Técnicos y Profesionale</t>
  </si>
  <si>
    <t>Materiales Conservación y/o Construcción</t>
  </si>
  <si>
    <t>2.1.1.2.08.</t>
  </si>
  <si>
    <t>Bienes de Consumo Varios</t>
  </si>
  <si>
    <t>2.1.1.4.01.</t>
  </si>
  <si>
    <t>Transferencias al Sector Público</t>
  </si>
  <si>
    <t>2.1.1.4.02.</t>
  </si>
  <si>
    <t>Transferencias al Sector Privado</t>
  </si>
  <si>
    <t>Libros, Revistas y Otros Elementos Coleccionables</t>
  </si>
  <si>
    <t>2.2.1.1.05.</t>
  </si>
  <si>
    <t>2.1.1.3.07.</t>
  </si>
  <si>
    <t xml:space="preserve">Bienes de Consumo Varios </t>
  </si>
  <si>
    <t xml:space="preserve">Otros Bienes de Capital </t>
  </si>
  <si>
    <t>Otros Bienes de Capital</t>
  </si>
  <si>
    <t>2.1.1.3.03.07</t>
  </si>
  <si>
    <t>Capacitación/es y Cursos</t>
  </si>
  <si>
    <t>2.1.1.3.05.01</t>
  </si>
  <si>
    <t>Muebles y Equipos de Oficina</t>
  </si>
  <si>
    <t>2.1.1.3.03.06</t>
  </si>
  <si>
    <t>Mantenimiento y Reparación de Inmuebles</t>
  </si>
  <si>
    <t xml:space="preserve">Auspicios / Adhesiones </t>
  </si>
  <si>
    <t>2.1.1.3.07.03</t>
  </si>
  <si>
    <t>2.1.1.4.02.13</t>
  </si>
  <si>
    <t>Transferencias a Cooperativas y Empresas Privadas</t>
  </si>
  <si>
    <t>2.1.1.4.02.12</t>
  </si>
  <si>
    <t>2.1.1.4.02.09</t>
  </si>
  <si>
    <t xml:space="preserve">Transferencias de los Recursos por Juegos de Azar </t>
  </si>
  <si>
    <t>2.1.1.2.07.02</t>
  </si>
  <si>
    <t>2.1.1.2.09.</t>
  </si>
  <si>
    <t>2.1.1.2.09.01</t>
  </si>
  <si>
    <t>2.1.1.2.09.05</t>
  </si>
  <si>
    <t>2.1.1.2.09.06</t>
  </si>
  <si>
    <t xml:space="preserve">2.1.1.2.09.06        </t>
  </si>
  <si>
    <t>2.1.1.3.05.02</t>
  </si>
  <si>
    <t>Servicios Técnicos y Profesionales</t>
  </si>
  <si>
    <t>DUARCION ESTIMADA: 12 meses.</t>
  </si>
  <si>
    <t>Alquileres de Edificios, Locales e Inmuebles</t>
  </si>
  <si>
    <t>2.1.1.3.02.01</t>
  </si>
  <si>
    <t>Racionamiento, Alimento y Productos Alimenticios para Personas</t>
  </si>
  <si>
    <t>2.2.1.1.04.05</t>
  </si>
  <si>
    <t>Muebles y Equipos Especializados</t>
  </si>
  <si>
    <t>2.1.1.3.06.04</t>
  </si>
  <si>
    <t>2.2.1.1.05.01</t>
  </si>
  <si>
    <t>2.2.1.1.07.</t>
  </si>
  <si>
    <t>2.2.1.1.07.02</t>
  </si>
  <si>
    <t>Rodados</t>
  </si>
  <si>
    <t>2.2.1.1.03.01</t>
  </si>
  <si>
    <t>Vehículos y Rodados</t>
  </si>
  <si>
    <t>2.2.1.1.03.</t>
  </si>
  <si>
    <t>Herramientas y Repuestos Mayores</t>
  </si>
  <si>
    <t>2.2.1.1.02.05</t>
  </si>
  <si>
    <t>Equipos y Maquinarias</t>
  </si>
  <si>
    <t>2.2.1.1.02.04</t>
  </si>
  <si>
    <t xml:space="preserve">Equipos y Aparatos de Seguridad </t>
  </si>
  <si>
    <t>2.2.1.1.02.02</t>
  </si>
  <si>
    <t>Equipos y Maquinarias, Herramientas y Repuestos Mayores</t>
  </si>
  <si>
    <t>2.2.1.1.02.</t>
  </si>
  <si>
    <t>Homenajes y Cortesías</t>
  </si>
  <si>
    <t>2.1.1.3.09.04</t>
  </si>
  <si>
    <t xml:space="preserve">Pasajes, Viáticos y Movilidad </t>
  </si>
  <si>
    <t>2.1.1.3.09.03</t>
  </si>
  <si>
    <t xml:space="preserve">Mantenimiento y Reparación de Rodados </t>
  </si>
  <si>
    <t>2.1.1.3.03.04</t>
  </si>
  <si>
    <t xml:space="preserve">Alquileres Varios              </t>
  </si>
  <si>
    <t>Herramientas Menores</t>
  </si>
  <si>
    <t>2.1.1.2.07.06</t>
  </si>
  <si>
    <t>Repuestos y Accesorios Rodados</t>
  </si>
  <si>
    <t>2.1.1.2.07.04</t>
  </si>
  <si>
    <t>Cubiertas y Cámaras de Aire</t>
  </si>
  <si>
    <t>2.1.1.2.07.01</t>
  </si>
  <si>
    <t xml:space="preserve">Repuestos, Accesorios, Herramientas Menores y Otros </t>
  </si>
  <si>
    <t xml:space="preserve">Combustibles y Lubricantes </t>
  </si>
  <si>
    <t>2.1.1.2.05.01</t>
  </si>
  <si>
    <t>Combustibles, Lubricantes, Productos Químicos</t>
  </si>
  <si>
    <t>2.1.1.2.05.</t>
  </si>
  <si>
    <t>Prendas de Vestir, Uniformes y otros Accesorios o Artículos de Ropería</t>
  </si>
  <si>
    <t>2.1.1.2.02.01</t>
  </si>
  <si>
    <t xml:space="preserve">Textiles y Vestuario </t>
  </si>
  <si>
    <t>2.1.1.2.02.</t>
  </si>
  <si>
    <t xml:space="preserve"> </t>
  </si>
  <si>
    <t>UNIDAD EJECUTORA: Jefatura de Gabinete.</t>
  </si>
  <si>
    <t>2.2.1.1.06.02</t>
  </si>
  <si>
    <t>2.2.1.1.04.02</t>
  </si>
  <si>
    <t xml:space="preserve">Servicios de Seguridad y Vigilancia </t>
  </si>
  <si>
    <t>2.1.1.3.09.07</t>
  </si>
  <si>
    <t>Mantenimientos y Reparaciones Varias</t>
  </si>
  <si>
    <t>Mantenimiento y Reparación de Equipos y Maquinarias</t>
  </si>
  <si>
    <t>2.1.1.3.03.05</t>
  </si>
  <si>
    <t>Elementos e Insumos de Seguridad</t>
  </si>
  <si>
    <t>2.1.1.2.09.03</t>
  </si>
  <si>
    <t>Repuestos y Accesorios Equipos y Maquinaria</t>
  </si>
  <si>
    <t>2.1.1.2.07.05</t>
  </si>
  <si>
    <t>Tintas, Pinturas y Colorantes</t>
  </si>
  <si>
    <t>2.1.1.2.05.02</t>
  </si>
  <si>
    <t>Combustibles y Lubricantes</t>
  </si>
  <si>
    <t>Útiles, Art. de Librería, Ins. Informáticos</t>
  </si>
  <si>
    <t>Indumentaria y Accesorios de Seguridad Laboral</t>
  </si>
  <si>
    <t>2.1.1.2.02.03</t>
  </si>
  <si>
    <t>Textiles y Vestuario</t>
  </si>
  <si>
    <t>COSTO TOTAL PROGRAMA</t>
  </si>
  <si>
    <t>Gastos Varios Protocolares y de Organización de Eventos</t>
  </si>
  <si>
    <t>2.1.1.3.09.06</t>
  </si>
  <si>
    <t>Gastos Protocolares de Traslado, Alojamiento y Estadía</t>
  </si>
  <si>
    <t>2.1.1.3.09.05</t>
  </si>
  <si>
    <t>Premios, Obsequios, Presentes y Otros</t>
  </si>
  <si>
    <t>Confecciones Textiles</t>
  </si>
  <si>
    <t>2.1.1.2.02.02</t>
  </si>
  <si>
    <t>Textiles y Vestuarios</t>
  </si>
  <si>
    <t>Materiales Conservación Inmuebles</t>
  </si>
  <si>
    <t>2.1.1.2.08.01</t>
  </si>
  <si>
    <t>Transferencias a Soc. Estado y/o Economía Mixta</t>
  </si>
  <si>
    <t>2.1.1.4.01.04</t>
  </si>
  <si>
    <t>Transferencias al Sector Púbico</t>
  </si>
  <si>
    <t>2.1.1.3.03.02</t>
  </si>
  <si>
    <t>Mantenimiento y Reparación de Equipos y Sistemas Informáticos y de Comunicaciones en Gral.</t>
  </si>
  <si>
    <t>2.1.1.4.02.03</t>
  </si>
  <si>
    <t>Transferencia a Instituciones de Enseñanza/Académicas, Culturales, Deportivas y Sociales en General</t>
  </si>
  <si>
    <t>2.1.1.4.02.04</t>
  </si>
  <si>
    <t>Becas, Capacitación y Formación</t>
  </si>
  <si>
    <t>2.1.1.2.08.03</t>
  </si>
  <si>
    <t>Materiales de Electricidad</t>
  </si>
  <si>
    <t>2.1.1.2.09.02</t>
  </si>
  <si>
    <t>Utensilios de Cocina y Comedor</t>
  </si>
  <si>
    <t>2.1.1.3.03.01</t>
  </si>
  <si>
    <t>Limpieza, Aseo y Fumigación</t>
  </si>
  <si>
    <t>Mantenimiento y Reparación Rodados</t>
  </si>
  <si>
    <t>PROGRAMA: REGISTRO CIVIL</t>
  </si>
  <si>
    <t>UNIDAD EJECUTORA: Registro Civil.</t>
  </si>
  <si>
    <t>Alquileres Edificios, Locales e Inmuebles</t>
  </si>
  <si>
    <t>2.1.1.3.09.02</t>
  </si>
  <si>
    <t>Trabajos de Terceros</t>
  </si>
  <si>
    <t>2.1.1.4.02.05</t>
  </si>
  <si>
    <t>Apoyo a Centros Vecinales</t>
  </si>
  <si>
    <t>2.1.1.4.02.08</t>
  </si>
  <si>
    <t>Ayudas Sociales a Personas y Familias</t>
  </si>
  <si>
    <t xml:space="preserve">Subsidios a Entregar  </t>
  </si>
  <si>
    <t>Asignaciones Familiares Autoridades y Personal Jerárquico</t>
  </si>
  <si>
    <t>Equipos de Computación, Software y Licencias de Computación</t>
  </si>
  <si>
    <t>2.1.1.2.05.03</t>
  </si>
  <si>
    <t>Compuestos y Productos Químicos</t>
  </si>
  <si>
    <t>Cubiertas y Cámaras de Aires</t>
  </si>
  <si>
    <t xml:space="preserve">Herramientas Menores </t>
  </si>
  <si>
    <t>2.1.1.2.08.02</t>
  </si>
  <si>
    <t>Materiales Conservación Calles</t>
  </si>
  <si>
    <t>2.1.1.2.08.04</t>
  </si>
  <si>
    <t>Materiales de Construcción</t>
  </si>
  <si>
    <t>2.1.1.3.02.02</t>
  </si>
  <si>
    <t>Alquileres de Maquinaria, Equipos y Medios de Transporte</t>
  </si>
  <si>
    <t>2.1.1.3.02.03</t>
  </si>
  <si>
    <t>Leasing-Alquileres con Opción a Compra</t>
  </si>
  <si>
    <t>Mantenimiento y Reparación de Rodados</t>
  </si>
  <si>
    <t>2.1.1.3.04.</t>
  </si>
  <si>
    <t>Servicios Públicos Municipales</t>
  </si>
  <si>
    <t>2.1.1.3.04.01</t>
  </si>
  <si>
    <t>Mantenimiento y Limpieza de Espacios Públicos</t>
  </si>
  <si>
    <t>2.1.1.3.04.02</t>
  </si>
  <si>
    <t>Barrido, Limpieza y Riego de Calles</t>
  </si>
  <si>
    <t>2.1.1.3.04.03</t>
  </si>
  <si>
    <t>Recolección y Tratamiento de Residuos</t>
  </si>
  <si>
    <t>2.1.1.3.04.04</t>
  </si>
  <si>
    <t>2.1.1.3.04.06</t>
  </si>
  <si>
    <t>Otros Servicios Públicos Municipales</t>
  </si>
  <si>
    <t>Equipos y Máquinaria</t>
  </si>
  <si>
    <t>2.1.1.4.01.07</t>
  </si>
  <si>
    <t>Transferencias-Trabajo Público en Instituciones del Sector Público</t>
  </si>
  <si>
    <t>2.1.1.4.02.15</t>
  </si>
  <si>
    <t>Transferencias-Trabajo Público en Instituciones del Sector Privado</t>
  </si>
  <si>
    <t>COSTO TOTAL PROGRAMA.</t>
  </si>
  <si>
    <t>2.1.1.2.01.03</t>
  </si>
  <si>
    <t>Productos Agroforestales</t>
  </si>
  <si>
    <t>2.1.1.2.05.04</t>
  </si>
  <si>
    <t>Abonos y Fertilizantes</t>
  </si>
  <si>
    <t>2.1.1.2.05.05</t>
  </si>
  <si>
    <t xml:space="preserve">Insecticidas, Fumigantes y Otros </t>
  </si>
  <si>
    <t xml:space="preserve">2.1.1.2.09.      </t>
  </si>
  <si>
    <t xml:space="preserve">2.2.1.1.02.05  </t>
  </si>
  <si>
    <t>PLAN DE OBRAS Y TRABAJOS PÚBLICOS</t>
  </si>
  <si>
    <t>CODIGO:</t>
  </si>
  <si>
    <t>COSTO TOTAL PROYECTO:</t>
  </si>
  <si>
    <t>TRABAJO PÚBLICO</t>
  </si>
  <si>
    <t>2.2.1.2.01.</t>
  </si>
  <si>
    <t>2.2.1.2.01.02</t>
  </si>
  <si>
    <t>Construcción, Ampliación y/o Mejora Edificios Muni-Cerca</t>
  </si>
  <si>
    <t>2.2.1.2.01.03</t>
  </si>
  <si>
    <t>Construcción, Ampliación y/o Mejora Centros de Apoyo y/o Educativos</t>
  </si>
  <si>
    <t>2.2.1.2.01.04</t>
  </si>
  <si>
    <t>Construcción, Ampliación y/o Mejora Centros de Salud</t>
  </si>
  <si>
    <t>2.2.1.2.01.05</t>
  </si>
  <si>
    <t>Construcción, Ampliación y/o Mejora Edif./Espacios Culturales y Recreativos</t>
  </si>
  <si>
    <t>2.2.1.2.01.06</t>
  </si>
  <si>
    <t>Construcción, Ampliación y/o Mejora Espacios Deportivos y de Esparcimiento</t>
  </si>
  <si>
    <t>2.2.1.2.01.07</t>
  </si>
  <si>
    <t>Construcción, Ampliación y/o Mejora Edif. Hogar de Ancianos</t>
  </si>
  <si>
    <t>2.2.1.2.02.</t>
  </si>
  <si>
    <t>Construcción Bienes de Dominio Público</t>
  </si>
  <si>
    <t>2.2.1.2.02.01</t>
  </si>
  <si>
    <t>Ampliación, Revalorización y/o Mejora de la Costanera</t>
  </si>
  <si>
    <t>2.2.1.2.02.02</t>
  </si>
  <si>
    <t>Espacios Verdes y Públicos -Creación, Revalor. y/o Mejora Parques, Plazas y Otros Espacios-</t>
  </si>
  <si>
    <t>2.2.1.2.02.03</t>
  </si>
  <si>
    <t>Revalorización Sector Céntrico</t>
  </si>
  <si>
    <t>Construcción Bienes de Dominio Privado</t>
  </si>
  <si>
    <t>2.2.1.2.02.05</t>
  </si>
  <si>
    <t xml:space="preserve">Red de Gas </t>
  </si>
  <si>
    <t>2.2.1.2.02.06</t>
  </si>
  <si>
    <t>Iluminación y Alumbrado Público</t>
  </si>
  <si>
    <t>2.2.1.2.02.07</t>
  </si>
  <si>
    <t>Mantenimiento y Conservación Red Vial Urbana</t>
  </si>
  <si>
    <t>2.2.1.2.02.08</t>
  </si>
  <si>
    <t xml:space="preserve">Pavimentación </t>
  </si>
  <si>
    <t>2.2.1.2.02.09</t>
  </si>
  <si>
    <t>Cordón Cuneta</t>
  </si>
  <si>
    <t>2.2.1.2.02.13</t>
  </si>
  <si>
    <t>2.2.1.2.02.14</t>
  </si>
  <si>
    <t>Sistema de Desagües Pluviales</t>
  </si>
  <si>
    <t>- Entender en la determinación de los objetivos y la formulación de las políticas de la Secretaría.</t>
  </si>
  <si>
    <t>Repuestos y Accesorios Equipos y Sistemas Informáticos y de Comunicación en General</t>
  </si>
  <si>
    <t>2.1.1.3.01.</t>
  </si>
  <si>
    <t>Servicios Básicos</t>
  </si>
  <si>
    <t>2.1.1.3.01.01</t>
  </si>
  <si>
    <t>Energía Eléctrica</t>
  </si>
  <si>
    <t>2.1.1.3.01.02</t>
  </si>
  <si>
    <t>Agua y Cloacas</t>
  </si>
  <si>
    <t>2.1.1.3.01.03</t>
  </si>
  <si>
    <t>Gas</t>
  </si>
  <si>
    <t>2.1.1.3.01.05</t>
  </si>
  <si>
    <t>Correos y Telégrafos</t>
  </si>
  <si>
    <t>2.1.1.3.01.06</t>
  </si>
  <si>
    <t>Otros Servicios Básicos no Especificados</t>
  </si>
  <si>
    <t>2.1.1.4.02.06</t>
  </si>
  <si>
    <t>Apoyo a Microemprendedores</t>
  </si>
  <si>
    <t>2.2.1.1.01.</t>
  </si>
  <si>
    <t>Bienes Preexistentes</t>
  </si>
  <si>
    <t>2.2.1.1.01.01</t>
  </si>
  <si>
    <t>Tierras y Terrenos</t>
  </si>
  <si>
    <t>2.2.1.1.01.02</t>
  </si>
  <si>
    <t>Edificios, Obras e Instalaciones</t>
  </si>
  <si>
    <t>UNIDAD EJECUTORA: Subsecretaría de Ingresos Públicos.</t>
  </si>
  <si>
    <t>Combustible, Lubricantes, Productos Químicos</t>
  </si>
  <si>
    <t xml:space="preserve">Bienes de Consumo </t>
  </si>
  <si>
    <t>2.1.1.3.06.08</t>
  </si>
  <si>
    <t>Servicios de Resguardo y Archivo Documental</t>
  </si>
  <si>
    <t>2.1.1.3.08.</t>
  </si>
  <si>
    <t>Impuestos, Derechos, Tasas y Juicios</t>
  </si>
  <si>
    <t>2.1.1.3.08.01</t>
  </si>
  <si>
    <t>Impuestos, Derechos y Tasas</t>
  </si>
  <si>
    <t>2.1.1.3.08.02</t>
  </si>
  <si>
    <t>Multas y Recargos</t>
  </si>
  <si>
    <t>PROGRAMA: TESORERÍA</t>
  </si>
  <si>
    <t>UNIDAD EJECUTORA: Tesorería.</t>
  </si>
  <si>
    <t>2.1.1.3.06.01</t>
  </si>
  <si>
    <t>Gastos Bancarios</t>
  </si>
  <si>
    <t>2.1.1.3.06.02</t>
  </si>
  <si>
    <t>Comisiones por Recaudación</t>
  </si>
  <si>
    <t>Equipos y Aparatos de Seguridad</t>
  </si>
  <si>
    <t>Materiales de Conservaciones Varias</t>
  </si>
  <si>
    <t>2.1.1.3.01.04</t>
  </si>
  <si>
    <t>Mantenimiento y Reparación Equipos y Sistemas Informáticos y de Comunicación en General</t>
  </si>
  <si>
    <t>2.2.1.1.04.03</t>
  </si>
  <si>
    <t>Equipos y Aparatos de Telefonía</t>
  </si>
  <si>
    <t>2.1.1.2.02</t>
  </si>
  <si>
    <t>PROGRAMA: INVERSIONES, APLICACIONES Y OTRAS PREVISIONES FINANCIERAS</t>
  </si>
  <si>
    <t>PARTICIPACIONES DE CAPITAL Y ACTIVOS FINANCIEROS</t>
  </si>
  <si>
    <t>2.2.2.1.01.</t>
  </si>
  <si>
    <t>Aportes de Capital</t>
  </si>
  <si>
    <t>2.2.2.1.01.01</t>
  </si>
  <si>
    <t>Aportes de Capital a Soc. Estado y/o Soc. de Economía Mixta</t>
  </si>
  <si>
    <t>2.2.2.1.01.02</t>
  </si>
  <si>
    <t>Aportes de Capital a Instituciones Públicas Financieras</t>
  </si>
  <si>
    <t>2.2.2.1.01.03</t>
  </si>
  <si>
    <t>Aportes de Capital a Fondos Fiduciarios</t>
  </si>
  <si>
    <t>2.2.2.1.01.04</t>
  </si>
  <si>
    <t>Otros Aportes de Capital</t>
  </si>
  <si>
    <t>2.2.2.1.02.</t>
  </si>
  <si>
    <t>Títulos y Valores</t>
  </si>
  <si>
    <t>2.2.2.1.02.01</t>
  </si>
  <si>
    <t>Títulos y Valores de Corto y Largo Plazo</t>
  </si>
  <si>
    <t>2.2.2.1.03.</t>
  </si>
  <si>
    <t>Préstamos</t>
  </si>
  <si>
    <t>2.2.2.1.03.01</t>
  </si>
  <si>
    <t>Préstamos a Municipios y Entes Comunales</t>
  </si>
  <si>
    <t>2.2.2.1.03.02</t>
  </si>
  <si>
    <t>Otros Préstamos</t>
  </si>
  <si>
    <t>2.2.2.1.04.</t>
  </si>
  <si>
    <t>Otras Participaciones</t>
  </si>
  <si>
    <t>2.2.2.1.04.01</t>
  </si>
  <si>
    <t>AMORTIZACIÓN DE LA DEUDA</t>
  </si>
  <si>
    <t>2.3.1.1.02.</t>
  </si>
  <si>
    <t>Con Organismos Provinciales</t>
  </si>
  <si>
    <t>2.3.1.1.02.01</t>
  </si>
  <si>
    <t>I.P.V. - FOVICOR</t>
  </si>
  <si>
    <t>2.3.1.1.02.02</t>
  </si>
  <si>
    <t xml:space="preserve">Préstamos Provinciales - Fondo Permanente </t>
  </si>
  <si>
    <t>2.3.1.1.02.03</t>
  </si>
  <si>
    <t>Ley Provincial Refinanciación Deuda Ley 9802</t>
  </si>
  <si>
    <t>2.3.1.1.02.04</t>
  </si>
  <si>
    <t>Préstamo Provincial Ley 9854 - Vida Digna</t>
  </si>
  <si>
    <t>2.3.1.1.02.05</t>
  </si>
  <si>
    <t>Préstamo Provincial Ley 9740 - FOPROP</t>
  </si>
  <si>
    <t>2.3.1.1.02.06</t>
  </si>
  <si>
    <t>Otros Préstamos Tomados</t>
  </si>
  <si>
    <t>2.3.1.1.02.07</t>
  </si>
  <si>
    <t>Otras Amortizaciones de Deudas con Organismos Provinciales</t>
  </si>
  <si>
    <t>2.3.1.1.03.</t>
  </si>
  <si>
    <t>Con Instituciones Bancarias y Financieras</t>
  </si>
  <si>
    <t>2.3.1.1.03.01</t>
  </si>
  <si>
    <t>Amortización Préstamos Bancarios</t>
  </si>
  <si>
    <t>2.3.1.1.03.02</t>
  </si>
  <si>
    <t>Otras Amortizaciones de Deudas con Instituciones Financieras</t>
  </si>
  <si>
    <t>2.3.1.1.04.</t>
  </si>
  <si>
    <t>Con Otras Entidades del Sector Privado</t>
  </si>
  <si>
    <t>2.3.1.1.04.01</t>
  </si>
  <si>
    <t>Caja Prev. y Seg. Social de Abogados y Procuradores de la Pcia. de Cba.</t>
  </si>
  <si>
    <t>2.3.1.1.04.02</t>
  </si>
  <si>
    <t>Otras Amortizaciones de Deudas con Otras Entidades del Sector Privado</t>
  </si>
  <si>
    <t>2.3.1.1.05.</t>
  </si>
  <si>
    <t>De Títulos y Bonos Emitidos por el Estado Municipal</t>
  </si>
  <si>
    <t>2.3.1.1.05.01</t>
  </si>
  <si>
    <t>Amortización de Títulos y Bonos Emitidos por el Estado Municipal</t>
  </si>
  <si>
    <t>NO CLASIFICADOS</t>
  </si>
  <si>
    <t>2.4.1.</t>
  </si>
  <si>
    <t>Créditos Especiales</t>
  </si>
  <si>
    <t>2.4.2.</t>
  </si>
  <si>
    <t>Plan Habitacional B° San Martín (400 viviendas)</t>
  </si>
  <si>
    <t>2.1.1.3.02.05</t>
  </si>
  <si>
    <t>Derechos de Bienes Intangibles</t>
  </si>
  <si>
    <t xml:space="preserve">2.1.1.4.02.04    </t>
  </si>
  <si>
    <t xml:space="preserve">2.1.1.3.09.01      </t>
  </si>
  <si>
    <t>2.1.1.4.02.01</t>
  </si>
  <si>
    <t xml:space="preserve">Pasajes y Abonos de Transporte </t>
  </si>
  <si>
    <t>Prendas de Vestir, Uniformes y Otros Accesorios o Artículos de Ropería</t>
  </si>
  <si>
    <t>2.1.1.2.04.02</t>
  </si>
  <si>
    <t>Útiles, Artículos de Librería, Insumos de Enseñanza</t>
  </si>
  <si>
    <t>2.1.1.2.04.03</t>
  </si>
  <si>
    <t>Juegos, Material Didáctico, de Enseñanza y Recreación</t>
  </si>
  <si>
    <t xml:space="preserve">PROGRAMA: COORDINACIÓN DE POLÍTICAS SOBRE DISCAPACIDAD  </t>
  </si>
  <si>
    <t xml:space="preserve">                </t>
  </si>
  <si>
    <t>Servicios de Seguridad y Vigiliancia</t>
  </si>
  <si>
    <t>2.2.1.1.02.03</t>
  </si>
  <si>
    <t>Semáforos y Otros Equipos de Señalización</t>
  </si>
  <si>
    <t>Gastos Varios Protocolares y de Organización Eventos</t>
  </si>
  <si>
    <t>PROGRAMA: INSPECCIÓN GENERAL</t>
  </si>
  <si>
    <t>UNIDAD EJECUTORA: Subsecretaría de Inpección General.</t>
  </si>
  <si>
    <t>Insecticidas, Fumigantes y Otros</t>
  </si>
  <si>
    <t>2.1.1.2.06</t>
  </si>
  <si>
    <t>Productos Farmacéuticos y Medicinales</t>
  </si>
  <si>
    <t>2.1.1.2.06.01</t>
  </si>
  <si>
    <t>Compuestos y Productos Químicos de Uso Medicinal, Famaceútico y de Laboratorio</t>
  </si>
  <si>
    <t>2.1.1.2.06.02</t>
  </si>
  <si>
    <t>Descartables, Material de Cirugía y Curación</t>
  </si>
  <si>
    <t>2.1.1.2.06.04</t>
  </si>
  <si>
    <t>Útiles, Insumos e Instrumental Menores Médicos, Quirúrgicos y de Laboratorio</t>
  </si>
  <si>
    <t>2.1.1.2.07.03</t>
  </si>
  <si>
    <t>Repuestos y Accesorios Equipos Médico-Sanitarios y de Laboratorio</t>
  </si>
  <si>
    <t xml:space="preserve">2.1.1.2.09.01 </t>
  </si>
  <si>
    <t>2.1.1.3.03.03</t>
  </si>
  <si>
    <t>Mantenimiento y Reparación Equipos Médico-Sanitarios y de Laboratorio</t>
  </si>
  <si>
    <t>2.2.1.1.02.01</t>
  </si>
  <si>
    <t>Equipo e Instrumental Médico-Sanitario y de Laboratorio</t>
  </si>
  <si>
    <t>2.1.1.2.01.02</t>
  </si>
  <si>
    <t>Alimentos para Animales</t>
  </si>
  <si>
    <t>2.1.1.2.06.05</t>
  </si>
  <si>
    <t>Productos Alimenticios, Agropecuarios y Agroforestales</t>
  </si>
  <si>
    <t>Servicios de Mantenimiento, Reparaciones y Limpieza</t>
  </si>
  <si>
    <t xml:space="preserve">2.1.1.3.09.03     </t>
  </si>
  <si>
    <t>2.1.1.4.02.11</t>
  </si>
  <si>
    <t>Trámites Varios a Personas de Escasos Recursos</t>
  </si>
  <si>
    <t>Textiles y Vestuaros</t>
  </si>
  <si>
    <t>Prendas de Vestir,Uniformes y otros accesorio o Artículos de Ropería</t>
  </si>
  <si>
    <t>2.1.1.2.06.</t>
  </si>
  <si>
    <t>Compuestos y Productos Químicos de Uso Medicinal, Farmacéutico y de Laboratorio</t>
  </si>
  <si>
    <t>Útiles, Insumos e Instrumental Menor Médico, Quirúrgico y de Laboratorio</t>
  </si>
  <si>
    <t>2.1.1.3.04.05</t>
  </si>
  <si>
    <t>Sistemas de Atención de Urgencias y Emergencias</t>
  </si>
  <si>
    <t xml:space="preserve">Otros Bienes de Capital   </t>
  </si>
  <si>
    <t>2.1.1.2.06.03</t>
  </si>
  <si>
    <t>Insumos para Diagnósticos por Imágenes</t>
  </si>
  <si>
    <t>2.1.1.2.09.04</t>
  </si>
  <si>
    <t>Elementos de Deporte</t>
  </si>
  <si>
    <t>Alquileres de Maquinarias, Equipos y Medios de Transporte</t>
  </si>
  <si>
    <t>Mantenimiento y Reparaciones Equipos Médico-Sanitarios y de Laboratorio</t>
  </si>
  <si>
    <t xml:space="preserve">Mantenimiento y Reparación Rodados </t>
  </si>
  <si>
    <t xml:space="preserve">2.1.1.2.09. </t>
  </si>
  <si>
    <t>2.1.1.3.03</t>
  </si>
  <si>
    <t>2.1.1.3.07</t>
  </si>
  <si>
    <t>2.1.1.4.02.07</t>
  </si>
  <si>
    <t>Apoyo a Proyectos y Artistas o Autores Locales y Regionales</t>
  </si>
  <si>
    <t>2.1.1.3.06.06</t>
  </si>
  <si>
    <t>Fletes/Trasporte y Almacenamento</t>
  </si>
  <si>
    <t>Pasajes y Abonos de Transporte</t>
  </si>
  <si>
    <t>2.1.1.4.02.02</t>
  </si>
  <si>
    <t>Ayudas Escolares</t>
  </si>
  <si>
    <t>2.2.1.1.06.01</t>
  </si>
  <si>
    <t>Colecciones y Elementos de Biblioteca y Museos</t>
  </si>
  <si>
    <t xml:space="preserve">Colecciones Audio-Visuales </t>
  </si>
  <si>
    <t>2.2.1.1.04.06</t>
  </si>
  <si>
    <t>Instrumentos Musicales</t>
  </si>
  <si>
    <t>PROGRAMA: PATRIMONIO HISTÓRICO Y MUSEOS</t>
  </si>
  <si>
    <t>UNIDAD EJECUTORA: Asesoría Letrada.</t>
  </si>
  <si>
    <t>Materiales de Conservación y/o Construcción</t>
  </si>
  <si>
    <t xml:space="preserve">2.1.1.2.08.05        </t>
  </si>
  <si>
    <t>Honorarios por Servicio Técnicos y Profesionales</t>
  </si>
  <si>
    <t>2.1.1.3.07.02</t>
  </si>
  <si>
    <t>Boletín Oficial y Otras Publicaciones Oficiales</t>
  </si>
  <si>
    <t>2.1.1.3.08.03</t>
  </si>
  <si>
    <t>Sentencias y Otros Gastos Judiciales Relacionados</t>
  </si>
  <si>
    <t>2.1.1.3.08.04</t>
  </si>
  <si>
    <t>Mediaciones, Acuerdos Extrajudiciales y Otros Gastos Relacionados</t>
  </si>
  <si>
    <t>2.1.1.3.08.05</t>
  </si>
  <si>
    <t>Indemnizaciones por Daños y Perjuicios</t>
  </si>
  <si>
    <t>Servicio de Resguardo y Archivo Documental</t>
  </si>
  <si>
    <t>Telefonía, Telefax, Internet y similar</t>
  </si>
  <si>
    <t>Transferencias a Instituciones de Enseñanza/Académicas, Culturales, Deportivas y Sociales en General</t>
  </si>
  <si>
    <t>COSTO TOTAL DEL SUBPROGRAMA:</t>
  </si>
  <si>
    <t>PROGRAMA: COORDINACIÓN Y ADMINISTRACIÓN DE LA JEFATURA DE GABINETE</t>
  </si>
  <si>
    <t>2.1.1.3.07.05</t>
  </si>
  <si>
    <t>2.1.1.4.01.09</t>
  </si>
  <si>
    <t>Transferencias a Instituciones de Enseñanza/Académicas, Culturales y Deportivas</t>
  </si>
  <si>
    <t>Mantenimiento y Reparaciones de Inmuebles</t>
  </si>
  <si>
    <t xml:space="preserve">Gastos Varios Protocolares y de Organización de Eventos </t>
  </si>
  <si>
    <t>Transferencia a Instituciones de Enseñanza/Académicas, Culturales, Deportivas</t>
  </si>
  <si>
    <t xml:space="preserve">Útiles y/o Insumos técnico-profesional Herramientas Menores </t>
  </si>
  <si>
    <t>Herramientas menores</t>
  </si>
  <si>
    <t>2.1.1.2.07.07</t>
  </si>
  <si>
    <t>Embargos y otros gastos relacionados</t>
  </si>
  <si>
    <t>2.1.1.3.08.06</t>
  </si>
  <si>
    <t>Fletes/Trasporte y Almacenamiento</t>
  </si>
  <si>
    <t>Costos de Creación, Impresión y Colocación de Material y Cartelería de Difusión</t>
  </si>
  <si>
    <t>Otras Transferencias al Sector Público u otros subsidios a entregar</t>
  </si>
  <si>
    <t>PROGRAMA: RELACIONES INSTITUCIONALES Y CAPACITACIÓN</t>
  </si>
  <si>
    <t>Productos y/o Materiales Específicos para tratamiento de Residuos y otras políticas Ambientales</t>
  </si>
  <si>
    <t>Cartelería, Señaléctica y Otros Impresos</t>
  </si>
  <si>
    <t>2.1.1.2.03.03</t>
  </si>
  <si>
    <t>2.1.1.2.08.06</t>
  </si>
  <si>
    <t>Estructuras Metálicas Acabadas</t>
  </si>
  <si>
    <t>Muebles y Equipo Educacional, Cultural y Recreativo</t>
  </si>
  <si>
    <t xml:space="preserve">Útiles y/o Insumos técnico-profesional </t>
  </si>
  <si>
    <t>Mantenimiento y Conservación Calles de Tierra y Caminos Rurales</t>
  </si>
  <si>
    <t>2.2.1.2.02.28</t>
  </si>
  <si>
    <t>2.1.1.2.08.07</t>
  </si>
  <si>
    <t>2.1.1.3.03.08</t>
  </si>
  <si>
    <t>Mantenimiento y Reparaciones Sistemas de Seguridad, Monitoreo y Vigilancia, y Otros Similares</t>
  </si>
  <si>
    <t>JEFE DE PROGRAMA: Sr. Intendente Ab. Martín GILL.</t>
  </si>
  <si>
    <t>UNIDAD EJECUTORA: Secretaría de Gobierno y Vinculación Comunitaria.</t>
  </si>
  <si>
    <t>UNIDAD EJECUTORA: Secretaría de Salud.</t>
  </si>
  <si>
    <t>JEFE DE PROGRAMA: Dr. Humberto JURE.</t>
  </si>
  <si>
    <t>PROGRAMA: COORDINACIÓN Y ADMINISTRACIÓN DE LA SECRETARÍA DE EDUCACIÓN</t>
  </si>
  <si>
    <t>UNIDAD EJECUTORA: Secretaría de Educación.</t>
  </si>
  <si>
    <t>JEFE DE PROGRAMA: Dra. Margarita SCHWEIZER.</t>
  </si>
  <si>
    <t>UNIDAD EJECUTORA: Secretaría de Inclusión Social y Familia.</t>
  </si>
  <si>
    <t>JEFE DE PROGRAMA: Sra. Claudia ARIAS.</t>
  </si>
  <si>
    <t>UNIDAD EJECUTORA: Secretaría de Desarrollo Urbano, Ambiente e Infraestructura.</t>
  </si>
  <si>
    <t>UNIDAD EJECUTORA: Secretaría de Economía y Finanzas.</t>
  </si>
  <si>
    <t>JEFE DE PROGRAMA: Cra. Daniela LUCARELLI.</t>
  </si>
  <si>
    <t>JEFE DE PROGRAMA: Cr. Hernán RUBIOLO.</t>
  </si>
  <si>
    <t>UNIDAD EJECUTORA: Departamento Ejecutivo - Unidad Intendencia.</t>
  </si>
  <si>
    <t>PROGRAMA: ECONOMÍA SOCIAL Y SOLIDARIA</t>
  </si>
  <si>
    <t>PROGRAMA: GESTIÓN DE RIESGO Y DEFENSA CIVIL</t>
  </si>
  <si>
    <t>JEFE DE PROGRAMA: Sr. Intendente Ab. Martín GILL - Sra. Celeste CURETTI.</t>
  </si>
  <si>
    <t>UNIDAD EJECUTORA: Subsecretaría de Descentralización Territorial.</t>
  </si>
  <si>
    <t>PROGRAMA:  COORDINACIÓN DE ADULTOS MAYORES</t>
  </si>
  <si>
    <t>Servicios de Matenimiento, Reparación y Limpieza</t>
  </si>
  <si>
    <t>UNIDAD EJECUTORA: Subsecretaría de Tecnología de Información y Comunicación TIC.</t>
  </si>
  <si>
    <t>JEFE DE PROGRAMA: Prof. Rafael SACHETTO.</t>
  </si>
  <si>
    <t>UNIDAD EJECUTORA: Subsecretaría de Cultura.</t>
  </si>
  <si>
    <t>JEFE DE PROGRAMA: Lic. Gabriela REDONDO.</t>
  </si>
  <si>
    <t>VER</t>
  </si>
  <si>
    <t>JEFE DE PROGRAMA: Sr. Daniel LÓPEZ.</t>
  </si>
  <si>
    <t>UNIDAD EJECUTORA: Subsecretaría de Salud.</t>
  </si>
  <si>
    <t>2.3.1.1.02.08</t>
  </si>
  <si>
    <t>E.P.E.C.</t>
  </si>
  <si>
    <t>PROGRAMA: SISTEMAS INFORMÁTICOS</t>
  </si>
  <si>
    <t>JEFE DE PROGRAMA: Cr. David BIANCHI.</t>
  </si>
  <si>
    <t>JEFE DE PROGRAMA: Cr. Pablo PERETTI.</t>
  </si>
  <si>
    <t>UNIDAD EJECUTORA: Departamento de Modernización del Estado.</t>
  </si>
  <si>
    <t>PROGRAMA: ATENCIÓN CIUDADANA - VILLA MARÍA RESPONDE</t>
  </si>
  <si>
    <t>JEFE DE PROGRAMA: Sr. Héctor BERSANO - Dr. Héctor G. MUÑOZ.</t>
  </si>
  <si>
    <t>JEFE DE PROGRAMA: Sr. Diego OLIVERO - Dr. Héctor G. MUÑOZ.</t>
  </si>
  <si>
    <t>PROGRAMA: ASESORÍA LETRADA - COORDINACIÓN LEGAL Y TÉCNICA</t>
  </si>
  <si>
    <t>JEFE DE PROGRAMA: Ing. Chistian SEPPEY.</t>
  </si>
  <si>
    <t>JEFE DE PROGRAMA: Sr. Lucas PAGLIERO.</t>
  </si>
  <si>
    <t>UNIDAD EJECUTORA: Unidad Intendencia - Jefatura de Gabinete.</t>
  </si>
  <si>
    <t>UNIDAD EJECUTORA: Jefatura de Gabinete - Dirección de Relac. Intituc. y Capacitación.</t>
  </si>
  <si>
    <t>UNIDAD EJECUTORA: Subsecretaría de Seguridad Ciudadana.</t>
  </si>
  <si>
    <t>PROGRAMA: RELACIONES LABORALES  -  SERVICIOS GENERALES</t>
  </si>
  <si>
    <t>UNIDAD EJECUTORA: Dirección de Relaciones Laborales, Capital Humano y Técnico.</t>
  </si>
  <si>
    <t>JEFE DE PROGRAMA: Ab. Rodrigo P. HAYAS.</t>
  </si>
  <si>
    <t xml:space="preserve">PROGRAMA: </t>
  </si>
  <si>
    <t>JEFE DE SUBPROGRAMA: Prof. Anabella GILL.</t>
  </si>
  <si>
    <t>UNIDAD EJECUTORA: Coordinación del Centro Cultural Comunitario "Leonardo Favio".</t>
  </si>
  <si>
    <t xml:space="preserve">UNIDAD EJECUTORA: Centro de Innovación Tecnológica y Procesos Productivos - Coordinación de Tecnoteca. </t>
  </si>
  <si>
    <t>UNIDAD EJECUTORA: Dirección de Medioteca y Biblioteca Municipal y Popular "Mariano Moreno".</t>
  </si>
  <si>
    <t>JEFE DE PROGRAMA: Arq. Hugo H. LAS HERAS - Sra. Analía del Carmen GODOY.</t>
  </si>
  <si>
    <t xml:space="preserve">PROGRAMA: COORDINACIÓN Y ADMINISTRACIÓN DE LA SUBSECRETARÍA DE CULTURA </t>
  </si>
  <si>
    <t>UNIDAD EJECUTORA: Dirección de Patrimonio Histórico - Dirección de Museos.</t>
  </si>
  <si>
    <t>JEFE DE PROGRAMA: Ing. Carlos RAMÍREZ - Sr. Omar REGUEIRA.</t>
  </si>
  <si>
    <t>JEFE DE PROGRAMA: Arq. María Laura GONZÁLEZ.</t>
  </si>
  <si>
    <t>- Definir políticas eficientes y equitativas en la obtención y ejecución de los ingresos públicos municipales.</t>
  </si>
  <si>
    <t>- Formular y ejecutar acciones dirigidas a la implementación de Buenas Prácticas de Gestión - Manual de Buen Gobierno.</t>
  </si>
  <si>
    <t>JEFE DE PROGRAMA: Cr. Lucas ATECA.</t>
  </si>
  <si>
    <t>UNIDAD EJECUTORA: Dirección Gral. Compras, Stock y Aprovisionamiento - Dirección de Contrataciones.</t>
  </si>
  <si>
    <t>UNIDAD EJECUTORA: Contaduría General - Dirección y Gestión Económica.</t>
  </si>
  <si>
    <t>UNIDAD EJECUTORA: Departamento de Transparencia y Control de Gestión.</t>
  </si>
  <si>
    <t>UNIDAD EJECUTORA: Secretaría de Salud - Dirección Residencia Velo de Ipola.</t>
  </si>
  <si>
    <t>UNIDAD EJECUTORA: Subsecretaría de Desarrollo Humano.</t>
  </si>
  <si>
    <t>UNIDAD EJECUTORA: Subsecretaría de Educación Inicial.</t>
  </si>
  <si>
    <t>PROGRAMA: GESTIÓN DE RECAUDACIÓN DE INGRESOS PÚBLICOS - PROCURACIÓN</t>
  </si>
  <si>
    <t>PROGRAMA:  MODERNIZACIÓN DEL ESTADO</t>
  </si>
  <si>
    <t>JEFE DE PROGRAMA: Dr. Héctor G. MUÑOZ.</t>
  </si>
  <si>
    <t>- Rediseñar y eficientizar los circuitos y procedimientos de compras y contrataciones, garantizando transparencia y competitividad.</t>
  </si>
  <si>
    <t>JEFE DE PROGRAMA: Tec. Valeria SUÁREZ.</t>
  </si>
  <si>
    <t>JEFE DE SUBPROGRAMA: Lic. Gabriela REDONDO.</t>
  </si>
  <si>
    <t>JEFE DE PROGRAMA: Cr. Rodolfo DIANA - Cra. Romina RICO.</t>
  </si>
  <si>
    <t xml:space="preserve">a) Un estilo de gestión orientado a Resultados y Servicios al ciudadano, b) Máxima eficiencia en la gestión del Estado, </t>
  </si>
  <si>
    <t xml:space="preserve">c) Tecnologías y principios modernos en la gestión y organización, d) Respaldo Institucional del esfuerzo modernizador. </t>
  </si>
  <si>
    <t>Servicios de Asesoramiento y Consultoría</t>
  </si>
  <si>
    <t>2.1.1.3.05.04</t>
  </si>
  <si>
    <t>Repuestos y Accesorios Equipos y Sistemas Informáticos y de Comunicación en Gral.</t>
  </si>
  <si>
    <t>Aparatos Electrónicos y de Comunicación Menores</t>
  </si>
  <si>
    <t>2.1.1.2.07.08</t>
  </si>
  <si>
    <t xml:space="preserve">Bienes de Consumo para Organización de Eventos </t>
  </si>
  <si>
    <t>2.1.1.2.09.07</t>
  </si>
  <si>
    <t>JEFE DE PROGRAMA: Sra. Claudia ARIAS - Sra. Carolina PAOLUCCI.</t>
  </si>
  <si>
    <t>JEFE DE PROGRAMA: Sra. Claudia ARIAS - Sr. Jorge ARGUELLO - Lic. Virginia MARTÍ.</t>
  </si>
  <si>
    <t>UNIDAD EJECUTORA: Coordinación de Niñez, Adolescencia y Juventud.</t>
  </si>
  <si>
    <t xml:space="preserve">Compuestos y Productos Químicos </t>
  </si>
  <si>
    <t>JEFE DE PROGRAMA: Tec. Valeria SUÁREZ - Arq. Laura GONZÁLEZ - Geól. Germán TISSERA - Dr. Héctor MUÑOZ</t>
  </si>
  <si>
    <t xml:space="preserve">Elementos e Insumos de Seguridad </t>
  </si>
  <si>
    <t>JEFE DE PROGRAMA: Lic. Carlos VIVAS.</t>
  </si>
  <si>
    <t>UNIDAD EJECUTORA: Dirección de Participación Vecinal.</t>
  </si>
  <si>
    <t>2.1.1.2.09.08</t>
  </si>
  <si>
    <t>Útiles y/o Insumos técnico-profesional</t>
  </si>
  <si>
    <t>JEFE DE PROGRAMA: Dr. Héctor G. MUÑOZ - Lic. María Fernanda GILI.</t>
  </si>
  <si>
    <t xml:space="preserve">UNIDAD EJECUTORA: Jefatura de Gabinete. </t>
  </si>
  <si>
    <t>JEFE DE PROGRAMA: Ing. Otto WESTER.</t>
  </si>
  <si>
    <t>PROGRAMA: COORDINACIÓN DE PROYECTOS Y COOPERACIÓN INTERNACIONAL</t>
  </si>
  <si>
    <t xml:space="preserve">PROGRAMA: TECNOLOGÍAS Y COMUNICACIONES </t>
  </si>
  <si>
    <t>OBJETIVO:</t>
  </si>
  <si>
    <t xml:space="preserve">2.1.1.2.09.07   </t>
  </si>
  <si>
    <t>PROGRAMA: CENTRO ESTADÍSTICO Y MEDICIÓN DEL DESEMPEÑO</t>
  </si>
  <si>
    <t>PROGRAMA: MODELO DE BUEN GOBIERNO</t>
  </si>
  <si>
    <t xml:space="preserve">UNIDAD INTENDENCIA </t>
  </si>
  <si>
    <t>PROGRAMA: VILLA MARÍA VIVE Y SIENTE</t>
  </si>
  <si>
    <t>UNIDAD EJECUTORA: Subsecretaría de  Comunicación Institucional, Prensa y Difusión.</t>
  </si>
  <si>
    <t>JEFE DE PROGRAMA: Per. Eugenia RAMOS.</t>
  </si>
  <si>
    <t>UNIDAD EJECUTORA: Dirección de Organización de Eventos, Ceremonial y Protocolo.</t>
  </si>
  <si>
    <t>JEFE DE PROGRAMA: Sra. Celeste CURETTI - Sra. Miriam TESSORE.</t>
  </si>
  <si>
    <t>PROGRAMA: COORDINACIÓN DE PRENSA Y DIFUSIÓN DE GOBIERNO</t>
  </si>
  <si>
    <t xml:space="preserve">JEFE DE PROGRAMA: Ing. Carlos RAMÍREZ </t>
  </si>
  <si>
    <t>2.1.1.2..07.07</t>
  </si>
  <si>
    <t>UNIDAD EJECUTORA: Dirección de Catastro</t>
  </si>
  <si>
    <t>2.2.1.1.02</t>
  </si>
  <si>
    <t>UNIDAD EJECUTORA: Dirección de Ambiente y Saneamiento</t>
  </si>
  <si>
    <t xml:space="preserve">SUBRPOGRAMA:  MONITOREO DE LA CUENCA DEL RIO </t>
  </si>
  <si>
    <t xml:space="preserve">       CTALAMOCHITA</t>
  </si>
  <si>
    <t>Gestión integral para el manejo de los recursos hídricos de la cuenca del Ctalamochita. Monitorieo</t>
  </si>
  <si>
    <t>químico,  físico y de cantidad de agua superficial  y subterránea para el entorno vinculado a Villa María.</t>
  </si>
  <si>
    <t>Seguir políticas de conservación del recurso, brindar alertas de posibles anegamientos e inundaciones y sequías.</t>
  </si>
  <si>
    <t xml:space="preserve">SUBRPOGRAMA:  ARBOLADO PUBLICO - REFORESTACION </t>
  </si>
  <si>
    <t>MANTENIMIENTO DE ESPACIOS VERDES INSTITUCIONALES</t>
  </si>
  <si>
    <r>
      <t xml:space="preserve">OBJETIVO: </t>
    </r>
    <r>
      <rPr>
        <sz val="10"/>
        <rFont val="Arial Narrow"/>
        <family val="2"/>
      </rPr>
      <t>Recuperar el Arbolado Público. Producir una importante forestación en base a una planificación</t>
    </r>
  </si>
  <si>
    <t>acorde con el criterio urbanístico adoptado. Realizar campañas de concientización. Preservación de especies</t>
  </si>
  <si>
    <t>acutóctonas.</t>
  </si>
  <si>
    <t>SUBRPOGRAMA: SEPARE EN CASA</t>
  </si>
  <si>
    <r>
      <t xml:space="preserve">OBJETIVO: </t>
    </r>
    <r>
      <rPr>
        <sz val="10"/>
        <rFont val="Arial Narrow"/>
        <family val="2"/>
      </rPr>
      <t xml:space="preserve"> Promocionar la adquicisión de conocimientos y actitudes en el  proceso de separación de desechos </t>
    </r>
  </si>
  <si>
    <t>domiciliarios. Asegurar la participación de los actores sociales como gestores del proceso. Educar a la población</t>
  </si>
  <si>
    <t>en saneamiento ambiental.</t>
  </si>
  <si>
    <t>2.1.1.2.05</t>
  </si>
  <si>
    <t>2.1.1.2.07</t>
  </si>
  <si>
    <t>Reouestos, Accesorios, Herramientas Menores y Otros</t>
  </si>
  <si>
    <t>Materiales de Conservación Inmuebles</t>
  </si>
  <si>
    <t>2.1.1.3.02</t>
  </si>
  <si>
    <t>Leasing - Alquileres con Opción a Compra</t>
  </si>
  <si>
    <t>Limpieza Aseo y Fumigación</t>
  </si>
  <si>
    <t>2.1.1.3.04</t>
  </si>
  <si>
    <t>Energía Eléctrica para Alumbrado Público, Semáforos y otros</t>
  </si>
  <si>
    <t xml:space="preserve">Equipos y Maquinarias </t>
  </si>
  <si>
    <t>Herramientas y Repiuestos Mayores</t>
  </si>
  <si>
    <t>2.2.1.1.03</t>
  </si>
  <si>
    <t>PROYECTO: OBRAS DE INFRAESTRUCTURA URBANA Y SERVICIOS PUBLICOS</t>
  </si>
  <si>
    <t>UNIDAD EJECUTORA: Secretaría de Desarrollo Urbano, Ambiente e Infraestructura  - IMI</t>
  </si>
  <si>
    <t>Fondo para Const., Reparación, Mejora y/o Amp. De Infraestructura</t>
  </si>
  <si>
    <t>JEFE DE PROGRAMA: Sr. Intendente Ab. Martín GILL - Sra. Celeste CURETTI - Lic. Gabriela REDONDO.</t>
  </si>
  <si>
    <t>UNIDAD EJECUTORA: Departamento Ejecutivo - Unidad Intendencia - Subsecretaría de Cultura.</t>
  </si>
  <si>
    <t>SUBPROGRAMA: COMUNICACIÓN INSTITUCIONAL</t>
  </si>
  <si>
    <t>SUBPROGRAMA: MEDIOTECA Y BIBLIOTECA MUNICIPAL Y POPULAR "MARIANO MORENO"</t>
  </si>
  <si>
    <t>SUBPROGRAMA: UNIDADES TERRITORIALES DE SEGURIDAD CIUDADANA</t>
  </si>
  <si>
    <t>JEFE DE PROGRAMA: Dr. Julio TABARES.</t>
  </si>
  <si>
    <t xml:space="preserve">PROGRAMA: UNIDAD DE GESTION TERRITORIAL ( UGT ) </t>
  </si>
  <si>
    <t>SUBPROGRAMA: HOGAR DE ANCIANOS - RESIDENCIA VELO DE IPOLA</t>
  </si>
  <si>
    <t>SUBRPOGRAMA:  COBERTURA RED DE GAS 100% EN LA CIUDAD</t>
  </si>
  <si>
    <t xml:space="preserve">UNIDAD EJECUTORA: Secretaría de Desarrllo Urbano, Ambiente e Infraestructura  </t>
  </si>
  <si>
    <t xml:space="preserve">JEFE DE PROGRAMA:  Ing. Carlos Ramírez </t>
  </si>
  <si>
    <t>COSTO TOTAL SUBPROGRAMA</t>
  </si>
  <si>
    <t xml:space="preserve">UNIDAD EJECUTORA: Secretaría de Desarrllo Urbano, Ambiente e Infraestructura </t>
  </si>
  <si>
    <t>SUBRPOGRAMA:  OBRAS DE INFRAESTRUCTURA BASICA</t>
  </si>
  <si>
    <t xml:space="preserve">PROYECTO: </t>
  </si>
  <si>
    <t xml:space="preserve">MANTENIMIENTO Y PUESTA EN VALOR DE EDIFICIOS CULTURALES Y </t>
  </si>
  <si>
    <t>RECREATIVOS DE LA CIUDAD</t>
  </si>
  <si>
    <t>2.2.1.2.01.08</t>
  </si>
  <si>
    <t>Ampliación y/o Mejora Anfiteatro</t>
  </si>
  <si>
    <t>REVALORIZACION Y  MEJORAS ESPACIOS DE INCLUSIÓN SOCIAL</t>
  </si>
  <si>
    <t>MUSEO FERROVIARIO - NUEVA ESTACION DE TRENES</t>
  </si>
  <si>
    <t>UNION PEATONAL ENTRE CASCO CENTRICO Y PARQUE DE LA VIDA A TRAVES DE LA REFUNCIONALIZACION DEL TUNEL</t>
  </si>
  <si>
    <t>HERMANO SECCO</t>
  </si>
  <si>
    <t>Intervención Área Ferro-Urbanística</t>
  </si>
  <si>
    <t>REFUNCIONALIZACION Y PUESTA EN VALOR PARQUE PEREYRA Y DOMINGUEZ</t>
  </si>
  <si>
    <t>CENTRO COMERCIAL A CIELO ABIERTO</t>
  </si>
  <si>
    <t>MASTER PLAN AREA COMERCIAL - EXTENCION PEATONAL</t>
  </si>
  <si>
    <t>REFACCIONES Y MEJORAS CENTROS DE PROMOCION FAMILIAR</t>
  </si>
  <si>
    <t>FORTALECIMIENTO DE LAS POLÍTICAS EDUCATIVAS EN LA PRIMERA INFANCIA Y NIÑEZ</t>
  </si>
  <si>
    <t>REFACCIONES Y MEJORAS CENTROS DE ATENCION PRIMARIA DE SALUD</t>
  </si>
  <si>
    <t>MEJORAS Y REFACCIONES EN SALAS DE LA ASISTENCIA PÚBLICA MUNICIPAL</t>
  </si>
  <si>
    <t xml:space="preserve">REFACCIONES Y MEJORAS EN INTERIOR Y EXTERIOR DEL HOGAR DE </t>
  </si>
  <si>
    <t>ANCIANOS MUNICIPAL</t>
  </si>
  <si>
    <t>MANTENIMIENTO, MEJORAS Y REFACCIONES EN PLAYONES DEPORTIVOS DE</t>
  </si>
  <si>
    <t>LA CIUDAD</t>
  </si>
  <si>
    <t>REFACCION Y  MEJORAS EN CENTROS VECINALES</t>
  </si>
  <si>
    <t>2.2.1.2.01.17</t>
  </si>
  <si>
    <t>Construcción y/o Mejoras en Centros Vecinales</t>
  </si>
  <si>
    <t xml:space="preserve">REFACCIONES  Y MEJORAS EN LOS MUNI CERCA </t>
  </si>
  <si>
    <r>
      <rPr>
        <b/>
        <sz val="10"/>
        <rFont val="Arial Narrow"/>
        <family val="2"/>
      </rPr>
      <t>OBJETIVOS:</t>
    </r>
    <r>
      <rPr>
        <sz val="10"/>
        <rFont val="Arial Narrow"/>
        <family val="2"/>
      </rPr>
      <t xml:space="preserve"> Asistir al Departamento Ejecutivo Municipal en todo lo inherente a la realización y conservación de las obras públicas de arquitectura, viales, hidráulicas, energéticas y a la prestación de los servicios públicos municipales y, en particular ejecutar los planes, programas y proyectos del área, entender en la descentralización operativa de inversión pública y servicios públicos, intervenir en la fiscalización de las obras y servicios públicos descentralizados y en el control de las que se realicen y de los que se presten por intermedio de terceros; entender los planes de acción y presupuesto de las empresas y sociedades del estado, organismos descentralizados, cuentas y fondos especiales; entender el dictado de normas relacionadas con la contratación, construcción y conservación de obras públicas; entender la organización, evaluación, dirección y fiscalización del registro de empresas contratistas de obras públicas y de consultorías que operan con la Municipalidad. </t>
    </r>
  </si>
  <si>
    <t>CÓDIGO</t>
  </si>
  <si>
    <t>COSTO TOTAL SUBPROGRAMA:</t>
  </si>
  <si>
    <t xml:space="preserve">JEFE DE PROGRAMA: Dra. M. del C. Lorenzatti. </t>
  </si>
  <si>
    <t>JEFE DE PROGRAMA: Dra. Margarita SCHWEIZER./ Dra. M del C. Lorenzatti</t>
  </si>
  <si>
    <t>COSTO TOTAL DEL PROGAMA :</t>
  </si>
  <si>
    <t xml:space="preserve">PROGRAMA: VILLA MARIA CIUDAD DEL APRENDIZAJE </t>
  </si>
  <si>
    <t xml:space="preserve">                                               BIENES DE CONSUMO</t>
  </si>
  <si>
    <r>
      <rPr>
        <b/>
        <sz val="10"/>
        <rFont val="Arial Narrow"/>
        <family val="2"/>
      </rPr>
      <t>OBJETIVOS</t>
    </r>
    <r>
      <rPr>
        <sz val="10"/>
        <rFont val="Arial Narrow"/>
        <family val="2"/>
      </rPr>
      <t xml:space="preserve">: El diseño del Plan Estratégico de Modernización de la Gestión Pública bajo los siguientes lineamientos: </t>
    </r>
  </si>
  <si>
    <t>(FONDEO PROVINCIAL Y MUNICIPAL)</t>
  </si>
  <si>
    <t>Artefactos y Electrodomésticos Menores</t>
  </si>
  <si>
    <t>2.1.1.2.07.11</t>
  </si>
  <si>
    <t>Repuestos y Accesorios Varios</t>
  </si>
  <si>
    <t>2.2.1.1.04.09</t>
  </si>
  <si>
    <t>Artefactos y Electrodomésticos</t>
  </si>
  <si>
    <t>2.1.1.2.07.09</t>
  </si>
  <si>
    <t>Bienes de Consumo para Organización de Eventos</t>
  </si>
  <si>
    <t>PROGRAMA: EQUIPO DE GESTIÓN TERRITORIAL INTEGRAL. ( EGTI )</t>
  </si>
  <si>
    <t>Materiales Conservaciones Inmuebles</t>
  </si>
  <si>
    <t>2.1.1.2.07.10</t>
  </si>
  <si>
    <t>Repuestos y Accesorios para Inmuebles</t>
  </si>
  <si>
    <t>JEFE DE PROGRAMA: Dr. Humberto JURE - Sra. Carlina GUDIÑO.</t>
  </si>
  <si>
    <t>2.3.1.1.02.09</t>
  </si>
  <si>
    <t>JEFE DE PROGRAMA: Sra. Claudia ARIAS - Sr. Jorge ARGÜELLO - Sra. Valeria CALERI.</t>
  </si>
  <si>
    <t>JEFE DE PROGRAMA: Sra. Verónica CHAVERO.</t>
  </si>
  <si>
    <t>UNIDAD EJECUTORA: Subsecretaría de Inclusión Social y Familia.</t>
  </si>
  <si>
    <t>SUBPROGRAMA: AHORA LOS NIÑOS</t>
  </si>
  <si>
    <t>PROGRAMA:  APOYO ESCOLAR - TERMINALIDAD EDUCATIVA</t>
  </si>
  <si>
    <t>UNIDAD EJECUTORA: Dirección de Educación.</t>
  </si>
  <si>
    <t>PROGRAMA: ESCUELA DE OFICIOS</t>
  </si>
  <si>
    <t>FECHA DE INICIO: 01/01/2018</t>
  </si>
  <si>
    <t>JEFE DE PROGRAMA: Prof. Mariela PAJÓN.</t>
  </si>
  <si>
    <t>Elementos de Deportes</t>
  </si>
  <si>
    <t>JEFE DE PROGRAMA: Sra. Celeste CURETTI.</t>
  </si>
  <si>
    <t>ESPACIO CO-WORKING</t>
  </si>
  <si>
    <t>2.2.1.2.01.12</t>
  </si>
  <si>
    <t>Construcción, Ampliación y/o Mejora Edificios de Otros Edif. Municipales</t>
  </si>
  <si>
    <t>Productos Específicos Veterinarios</t>
  </si>
  <si>
    <t>Aporte Fondo Permanente Pcial. para Obras 1% - Ord. 5427</t>
  </si>
  <si>
    <t>Repuestos y Accesorios Equipos y Maquinarias</t>
  </si>
  <si>
    <t>SUBRPOGRAMA:  PAVIMENTACION Y REPAVIMENTACION DE DIVERSAS</t>
  </si>
  <si>
    <t xml:space="preserve">ARTERIAS DE LA CIUDAD, Y EN BARRIOS. </t>
  </si>
  <si>
    <t>OBRAS DE CORDON CUNETA.</t>
  </si>
  <si>
    <t>MANTENIMIENTO Y MEJORAS ANFITEATRO MUNICIPAL Y ENTORNO EN</t>
  </si>
  <si>
    <t>COSTANERA</t>
  </si>
  <si>
    <t>CONSOLIDACION DE ESPACIOS VERDES - PLAZAS - PLAZOLETAS</t>
  </si>
  <si>
    <t xml:space="preserve"> EN DISTINTOS LUGARES DE LA CIUDAD</t>
  </si>
  <si>
    <t>JEFE DE PROGRAMA: Ing. Carlos RAMÍREZ - Arq. Soledad  Monge</t>
  </si>
  <si>
    <t>DURACION ESTIMADA: 6 MESES</t>
  </si>
  <si>
    <t>EQUIPAMIENTO URBANO EN ESPACIOS PÚBLICOS Y DE RECREACIÓN</t>
  </si>
  <si>
    <t xml:space="preserve">UNIDAD EJECUTORA: Secretaría de Desarrollo Urbano, Ambiente e Infraestructura </t>
  </si>
  <si>
    <t>2.2.1.2.02.32</t>
  </si>
  <si>
    <t>Equipamiento Urbano para Espacios Públicos</t>
  </si>
  <si>
    <t>ESTÁNDARES INTERNACIONALES EN LA ADMINISTRACIÓN</t>
  </si>
  <si>
    <t>PROGRAMA: CAMPEONATO "HOY SE JUEGA" - VIVILA BIEN</t>
  </si>
  <si>
    <t>FECHA DE INICIO: 01/01/2019</t>
  </si>
  <si>
    <t>JEFE DE PROGRAMA:  Ing. Carlos Ramírez  - Ing Joel Coria</t>
  </si>
  <si>
    <t>MANTEN. Y REVALORIZ. INMUEBLES MUNICIPALES</t>
  </si>
  <si>
    <t>CICLOVIA (TRAMO BV SARMIENTO - PQUE P Y DOMINGUEZ)</t>
  </si>
  <si>
    <t>2.2.1.2.02.10.</t>
  </si>
  <si>
    <t>Ciclovías</t>
  </si>
  <si>
    <t>RECONSTRUCCION PUENTE  DALMACIO V. SARSFIELD</t>
  </si>
  <si>
    <t>2.2.1.2.02.11.</t>
  </si>
  <si>
    <t>Puentes, Pasos, Nexos y obras similares</t>
  </si>
  <si>
    <t>1701</t>
  </si>
  <si>
    <r>
      <rPr>
        <b/>
        <sz val="10"/>
        <rFont val="Arial Narrow"/>
        <family val="2"/>
      </rPr>
      <t>OBJETIVOS:</t>
    </r>
    <r>
      <rPr>
        <sz val="10"/>
        <rFont val="Arial Narrow"/>
        <family val="2"/>
      </rPr>
      <t xml:space="preserve"> Colaborar y asesorar al D.E.M. en todas las funciones y competencias que correspondan respecto a las áreas de educación,  juventud, el Parlamento de los Niños, El Intendente de los Niños y el gabinete de Niños. Incorporar el trabajo digital para aprender matemática y lengua a través de lo distintos dispositivos informáticos cubriendo la currícula de ambas. Desarrollar y coordinar políticas educativas y de formación en todos los centros que se encuentran brindando sus servicios en el ámbito de la ciudad. Continuar con la Jornada Extendida de la práctica de la Natación, que es ejercida por todos los alumnos de Sexto Grado de todos los establecimientos públicos, de la  ciudad y rurales. Promover políticas activas tendientes a la alfabetización de todas aquellas personas que aún no hayan podido acceder al sistema formal de educación. Estructurar un Gabinte de Psicopedagogía incorporando la figura del coordiador y la asistencia psicológica, que estará a disposición de la demanda de las escuela públicas. Atender las problemáticas de los niños que están en el límite de abandonar o abandonaron la escuela, a través de las demandas de las escuelas públicas sobre inasistencia o conflictividad de los  estudiantes.</t>
    </r>
  </si>
  <si>
    <t>FECHA DE INICIO: 01/01/2019.</t>
  </si>
  <si>
    <t>Capacitación/es y Cursos del Personal</t>
  </si>
  <si>
    <r>
      <t xml:space="preserve">OBJETIVOS: </t>
    </r>
    <r>
      <rPr>
        <sz val="10"/>
        <rFont val="Arial Narrow"/>
        <family val="2"/>
      </rPr>
      <t>Fomentar en las niñas y niños la capacidad de observar, leer e interpretar el medio en el que habitan desde  una óptica integral e incluyente, con el fin de construir un pensamiento reflexivo y lo proactivo, capaz de valorar los distintos aspectos de la realidad local. Construir una conciencia ciudadana comprometida, capaz de interactuar en procesos de gobernanza participativa, y elaborar propuestas que ayuden al mejoramiento del medio urbano de la ciudad de Villa María con un enfoque sustentable.</t>
    </r>
  </si>
  <si>
    <t>1702</t>
  </si>
  <si>
    <t>2.1.1.3.05.05</t>
  </si>
  <si>
    <t>Servicios en Talleres, Cursos, Programas y Capacitaciones</t>
  </si>
  <si>
    <t>1703</t>
  </si>
  <si>
    <r>
      <rPr>
        <b/>
        <sz val="10"/>
        <rFont val="Arial Narrow"/>
        <family val="2"/>
      </rPr>
      <t>OBJETIVOS:</t>
    </r>
    <r>
      <rPr>
        <sz val="10"/>
        <rFont val="Arial Narrow"/>
        <family val="2"/>
      </rPr>
      <t xml:space="preserve"> Diseñar y ejecutar un proceso de formación y capacitación que corresponda a las necesidades de la población y del desarrollo estratigico de los sectores producticos. Formar personas en un oficio, partiendo de la relación que tienen con el mundo del trabajo, con la finalidad de mejorar su capacidad de  búsqueda e inserción laboral y de intervenir en la transformación del mercado del trabajo, a partir de la acción organizada. Implementar un plan de seguimiento, acompañamiento y evaluación de la inserción laboral de las personas.</t>
    </r>
  </si>
  <si>
    <t>PROGRAMA: COORDINACIÓN DE LA SUBSECRETARÍA DE EDUCACIÓN INICIAL</t>
  </si>
  <si>
    <r>
      <rPr>
        <b/>
        <sz val="10"/>
        <rFont val="Arial Narrow"/>
        <family val="2"/>
      </rPr>
      <t>OBJETIVOS:</t>
    </r>
    <r>
      <rPr>
        <sz val="10"/>
        <rFont val="Arial Narrow"/>
        <family val="2"/>
      </rPr>
      <t xml:space="preserve">  Coordinar y complementar acciones con los Programas promoviendo la participación de todos los actores sociales. Incrementar la cobertura de los servicios educativos, asegurando calidad y formación Profesional para la implementación de Políticas Educativas Municipales para niños/as de 45 dias a 5 años. Fortalecer las Políticas existentes que fomenten el aprendizaje, desarrollo y juegos de los niños/as de 45 días a 5 años. Coordinar y gestionar los Centros de Promoción Familiar, (gestión conjunta con el Progrma Provincial Salas Cunas) tienen como fin escencial la motivación, el aprendizaje,  contención y la estimulación temprana y pedagógica de niños de escasos recursos y su grupo familiar. Articular con las Instituciones Educativas de Nivel Inicial Formal, públicas y privadas, con el objeto de coordinar acciones para proteger la integridad bio-psico-social de los niños/as de Villa María.</t>
    </r>
  </si>
  <si>
    <t>PROGRAMA: INVESTIGACIÓN Y OBSERVATORIO DE LA EDUCACIÓN - CAPACITACIÓN DOCENTE</t>
  </si>
  <si>
    <t>1705</t>
  </si>
  <si>
    <r>
      <rPr>
        <b/>
        <sz val="10.5"/>
        <rFont val="Arial Narrow"/>
        <family val="2"/>
      </rPr>
      <t xml:space="preserve">OBJETIVOS:  </t>
    </r>
    <r>
      <rPr>
        <sz val="10.5"/>
        <rFont val="Arial Narrow"/>
        <family val="2"/>
      </rPr>
      <t xml:space="preserve"> Desarrollar íineas de investigación en Educación Inicial y en Educación de Jóvenes y Adultos en la Ciudad. Indagar sobre la relación entre los niveles educativos alcanzados por los adultos y el desempeño de los niños en las Escuelas de la Ciudad. Analizar los modos de apropiación de conocimiento en la experiencia de educación de jóvenes y adultos desarrollada en la Ciudad. Analizar la conformación de la planta docente  de las escuelas de la Ciudad. Estimular el desarrollo de proyectos de investigación de estudiantes secundarios para dar respuesta a problemáticas de la Ciudad. Publicar los avances de l sistematización de los proyectos y programas que se desarrollen en la secretaría. Desarrollar Jornadas, Encuentros y Congresos de formción para los distintos niveles de enseñanza.</t>
    </r>
  </si>
  <si>
    <t>1706</t>
  </si>
  <si>
    <r>
      <rPr>
        <b/>
        <sz val="10"/>
        <rFont val="Arial Narrow"/>
        <family val="2"/>
      </rPr>
      <t>OBJETIVOS</t>
    </r>
    <r>
      <rPr>
        <sz val="10"/>
        <rFont val="Arial Narrow"/>
        <family val="2"/>
      </rPr>
      <t>: Posicionar a la Ciudad de Villa María como integrante de la red Mundial de Ciudades del Aprendizaje de UNESCO. Es un esquema aplicado en Ciudades que propone poner en diálogo la demanda laboral local y la oferta formativa y habilidades de las  personas mayores, predisponer los espacios públicos, comprender que la  la educación es un factor crucial en las distintas áreas de la gestión municipal. Es la exigencia de poder pensar todas las dimensiones de la gestión municipal y de la gestión comunitaria en clave de  educación:  es pensar la salud, la obra pública, el abordaje de las  políticas para el adulto mayor en clave educativa;  es pensar la atención primaria y temprana de un niño, la política educativa, la comunicación también en clave de educación. </t>
    </r>
  </si>
  <si>
    <r>
      <rPr>
        <b/>
        <sz val="10"/>
        <rFont val="Arial Narrow"/>
        <family val="2"/>
      </rPr>
      <t>OBJETIVOS:</t>
    </r>
    <r>
      <rPr>
        <sz val="10"/>
        <rFont val="Arial Narrow"/>
        <family val="2"/>
      </rPr>
      <t xml:space="preserve"> Diagnosticar y evaluar las problemáticas referentes al desarrollo del aprendizaje, registro de casos y seguimiento de los mismos, specialmente en sectores vulnerables. Minimizar la deserción y reducir el fracaso en el ámbito educativo de nuestra ciudad. Llevar a cabo diferentes actividades como: Apoyo Escolar: para atender las demandas de los sujetos escolarizados a fin de lograr los objetivos académicos para evitar el fracaso escolar. Apoyo al Aprendizaje Escolar: brindar apoyo escolar a un sector de la población estudiantil primaria que presenta necesidades educativas que no pueden ser atendidas por la escuela. Implementar acciones tendientes a garantizar la escolaridad básica de la población joven y adultos de Villa María. Articular las acciones con distintas Instituciones  de la Ciudad en torno a la implementación del programa de alfabetización. Atender a la demanda de jóvenes y adultos que no hayan finalizado la escolaridad primaria y secundariaa través del Programa de Terminalidad Educativa. Generar espacio intersectorial para trabajar conjuntamente la problemática de la escolaridad básica en jóvenes y adultos de la Ciudad de Villa María. Becar a niños y jóvenes de escuelas públicas para la finalización de los estudios primarios y secundarios, respectivamente.</t>
    </r>
  </si>
  <si>
    <r>
      <rPr>
        <b/>
        <sz val="10"/>
        <rFont val="Arial Narrow"/>
        <family val="2"/>
      </rPr>
      <t>OBJETIVOS:</t>
    </r>
    <r>
      <rPr>
        <sz val="10"/>
        <rFont val="Arial Narrow"/>
        <family val="2"/>
      </rPr>
      <t xml:space="preserve"> Generar un espacio de participación comunitaria en todo lo referente al aspecto cultural y artístico. Coordinar los diversos programas implementados desde la dirección de cultura. Realizar espectáculos artísticos y otras manifestaciones culturales con identificación comunitaria. En el transcurso del periodo se realizará: * Villa María Circo-Experiencias Escénicas, tiene como objetivo difundir las técnicas aéreas del circo tradicional, con la nueva mirada creativa de profesores locales. Se combinan, las diferentes técnicas aéreas circenses,  danza, teatro y música. Se trabaja con una concepción completa del ser humano, tanto física como espiritual. Se busca promover el desarrollo de los alumnos y que puedan especializarse en las diferentes disciplinas aéreas. * Actividades de verano, como ser: Molinos de Arte: Consiste en actividades y talleres artísticos, favoreciendo la inclusión de los vecinos de todos los barrios de la ciudad a la cultura en todas sus expresiones. Milongas Municipales: Todos los vecinos de la ciudad puedan disfrutar, compartir y aprender sobre éste género musical y baile. El Arte por Todas Partes: Consiste en acercar el cultura y el arte a cada barrio, piletas públicas y espacios verdes de la ciudad. El arte va donde va la gente. Festival del Acordeón y Festival de Tango: Invitar a músicos de ambos géneros para que toquen en espacio público de la ciudad. *El Archivo Municipal de Historia Oral y Memorias Locales, de carácter abierto y público, esta compuesto por entrevistas a hombres y mujeres cuyas experiencias se encuentran ligadas a la vida social, laboral, politica, educativa, cultural e historica de Villa Maria. Las entrevistas agrupadas en distintas colecciones temáticas, permiten pensar los procesos historicos locales a partir del testimonio de sus protagonistas. El Archivo tiene fines pedagógicos y de investigacion, promoviendo el uso del acervo oral como herramienta de trabajo y fuente de consulta. * La orquesta Municipal de Música ciudadana posee una trayectoria de 16 años y combina músicos de varias generaciones. Está dirigida por el Sr Alberto Bacci quien ha realizado un gran aporte para la proyección de la misma. Cuenta actualmente con 20 músicos aproximadamente y cuyo objetivo es transmitir este arte a todos los ciudadanos a través de diferentes eventos locales y zonales. </t>
    </r>
  </si>
  <si>
    <t>PROGRAMA: COORDINACIÓN Y GESTIÓN DE ACTIVIDADES EN EL COMPLEJO "PARQUE DE   LA VIDA"</t>
  </si>
  <si>
    <r>
      <rPr>
        <b/>
        <sz val="10"/>
        <rFont val="Arial Narrow"/>
        <family val="2"/>
      </rPr>
      <t>OBJETIVOS:</t>
    </r>
    <r>
      <rPr>
        <sz val="10"/>
        <rFont val="Arial Narrow"/>
        <family val="2"/>
      </rPr>
      <t xml:space="preserve"> Implementar y coordinar propuestas educativas y culturales en todas sus expresiones mediante la gestión de un espacio físico urbano pensado para brindar diferentes alternativas recreativas, de esparcimiento, educativas y culturales. El mantenimiento, la renovación y mejora del espacio "Parque de la Vida" como lugar de encuentro y oportunidades. El planteamiento de propuestas integrales y/o complemetarias aprovechando y /o explotando la cercanía de los edificios Medioteca y Biblioteca Municipal y Popular Mariano Moreno, la Tecnoteca y el Centro Cultural Comunitario "Leonardo Fabio".</t>
    </r>
  </si>
  <si>
    <t xml:space="preserve">SUBPROGRAMA: PROMOCIÓN  DE ACTIVIDADES TECNOLÓGICAS Y PRODUCTIVAS </t>
  </si>
  <si>
    <r>
      <rPr>
        <b/>
        <sz val="10"/>
        <rFont val="Arial Narrow"/>
        <family val="2"/>
      </rPr>
      <t>OBJETIVOS:</t>
    </r>
    <r>
      <rPr>
        <sz val="10"/>
        <rFont val="Arial Narrow"/>
        <family val="2"/>
      </rPr>
      <t xml:space="preserve"> Promover actividades orientadas a mejorar la alfabetización científica, la formación de competencias de la sociedad en el campo científico y tecnológico así como el mejoramiento de la enseñanza de las ciencias. Promover la constante divulgación orientada a acercar a la sociedad el trabajo científico y de  investigación, el conociemiento producido y avances y aplicaciones alcanzados. Continuar con las actividades de la Radio que funciona en las instalaciones e implementar nuevos talleres para que los ciudadanos estén en mayor contacto con la misma. Como ser: Talleres de Grabación, de Iniciación Radial, de locución y oratoria, La Radio va tu barrio, La Radio va a la escuela, entre otros. En las Salas de Robótica e Informática también se realizarán distintas actividades para llegar a un público infantil interesado en la temática de lo cibernético.</t>
    </r>
  </si>
  <si>
    <r>
      <rPr>
        <b/>
        <sz val="10"/>
        <rFont val="Arial Narrow"/>
        <family val="2"/>
      </rPr>
      <t>OBJETIVOS:</t>
    </r>
    <r>
      <rPr>
        <sz val="10"/>
        <rFont val="Arial Narrow"/>
        <family val="2"/>
      </rPr>
      <t xml:space="preserve"> Satisfacer las necesidades de información de los usuarios, mediante su comprensión y entendimiento, y lograr continuidad en la concurrencia a la biblioteca y uso de sus servicios como así también la incorporación de nuevos usuarios y servicios. Promover la mejora continua de los recursos y servicios que la biblioteca ofrece a la comunidad de Villa María y región. Determinar una política de gestión y desarrollo de la colección. Evaluar e incorporar las nuevas tecnologías de la información necesarias para el desarrollo de los servicios bibliotecarios y adaptar las instalaciones y espacios físicos de acuerdo a las necesidades y demandas de los usuarios. Estudiar y evaluar las necesidades tecnológicas para el desarrollo de los servicios bibliotecarios. Realizar actividades culturales y de extensión hacia la comunidad.</t>
    </r>
  </si>
  <si>
    <t xml:space="preserve">SUBPROGRAMA: CENTRO CULTURAL COMUNITARIO "LEONARDO FAVIO"de niños y  jóvenes, eje de convocatoria para el desarrollo recreativo y turístico de la ciudad. </t>
  </si>
  <si>
    <r>
      <rPr>
        <b/>
        <sz val="10"/>
        <rFont val="Arial Narrow"/>
        <family val="2"/>
      </rPr>
      <t>OBJETIVOS:</t>
    </r>
    <r>
      <rPr>
        <sz val="10"/>
        <rFont val="Arial Narrow"/>
        <family val="2"/>
      </rPr>
      <t xml:space="preserve"> El funcionamiento en la ciudad de un Parque temático vinculado con la cultura. Las actividades a desarrollar en el Centro Cultural son: * Programa Ser Arte y Parte: Se proponen 16 diferentes Talleres, con màs de 700 Inscriptos. Se enmarca en el paradigma de arte. Que entiende al arte como lugar de expresión, de lenguaje, de comunicación procurando la transformación  social y el fortalecimiento de vínculos comunitarios e identitarios. Para este fin el Programa, asume la obligación de respetar, garantizar y promover el derecho a la cultura. * Programa Conciertos, comprende: Festival De Flauta - Disco Es-Cultura - Ciclo SiDis (Bandas Musicales Locales)- Ciclo de Violin - Ciclo de Jazz - Milongas - Peñas - Gozadera. Compuesto por el Teatro del Pueblo - Sala Jorge Bonino y el Parlamento de los Niños, lugar propicio para disertaciones. Se brindarán espectàculos libres y gratuitos, aptos para todo público, de modo que el acceso a la cultura llegue a todos/as. * Programa Capacitación - Arte y Oficios, su objetivo es potenciar las habilidades, ya sean artísticas o de oficios, lo que implica , que la comunidad disfrute de èstas prácticas y pueda tener una salida laboral. Opera Studio, espacio de accion artisitica para cantantes de opera en formación. En el Centro Cultural funciona el Espacio INCAA Villa María cuyo objetivos son: · Democratizar el acceso a la sala de cine y difundir el  Cine argentino como bien cultural para todos. · Difundir  filmografías del mundo  con el propósito de conocer otras culturas y de fomentar el intercambio. </t>
    </r>
  </si>
  <si>
    <r>
      <rPr>
        <b/>
        <sz val="10"/>
        <rFont val="Arial Narrow"/>
        <family val="2"/>
      </rPr>
      <t>OBJETIVOS:</t>
    </r>
    <r>
      <rPr>
        <sz val="10"/>
        <rFont val="Arial Narrow"/>
        <family val="2"/>
      </rPr>
      <t xml:space="preserve"> Velar por el Patrimonio Histórico de la ciudad, investigar sobre los aspectos que nos confieren identidad como pueblo, y difundir el pasado villamariense. Realización anual del Congreso Provincial de Historia. Incrementar y restaurar el Archivo Histórico Municipal, para ordenar y clasificar la documentación existente según criterios técnicos y profesionales. Mantener el Museo Histórico Municipal. Procurar y fortalecer el funcionamiento del Instituto Municipal de Historia. Promover y fomentar la realización de eventos artísticos culturales en el Museo de Bellas Artes Fernando Bonfiglioli con la participación de artistas locales y nacionales. Desarrollar actividades en forma conjunta con establecimientos educativos para llegar a un nuevo público y acercar a los niños al arte como una opción nueva donde, a través de la exploración e investigación de las artes visuales, puedan encontrar una forma de expresar sus ideas.</t>
    </r>
  </si>
  <si>
    <r>
      <rPr>
        <b/>
        <sz val="10"/>
        <rFont val="Arial Narrow"/>
        <family val="2"/>
      </rPr>
      <t>OBJETIVOS:</t>
    </r>
    <r>
      <rPr>
        <sz val="10"/>
        <rFont val="Arial Narrow"/>
        <family val="2"/>
      </rPr>
      <t xml:space="preserve"> Instrumentar los mecanismos correspondientes al ceremonial y protocolo municipal, y la organización de eventos. Fortalecer el crecimiento conjunto de la comunidad, a través de la promoción de la creatividad artística y la cultura. Ampliar el proyecto Feria del Libro Villa María, diseñando un festival más amplio, trascendiendo la cultura del libro, expandiendo las más variadas producciones culturales. Diseñar espacios variados específicamente construidos para la presentación de muestras interactivas, instalaciones sonoras, exposiciones de  arte y fotografía, espectáculos  teatrales, de humor y musicales. Visitas y conferencias de figuras representativas de la ciudad, de la provincia  y el país. Desarrollar actividades didácticas, interactivas y sensoriales; que apunten al disfrute y a la ampliación del conocimiento a través de la propia experiencia. Ensamblar actividades que se relacionan de una manera más directa con la cultura del libro: ilustración, poesía, narración, historieta. Sumar un espacio de variadas ofertas gastronómicas a disposición de participantes y visitantes durante todos los días del Festival. Posicionar a la ciudad de Villa María, como Ciudad del Aprendizaje. Promover la permanencia y continuidad del Festival como un hito educativo, cultural y turístico de la ciudad; con el cual los vecinos puedan identificarse y replicar sus experiencias, que promueva la participación y profundice la inclusión.</t>
    </r>
  </si>
  <si>
    <t>PROGRAMA: PROGRAMA DE GESTIÓN TERRITORIAL INTEGRAL: SALUD, FAMILIA Y COMUNIDAD.  ( GTI)</t>
  </si>
  <si>
    <t>1601</t>
  </si>
  <si>
    <r>
      <rPr>
        <b/>
        <sz val="10"/>
        <rFont val="Arial Narrow"/>
        <family val="2"/>
      </rPr>
      <t xml:space="preserve">OBJETIVOS: </t>
    </r>
    <r>
      <rPr>
        <sz val="10"/>
        <rFont val="Arial Narrow"/>
        <family val="2"/>
      </rPr>
      <t>Desarrollar un proceso  colectivo de acciones de salud, en áreas territoriales de población bajo cuidado. Incorporar herramientas conceptuales y metodológicas que faciliten el abordaje de los problemas de salud en la persona. Promover el desarrollo de acciones integrales de protección de la salud, centradas en las necesidades de la comunidad y en los perfiles epidemiológicos locales. Jerarquizar los procesos de trabajo  mediante la instrumentacion de una carrera sanitaria. Facilitar la articulación teórico - práctica, mediante la atención de situaciones problemáticas altamente frecuentes en la práctica cotidiana de los Centros de Atención Primaria de Salud.</t>
    </r>
  </si>
  <si>
    <t>1602</t>
  </si>
  <si>
    <r>
      <rPr>
        <b/>
        <sz val="10"/>
        <rFont val="Arial Narrow"/>
        <family val="2"/>
      </rPr>
      <t>OBJETIVOS:</t>
    </r>
    <r>
      <rPr>
        <sz val="10"/>
        <rFont val="Arial Narrow"/>
        <family val="2"/>
      </rPr>
      <t xml:space="preserve"> Proporcionar atención sanitaria de alta calidad, prestando cuidados integrales desde la perspectiva centrada en la persona, la familia y la comunidad. Proporcionar cuidados de salud, en forma continua, integral e integrada durante todas las etapas del ciclo vital familiar. Adquirir habilidades y destrezas para resolver los problemas de salud prevalentes de la población.</t>
    </r>
  </si>
  <si>
    <t xml:space="preserve">SUBPROGRAMA: SISTEMAS MUNICIPALES DE ATENCIÓN DE URGENCIAS Y EMERGENCIAS </t>
  </si>
  <si>
    <r>
      <rPr>
        <b/>
        <sz val="10"/>
        <rFont val="Arial Narrow"/>
        <family val="2"/>
      </rPr>
      <t>OBJETIVOS:</t>
    </r>
    <r>
      <rPr>
        <sz val="10"/>
        <rFont val="Arial Narrow"/>
        <family val="2"/>
      </rPr>
      <t xml:space="preserve"> Garantizar, con la implementación y apoyo de distintos sistemas de atención, las urgencias y emergencias sucedidas tanto en el ámbito domiciliario como en la vía pública. Sistemas SAMU 107 Y E-100.</t>
    </r>
  </si>
  <si>
    <t>1603</t>
  </si>
  <si>
    <r>
      <rPr>
        <b/>
        <sz val="10"/>
        <rFont val="Arial Narrow"/>
        <family val="2"/>
      </rPr>
      <t>OBJETIVOS:</t>
    </r>
    <r>
      <rPr>
        <sz val="10"/>
        <rFont val="Arial Narrow"/>
        <family val="2"/>
      </rPr>
      <t xml:space="preserve">  La planificación estratégica junto con las familias de un diagnóstico participativo para detectar los problemas a resolver. Coordinar la ejecución de actividades y acciones de prevención, atención y rehabilitación dirigidas a la comunidad. Dar respuestas a la Ciudad de Villa María de las necesidades de contención,  a través  de la Residencia Adultos Mayores y el Hogar de Día.</t>
    </r>
  </si>
  <si>
    <t xml:space="preserve">2.1.1.3.05.05 </t>
  </si>
  <si>
    <t>SUBPROGRAMA: ASISTENCIA PÚBLICA-CAPS -CENTRO ODONTOLÓGICO RAMÓN CARRILLO</t>
  </si>
  <si>
    <r>
      <rPr>
        <b/>
        <sz val="10"/>
        <rFont val="Arial Narrow"/>
        <family val="2"/>
      </rPr>
      <t xml:space="preserve">OBJETIVOS: </t>
    </r>
    <r>
      <rPr>
        <sz val="10"/>
        <rFont val="Arial Narrow"/>
        <family val="2"/>
      </rPr>
      <t>Otorgar las posibilidades de promoción, prevención, tratamiento, rehabilitación y atención necesarias para satisfacer las necesidades sanitarias básicas a la comunidad de Villa María, principalmente al sector poblacional de menores recursos. Tratamiento de patologías asociadas al primer nivel de atención. Prevención y promoción de la salud bucodental  y oftalmológica. Difundir la problemática de la enfermedad mental y promover su integración a la sociedad.</t>
    </r>
  </si>
  <si>
    <r>
      <rPr>
        <b/>
        <sz val="10"/>
        <rFont val="Arial Narrow"/>
        <family val="2"/>
      </rPr>
      <t xml:space="preserve">OBJETIVOS: </t>
    </r>
    <r>
      <rPr>
        <sz val="10"/>
        <rFont val="Arial Narrow"/>
        <family val="2"/>
      </rPr>
      <t>Brindar al Adulto Mayor que reside en el hogar una atención integral satisfaciendo necesidades de alimentación, salud, contención física y social. Promover derechos y potencialidades de los Adultos Mayores, fomentando un envejecimiento activo y saludable.</t>
    </r>
  </si>
  <si>
    <t>PROGRAMA: CONSEJOS MUNICIPALES DE PARTIDOS POLÍTICOS, DE VALORES HUMANOS Y DE RESPONSABILIDAD SOCIAL</t>
  </si>
  <si>
    <r>
      <t xml:space="preserve">OBJETIVOS: </t>
    </r>
    <r>
      <rPr>
        <sz val="10"/>
        <rFont val="Arial Narrow"/>
        <family val="2"/>
      </rPr>
      <t xml:space="preserve"> Asesorar a los poderes Ejecutivo y Legislativo en temas referidos al regimen electoral y de Partidos Politicos, o bien sobre aquellos que  asi se le requieran. Contribuir a la formulacion de coincidencias entre las distintas correintes politicas sobre temas de relvancia.  Fomentar la intervencion de los Partidos Políticos en los asuntos de interés general, la formación y capacitación de los cuadros  dirigentes de los mismos y la fluída participación partidaria. Crear en la sociedad una conciencia creciente acerca de los valores y los problemas éticos.  Contribuir a un mayor conocimiento acerca del desarrollo de valores humanos en nuestra cultura contemporánea.  Identificar desafíos actuales en materia ética de la sociedad y discutir posibles respuestas. Promover que los diferentes sectores de la sociedad se integren a este debate. Promover el desarrollo sustentable, contribuir a un nuevo paradigma en la Responsabilidad Social, en donde el Estado asume el rol fundamental de planificar los lineamientos estrategicos en esta materia. Profundizar el compromiso, la participación y el protagonismo ciudadano. Consensuar una idea de bien común, generar sinergias y lenguajes compartidos entre los distintos sectores; teniendo como objetivo una sociedad mas justa.  Fomentar el desarrollo de actividades, tendientes a la formacion y capacitacion sobre responsabilidad social, así como generar programas especificos de acompañamiento a las organizaciones. </t>
    </r>
  </si>
  <si>
    <t>PROGRAMA: CONSEJO MUNICIPAL PARA LA PREVENCIÓN DE LAS ADICCIONES Y U.I.S.P.</t>
  </si>
  <si>
    <r>
      <t xml:space="preserve">OBJETIVOS:  </t>
    </r>
    <r>
      <rPr>
        <sz val="10"/>
        <rFont val="Arial Narrow"/>
        <family val="2"/>
      </rPr>
      <t xml:space="preserve">Procurar el diseño participativo y la gestión asociada de políticas, programas y cursos de acción que permitan implementar un eje y estrategias de abordaje intersectorial y de conjunto tendiente a lograr resultados satisfactorios en la promoción de la salud y prevención contra el flagelo del uso indebido de sustancias Psicoactivas (U.I.S.P) y las adicciones de cualquier tipo. Firmar convenios de cooperación técnica y profesional con instituciones y organismos provinciales, nacionales e internacionales. Fomentar la creación de espacios de inclusión, participación, deportivos, culturales, lúdicos, laborales que colaboren con los proyectos de vida de niños, jóvenes y adolescentes de nuestra ciudad.  Promover y favorecer la capacitación de equipos de salud y comunidad en general.  Facilitar y promover la capacitación para la formación de jóvenes monitores en los distintos ámbitos, escuela, clubes etc.  Brindar contención y asesoramiento para padres y familias afectadas por la problemática. Fomentar la creación de centros de prevención barriales, escolares, deportivos, iglesias, etc. </t>
    </r>
  </si>
  <si>
    <t>PROGRAMA: COORDINACIÓN Y ADMINISTRACIÓN DE LA SECRETARÍA DE DESARROLLO  URBANO, AMBIENTE E INFRAESTRUCTURA</t>
  </si>
  <si>
    <t>JEFE DE PROGRAMA: Ing. Carlos RAMÍREZ.</t>
  </si>
  <si>
    <t>PROGRAMA: COORDINACIÓN, GESTIÓN Y ADMINISTRACIÓN DE LA DIRECCIÓN DE PROYECTOS DE OBRAS PÚBLICAS</t>
  </si>
  <si>
    <r>
      <t>OBJETIVO:</t>
    </r>
    <r>
      <rPr>
        <sz val="10"/>
        <color indexed="8"/>
        <rFont val="Arial Narrow"/>
        <family val="2"/>
      </rPr>
      <t xml:space="preserve"> Brindar asistencia técnica a la Secretaría en materia de planificación y desarrollo de Proyectos de Obras Públicas. Efectuar el relevamiento del estado de conservación de los inmuebles del dominio privado y público municipal, a fin de proyectar las mejoras, construcciones y/o refacciones que sean necesarias. Identificar y desarrollar los proyectos de  Obras Arquitectónicas que sean de alto impacto en la sociedad, elaborando la memoria y presupuestación correspondiente. Previo estudio de factibilidad técnica.</t>
    </r>
  </si>
  <si>
    <t>UNIDAD EJECUTORA: Dirección de Proyectos de Obras Públicas.</t>
  </si>
  <si>
    <t>JEFE DE PROGRAMA: Arq.  Soledad MONGE.</t>
  </si>
  <si>
    <t>PROGRAMA: COORDINACIÓN, GESTIÓN Y ADMINISTRACIÓN DE LA DIRECCIÓN DE ASESORÍA TÉCNICA Y PLANEAMIENTO URBANO</t>
  </si>
  <si>
    <r>
      <t xml:space="preserve">OBJETIVO: </t>
    </r>
    <r>
      <rPr>
        <sz val="10"/>
        <color indexed="8"/>
        <rFont val="Arial Narrow"/>
        <family val="2"/>
      </rPr>
      <t>Asesorar en materia del planeamiento urbano. Alcanzar un desarrollo y crecimiento de la urbanización en la ciudad enmarcado en un contexto de planificación y ordenamiento territorial.</t>
    </r>
  </si>
  <si>
    <t>UNIDAD EJECUTORA: Asesoría Técnica y Planeamiento Urbano.</t>
  </si>
  <si>
    <t>JEFE DE PROGRAMA: Arq. Silvia CARRIAZO.</t>
  </si>
  <si>
    <t>PROGRAMA: COORDINACIÓN, GESTIÓN Y ADMINISTRACIÓN DE LA DIRECCIÓN DE INFRAESTRUCTURA</t>
  </si>
  <si>
    <r>
      <t>OBJETIVO:</t>
    </r>
    <r>
      <rPr>
        <b/>
        <sz val="10"/>
        <color indexed="10"/>
        <rFont val="Arial Narrow"/>
        <family val="2"/>
      </rPr>
      <t xml:space="preserve">  </t>
    </r>
    <r>
      <rPr>
        <sz val="10"/>
        <color indexed="8"/>
        <rFont val="Arial Narrow"/>
        <family val="2"/>
      </rPr>
      <t>El relvamiento y desarrollo de los proyectos de Infraestructura Urbana. Detectando las obras faltantes por zona o sector y gestionando ante los organismos pertinentes las autorizaciones y trámites previos para su ejecución. La planificación de la infraestructura en nuevos desarrollos urbanos, y la capacidad para la provisión del suministro correspondiente.</t>
    </r>
  </si>
  <si>
    <t>UNIDAD EJECUTORA: Dirección de Infraestructura.</t>
  </si>
  <si>
    <t>JEFE DE PROGRAMA: Ing. Eduardo MARTÍNEZ.</t>
  </si>
  <si>
    <t>Útiles y/o Insumos Técnicos -  Profesional</t>
  </si>
  <si>
    <t>PROGRAMA: COORDINACIÓN, GESTIÓN Y ADMINISTRACIÓN DE LA DIRECCIÓN DE OBRAS PRIVADAS</t>
  </si>
  <si>
    <r>
      <rPr>
        <b/>
        <sz val="10"/>
        <color indexed="8"/>
        <rFont val="Arial Narrow"/>
        <family val="2"/>
      </rPr>
      <t>OBJETIVOS:</t>
    </r>
    <r>
      <rPr>
        <sz val="10"/>
        <color indexed="8"/>
        <rFont val="Arial Narrow"/>
        <family val="2"/>
      </rPr>
      <t xml:space="preserve"> Son fines esenciales de la Dirección el  CONTROL, CONCIENTIZACIÓN Y REACAUDACIÓN DE LOS TRIBUTOS PREVISTOS EN LA ORDENANZA TARIFARIA. La mejora constante de la Base de Datos de la Contribución sobre Inmuebles, incorporando los metros contruidos que se delcaran. La realización de operativos y patrullajes permanentes para la inspección ocular de obras, detección de incumplimientos al Código de Edificación y su normalización; así como la adopción de medidas de seguridad en obras. </t>
    </r>
  </si>
  <si>
    <t>UNIDAD EJECUTORA: Dirección de Obras Privadas.</t>
  </si>
  <si>
    <t>PROGRAMA: COORDINACIÓN, GESTIÓN Y ADMINISTRACIÓN DE LA DIRECCIÓN DE CATASTRO</t>
  </si>
  <si>
    <r>
      <t xml:space="preserve">OBJETIVO: </t>
    </r>
    <r>
      <rPr>
        <sz val="10"/>
        <color indexed="8"/>
        <rFont val="Arial Narrow"/>
        <family val="2"/>
      </rPr>
      <t>Organizar, actualizar y gestionar el catastro municipal de inmuebles, en especial el control y seguimiento de las construcciones y la presentación de la planimetría correspondiente. Mejorar e implementar nuevas herramientas tecnológicas para actualizar de manera ágil y eficiente el sistema informático y base de datos. Suministrar información territorial a otras áreas municipales que lo requieran para, entre otras necesidades, la planificación de la obra pública, y privada y la adecuada implementación de políticas diferentes políticas, entre ellas territoriales y ambientales.</t>
    </r>
  </si>
  <si>
    <t>JEFE DE PROGRAMA: Arq. María Laura GONZÁLEZ  - Ing. M. Cecilia BELTRAMONE.</t>
  </si>
  <si>
    <t>PROGRAMA: COORDINACIÓN, GESTIÓN Y ADMINISTRACIÓN DE LA DIRECCIÓN DE ESPACIOS PÚBLICOS</t>
  </si>
  <si>
    <r>
      <t>OBJETIVO:</t>
    </r>
    <r>
      <rPr>
        <sz val="10"/>
        <color indexed="8"/>
        <rFont val="Arial Narrow"/>
        <family val="2"/>
      </rPr>
      <t xml:space="preserve"> Llevar a cabo la planificación y control del embellecimiento urbano. Satisfacer y dar respuesta a la problemática que se plantee sobre servicios públicos (recolección, riego, barrido y mantenimiento de todos los espacios públicos), y su control. Brindar asistencia a las instituciones educativas, sociales, culturales, etc. A través de la trasnferencias de materiales y/o trabajos públicos que se demanden. </t>
    </r>
  </si>
  <si>
    <t>UNIDAD EJECUTORA: Dirección de Espacios Públicos.</t>
  </si>
  <si>
    <t>JEFE DE PROGRAMA: Sr. Omar REGUEIRA - Sr. Daniel CLIMACO.</t>
  </si>
  <si>
    <t>PROGRAMA: COORDINACIÓN, GESTIÓN Y ADMINISTRACIÓN DE LA DIRECCIÓN DE AMBIENTE Y SANEAMIENTO</t>
  </si>
  <si>
    <r>
      <rPr>
        <b/>
        <sz val="10"/>
        <rFont val="Arial Narrow"/>
        <family val="2"/>
      </rPr>
      <t>OBJETIVO</t>
    </r>
    <r>
      <rPr>
        <sz val="10"/>
        <rFont val="Arial Narrow"/>
        <family val="2"/>
      </rPr>
      <t>: Desarrollar y ejecutar acciones para optimizar las condiciones ambientales de la ciudad, garantizando una mejor calidad de vida de los vecinos. Mantenimiento y recuperación de los Inmuebles y Espacios Públicos de uso de la comunidad. Desmalezamiento, limpieza, forestación y poda de los distintos espacios verdes de la ciudad (plazas, plazoletas, canteros, boulevares, predio ferro-urbanístico) y su arbolado público. Difundir los roles que desempeñan las áreas naturales, a fin de concientizar sobre la necesidad de conservarlas, promocionando, además, los beneficios del arbolado público y su cuidado. Educar a la población en temas de saneamiento ambiental y la importancia del manejo adecuado de los desechos. Generar y formar conciencia y responsabilidad frente a las acciones que impactan al ambiente .Promocionar la adquisición de conocimientos y actitudes en el proceso de separación de los desechos domiciliarios. Desde la propuesta Separe en Casa se procura lograr el hábito de la separación domiciliaria de los RSU y disminuir el porcentaje de residuos eliminados. Erradicar los basurales clandestinos, dar tratamiento de los residuos sólidos urbanos disponiendo de los mismos en forma ambientalmente adecuada. Erradicar basurales instalados en distintos barrios de la ciudad mediante la creación de Puntos Limpios, espacios destinados para que los vecinos depositen en ellos los residuos inorgánicos en forma clasificada. Controlar las plagas urbanas que puede generar dicha actividad y garantizar un ambiente urbano saludable. Preservar el medio natural con las modificaciones imprescindibles, posibilitando el acceso del público al escenario que ofrece nuestro paisaje local, mediante actividades recreativas, educativas, de investigación y de extensión de modo sustentable. Lograr que el relleno sanitario tenga una vida útil mayor. Lograr la implementación de procesos de manejo de desechos a través de la creación de microempresas, bajo la perspectiva de generación de empleo y sostenibilidad.</t>
    </r>
  </si>
  <si>
    <t>UNIDAD EJECUTORA: Dirección de Ambiente y Saneamiento.</t>
  </si>
  <si>
    <t>JEFE DE PROGRAMA: Geólogo Germán TISSERA.</t>
  </si>
  <si>
    <t>2.1.1.4.02.16</t>
  </si>
  <si>
    <t>Transferencias-Trabajo Público en Obras de Infraestructura por FOPOI</t>
  </si>
  <si>
    <t>1308-01</t>
  </si>
  <si>
    <t>JEFE DE PROGRAMA:  Geol. Germán TISSERA.</t>
  </si>
  <si>
    <t>COSTO TOTAL SUBPROGRAMA Incluido en el Programa 1308</t>
  </si>
  <si>
    <t>1308-02</t>
  </si>
  <si>
    <t>1308-03</t>
  </si>
  <si>
    <t>PROGRAMA: COORDINACIÓN, GESTIÓN Y ADMINISTRACIÓN DE LA DIRECCIÓN DE CORRALÓN MUNICIPAL</t>
  </si>
  <si>
    <r>
      <t xml:space="preserve">OBJETIVO: </t>
    </r>
    <r>
      <rPr>
        <sz val="10"/>
        <color indexed="8"/>
        <rFont val="Arial Narrow"/>
        <family val="2"/>
      </rPr>
      <t xml:space="preserve"> Dar pronta y ágil respuesta a las demandas de servicios y tareas de la Secretaría, a fin de satisfacer en forma oportuna los requerimientos y necesidades de los vecinos. Procurar los medios y Recursos para mantener en buenas condiciones espacios y obras de nuestra ciudad, contemplando también el mantenimiento de calles de pavimento y de tierra. Coordinar y gestionar las áreas de servicios generales, tales como taller de reparaciones y carpintería. Ejecutar las actividades relacionadas con el Cementerio La Piedad. Conservación de luminarias y semáforos.</t>
    </r>
  </si>
  <si>
    <t>UNIDAD EJECUTORA: Dirección de Corralón.</t>
  </si>
  <si>
    <t>JEFE DE PROGRAMA: Sr. Omar REGUEIRA - Sr. Fernando CHIDICHIMO.</t>
  </si>
  <si>
    <t>Ampliación y/o Mejora de Inmuebles Municipales</t>
  </si>
  <si>
    <t>PROGRAMA: COORDINACIÓN Y ADMINISTRACIÓN DE LA SECRETARÍA DE  INCLUSIÓN SOCIAL Y FAMILIA</t>
  </si>
  <si>
    <r>
      <rPr>
        <b/>
        <sz val="10"/>
        <rFont val="Arial Narrow"/>
        <family val="2"/>
      </rPr>
      <t>OBJETIVOS</t>
    </r>
    <r>
      <rPr>
        <sz val="10"/>
        <rFont val="Arial Narrow"/>
        <family val="2"/>
      </rPr>
      <t>: Promover el empoderamiento y la participación social. Implementar políticas sociales integradoras e integrales que  fomenten la universalidad, solidaridad e igualdad de oportunidades. Coordinar con organismos públicos y/o privados que atiendan la problemática social de los distintos grupos de la comunidad. Intervenir en forma articulada entre las distintas políticas, servicios, poderes estatales y niveles de gobierno, las familias, las instituciones sociales y la comunidad, a través de la interrelación entre el Consejo Municipal de la Mujer, Consejo de Protección y Promoción de los Niños, Adolescentes y Familias, el área Local de Protección Integral de Derechos de Niñas, Niños y Adolescentes, el Consejo Asesor de Discapacidad y Consejo Asesor de Adultos Mayores. Generar los recursos propicios para el óptimo funcionamiento administrativo de la Secretaría, brindando los insumos necesarios para asistir a las distintas coordinaciones y áreas de la Secretaría. Poner en ejecución el proyecto de Redes de Pensionados que tiene como principal objetivo la generación y multiplicación de espacios abiertos a la participación organizada de los titulares de derecho para generar ámbitos colectivos para el protagonismo de nuestros vecinos. Aplicar las medidas necesarias de asistencia e incorporación social al liberado para reducir el número de personas con riesgo de pobreza o exclusión social; e impulsar la incorporación social y laboral de aquellas personas privadas de libertad y liberadas, a través de la promoción de los Derechos Humanos y promoción del Empleo.</t>
    </r>
  </si>
  <si>
    <t>PROGRAMA: INCLUSIÓN C.R.E.A.S. (CULTURAL, RECREATIVO, EDUCATIVO, ARTÍSTICO Y SALUDABLE)</t>
  </si>
  <si>
    <r>
      <rPr>
        <b/>
        <sz val="10"/>
        <rFont val="Arial Narrow"/>
        <family val="2"/>
      </rPr>
      <t>OBJETIVOS:</t>
    </r>
    <r>
      <rPr>
        <sz val="10"/>
        <rFont val="Arial Narrow"/>
        <family val="2"/>
      </rPr>
      <t xml:space="preserve"> Implementar un programa de actividades que incrementará la cooperación, la interacción y el intercambio entre adultos mayores y jóvenes. Este programa implica compartir habilidades, conocimientos y experiencias. Creemos que para hablar de intergeneracionalidad no basta con estar juntos, lo importante es "hacer juntos", y que ese hacer vaya más allá de la mera interacción y pase a la relación. Apostamos a que se construyan vínculos significativos que pongan en contacto a las dos generaciones, proporcionando  los mayores un medio de transmisión de la cultura y las tradiciones, y a su vez poder mejorar la manera que tienen de a percibirse a si mismos. Los jóvenes podrán adquirir experiencias y conocimientos, y se beneficiarán con el contacto de un grupo generacional mayor al suyo que podrán proporcionarles de guía, consejo, sabiduria, etc. Objetivo General: Aproximar a los miembros de ambas generaciones para que convivan en el entorno de unos y otros, y compartan actividades que les ayuden a conocerse y por lo tanto a superar estereotipos.</t>
    </r>
  </si>
  <si>
    <t>JEFE DE PROGRAMA: Prof. Jorge ARGÜELLO.</t>
  </si>
  <si>
    <t>PROGRAMA: PROMOCIÓN, PROTECCIÓN, ASISTENCIA Y CONTENCIÓN A PERSONAS, FAMILIAS E INSTITUCIONES</t>
  </si>
  <si>
    <r>
      <rPr>
        <b/>
        <sz val="10"/>
        <rFont val="Arial Narrow"/>
        <family val="2"/>
      </rPr>
      <t>OBJETIVOS:</t>
    </r>
    <r>
      <rPr>
        <sz val="10"/>
        <rFont val="Arial Narrow"/>
        <family val="2"/>
      </rPr>
      <t xml:space="preserve"> Los Servicios Sociales conformados en la Municipalidad tienen por finalidad promover los derechos de las personas a vivir dignamente, delinear políticas publícas facilitadoras, atender las necesidades particulares y específicas de los ciudadanos y promover la transversalidad de las acciones en el territorio. Buscan la estimulación de las actividades y capacidades de las personas, y del grupo familiar, con el propósito de facilitar sus autonomías, inclusiones e integraciones sociales; sin dejar pasar la prevención y la promoción comunitaria. En busca de lograr estos objetivos, es que se crea el programa de Promoción, Protección, Asistencia y Contención el cual está enmarcado dentro de las políticas públicas siendo la persona el eje central de toda acción. Persona que que se desarrolla en un entorno familiar donde se expresan y vivencian múltiples problemáticas que requieren de intervenciones integrales, para lo que es necesario tomar a los recursos mismos como un medio y no como el fin en si mismo, promoviendo así el desarrollo humano, la prevención de riesgos y las situaciones de vulnerabilidad para mejorar la calidad de vida de los ciudadanos. Continuar con la ejecución del programa productivo familiar, el cual está orientado al autoempleo de aquellas mujeres que se encuentran desempleadas. Seguir en el acompañamiento de los espacios barriales donde se brindan Copas de Leche a los vecinos con mayor vulnerabilidad. Brindar acogida, contención y promoción a aquellas personas que se encuentran en situación de calle, pudiendo acompañarlos y contribuir a mejorar su situación de vulnerabilidad social, através de la implementación del Centro de Atención Social para Personas en Situación de Calle.</t>
    </r>
  </si>
  <si>
    <t>PROGRAMA: COORDINACIÓN DE POLÍTICAS SOBRE FAMILIA, NIÑEZ, ADOLESCENCIA Y JUVENTUD</t>
  </si>
  <si>
    <r>
      <rPr>
        <b/>
        <sz val="10"/>
        <rFont val="Arial Narrow"/>
        <family val="2"/>
      </rPr>
      <t>OBJETIVOS:</t>
    </r>
    <r>
      <rPr>
        <sz val="10"/>
        <rFont val="Arial Narrow"/>
        <family val="2"/>
      </rPr>
      <t xml:space="preserve"> Atender, promocionar y fortalecer las políticas relacionadas con los niños, niñas, adolescentes, jóvenes y su núcleo familiar, a través del desarrollo de acciones preventivas y proteccionales. Desarrollar programas especiales orientados a políticas de protección del niño y la familia. Continuar con los programas Nuevas Oportunidades, destinados a desarrollar habilidades laborales en los adolescentes que manifiestan dificultades para su integración social, a través de talleres de oficio y culturales. Existe la necesidad de comenzar a vincular nuestro trabajo con el trabajo diario de las diferentes organizaciones territoriales y generar una vinculación y trabajo mancomunado entre ellas. Se entiende por organización territorial a iglesias, comedores y toda otra organización que contemple el trabajo en el territorio sin fines de lucro; para generar un dispositivo socio cultural compuesto por diferentes talleres. Continuar con el programa de Voluntariado Joven se crea con el fin de generar un espacio de participación de las instituciones y los jóvenes para mejorar los espacios de los que son parte logrando un empoderamiento, que contribuya al desarrollo integral de los mismos.</t>
    </r>
  </si>
  <si>
    <r>
      <rPr>
        <b/>
        <sz val="10"/>
        <rFont val="Arial Narrow"/>
        <family val="2"/>
      </rPr>
      <t>OBJETIVOS:</t>
    </r>
    <r>
      <rPr>
        <sz val="10"/>
        <rFont val="Arial Narrow"/>
        <family val="2"/>
      </rPr>
      <t xml:space="preserve"> Ejecución de programas que atiendan las necesidades de personas con discapacidad de la Ciudad, con el objetivo de mejorar la calidad de vida e independencia favoreciendo la diversidad e integración bio-psico-social. Todas las áreas de Discapacidad orientan su accionar para contribuir a una sociedad más plural e inclusiva. Brindar capacitación e inclusión laboral a Jóvenes y Adultos con discapacidad que se encuentren en condiciones de insertarse al mercado laboral. Continuación del programa Iniciando Caminos. Coordinación y gestión del Centro Municipal para el desarrollo Integral del Discapacitad (CEMDI) y del Centro de Rehabilitación Enrique Elisalde, llevando adelante todas sus actividades planificadas.</t>
    </r>
  </si>
  <si>
    <r>
      <rPr>
        <b/>
        <sz val="10"/>
        <rFont val="Arial Narrow"/>
        <family val="2"/>
      </rPr>
      <t>OBJETIVOS:</t>
    </r>
    <r>
      <rPr>
        <sz val="10"/>
        <rFont val="Arial Narrow"/>
        <family val="2"/>
      </rPr>
      <t xml:space="preserve"> Implementar políticas sociales, programas y proyectos en beneficio de los Adultos Mayores de la ciudad, teniendo una mirada integral e integradora del ser humano. Atender la demanda de los adultos mayores de manera descentralizada a través de personal capacitado para disipar dudas y/o derivar a las áreas gubernamentales y no gubernamentales que corresponda, en espacios físicos estratégicos como centros vecinales, municerca, CAPS. Continuar con las actividades recreativas, las cuales aportan al fortalecimiento de los vínculos sociales, al incremento en el autoestima y lograr que el adulto mayor adopte experiencias de aprendizaje y un estilo de vida más saludable.</t>
    </r>
  </si>
  <si>
    <t xml:space="preserve">JEFE DE PROGRAMA: Sra. Claudia ARIAS - Sr. Jorge ARGUELLO. </t>
  </si>
  <si>
    <r>
      <rPr>
        <b/>
        <sz val="10"/>
        <rFont val="Arial Narrow"/>
        <family val="2"/>
      </rPr>
      <t>OBJETIVOS:</t>
    </r>
    <r>
      <rPr>
        <sz val="10"/>
        <rFont val="Arial Narrow"/>
        <family val="2"/>
      </rPr>
      <t xml:space="preserve"> Establecer estrategias de intervención y gestión en las unidades de producción local. Para ello se realizan las Ferias de Emprendedores, la cual es un espacio alternativo de comercialización, que tienen como finalidad la exhibición y venta de los productos de la economía social, para el mejoramiento de la calidad de vida mediante el incremento de los ingresos de cada emprendedor. Existen diferentes eventos que propician la promoción de las mismas, como ser: La Feria Navideña, la Feria de Invierno, la Feria Peñera de Villa María y el Encuentro Latinoamericano de Tejedoras. Además, persiguiendo el mismo objetivo, se financia la compra de herramientas e insumos para el fortalecimiento de aquellas unidades económicas que se han convertido en la posibidad real de un ingreso familiar. Continuar con el fortalecimiento de las Cooperativas de Trabajo en capacitaciones con la finalidad de mejorar su funcionamiento, estimular se crecimiento y desarrollo. Organizar las Ferias Francas, donde se ofrece un espacio donde se puede comprar directamente de mano de los productores en condiciones ambientales y sociales éticas. Así los productores obtienen un pago justo por su trabajo, los consumidores realizan compras responsables y la comunidad gana generando conciencia acerca de los beneficios de consumir en forma local y natural. También se implementarán Microcréditos para microemprendedores para acompañarlos en la etapa inicial de una actividad económica productiva y de autoempleo.</t>
    </r>
  </si>
  <si>
    <t>PROGRAMA: COORDINACIÓN DE POLÍTICAS SOBRE DERECHOS HUMANOS, DIVERSIDAD Y GÉNERO</t>
  </si>
  <si>
    <r>
      <rPr>
        <b/>
        <sz val="10"/>
        <rFont val="Arial Narrow"/>
        <family val="2"/>
      </rPr>
      <t>OBJETIVOS:</t>
    </r>
    <r>
      <rPr>
        <sz val="10"/>
        <rFont val="Arial Narrow"/>
        <family val="2"/>
      </rPr>
      <t xml:space="preserve"> Coordinar acciones vinculadas a la promoción y protección de los Derechos Humanos mediante la elaboración y ejecución de planes y programas relacionados a derechos civiles, políticos, económicos y comunitarios. Intervenir en el seguimiento de situaciones que impliquen conflictos o emergencias sociales, así como situaciones de vulnerabilidad social que requiera el auxilio del Estado. Promover los Derechos Humanos, mediante la articulación con los Colectivos de la Diversidad y la capacitación en perspectiva de Género. Reforzar la conciencia social sobre las causas y consecuencias del consumo de sustancias y otras adicciones presentes en nuestro medio.</t>
    </r>
  </si>
  <si>
    <t>JEFE DE PROGRAMA: Sra. Caludia ARIAS, Dr. Julio TABARES, Sr. Daniel MASSARA.</t>
  </si>
  <si>
    <t>PROGRAMA: ABORDAJE INTEGRAL DE LA VIOLENCIA DE GÉNERO</t>
  </si>
  <si>
    <r>
      <rPr>
        <b/>
        <sz val="10"/>
        <rFont val="Arial Narrow"/>
        <family val="2"/>
      </rPr>
      <t>OBJETIVOS:</t>
    </r>
    <r>
      <rPr>
        <sz val="10"/>
        <rFont val="Arial Narrow"/>
        <family val="2"/>
      </rPr>
      <t xml:space="preserve"> Abordar una perspectiva de género como manifestación de la desigualdad en la que se encuentra la mujer en la sociedad, siendo menester articular políticas de prevención, promoción, atención y protección. Abordar la problemática victimológica desde los niveles asistenciales y preventivos para la superación y reducción de las consecuencias de los procesos de victimización, así como la disminución en la producción de otros. Brindar alojamiento y contención profesional a mujeres vÍctimas de violencia de género que no tienen una red familiar, albergadas junto a sus hijos. Este objetivo se llevará a cabo a través y, en forma conjunta con el Gobierno de la Provincia de Córdoba, en el Polo de la Mujer.</t>
    </r>
  </si>
  <si>
    <t>PROGRAMA: COORDINACIÓN DE POLÍTICAS DE DESCENTRALIZACIÓN Y ABORDAJE TERRITORIAL E IDENTIDAD</t>
  </si>
  <si>
    <r>
      <rPr>
        <b/>
        <sz val="10"/>
        <rFont val="Arial Narrow"/>
        <family val="2"/>
      </rPr>
      <t>OBJETIVOS</t>
    </r>
    <r>
      <rPr>
        <sz val="10"/>
        <rFont val="Arial Narrow"/>
        <family val="2"/>
      </rPr>
      <t>: El objetivo principal radica en lograr una proximidad territorial con la comunidad a través  de acciones que tiendan a cambiar y mejorar la realidad y la vida de las personas del barrio. Lograr una presencia permanente del Estado Municipal con políticas públicas que son diagramadas a partir de las demandas del sector, a través de la participación ciudadana, lo que genera una decisión retro alimentada entre lo que el vecino planifica y el Estado les otorga como ciudadanos. Continuar con el trabajo conjunto entre el municipio e instituciones barriales en la recuperación y revalorización de aquellos espacios de uso común que lo ameritaban, en una jornada laboral de día completo. Con dicha iniciativa se pretende atender este problema puntual y ademas fortalecer los vínculos con el Consejo Barrial y los Vecinos, compartir una jornada de trabajo comunitario y revalorizar estos espacios que ellos mismos recuperan y posteriormente cuidan.</t>
    </r>
  </si>
  <si>
    <r>
      <rPr>
        <b/>
        <sz val="10"/>
        <rFont val="Arial Narrow"/>
        <family val="2"/>
      </rPr>
      <t>OBJETIVO:</t>
    </r>
    <r>
      <rPr>
        <sz val="10"/>
        <rFont val="Arial Narrow"/>
        <family val="2"/>
      </rPr>
      <t xml:space="preserve"> Las políticas públicas destinadas a la población juvenil de nuestra ciudad deben promover las condiciones para la participación libre y eficaz de la juventud en el desarrollo político, socioeconómico y cultural. Es necesario desarrollar herramientas y técnicas para la investigación, acción-participación para la definición y diseño de las políticas de juventud, garantizando la unidad de criterios con las realidades en que está inmerso el contexto social. El deporte y los espacios de recreación son herramientas de inclusión social como así también una forma de generar identidad con la comunidad, destacando la importancia de los valores educativos y de participación.</t>
    </r>
  </si>
  <si>
    <t>SUBPROGRAMA: COORDINACIÓN DE TALLERES Y CAPACITACIÓN</t>
  </si>
  <si>
    <r>
      <rPr>
        <b/>
        <sz val="10"/>
        <rFont val="Arial Narrow"/>
        <family val="2"/>
      </rPr>
      <t>OBJETIVOS:</t>
    </r>
    <r>
      <rPr>
        <sz val="10"/>
        <rFont val="Arial Narrow"/>
        <family val="2"/>
      </rPr>
      <t xml:space="preserve"> Realizar capacitaciones y cursos de formaciones en formulación de proyectos y promocion territorial. Esta dirijido a personal administrativo y dirijentes barriales o referentes, ligados a las instituciones del barrio  mas representativas del sector. Estas capacitaciones apuntarán a profundizar y desarrollar las habilidades personales de modo que aporten a la vida comunitaria del barrio y del Municerca. Continuar con el dictado de talleres, cuyo objetivo principal es brindar herramientas para el abordaje de los niños  generando un acercamiento que permita conocer su  realidad y desarrollar aquellas aptitudes en las que se muestren mas predispuesto.</t>
    </r>
  </si>
  <si>
    <t>PROGRAMA: COORDINACIÓN Y ADMINISTRACIÓN DE LA SECRETARÍA DE GOBIERNO Y VINCULACIÓN COMUNITARIA</t>
  </si>
  <si>
    <r>
      <rPr>
        <b/>
        <sz val="10"/>
        <rFont val="Arial Narrow"/>
        <family val="2"/>
      </rPr>
      <t>OBJETIVOS:</t>
    </r>
    <r>
      <rPr>
        <sz val="10"/>
        <rFont val="Arial Narrow"/>
        <family val="2"/>
      </rPr>
      <t xml:space="preserve"> Asistir al Departamento Ejecutivo Municipal en todo lo inherente al Gobierno Político Interno como así también en lo que hace a la relación con políticas de seguridad vial y prevención comunitaria, y el poder de polícia municipal, teniendo como eje estructurador la integraciónn de las áreas. Entender en las relaciones con los Poderes del Estado Municipal, con los organismos oficiales nacionales y/o provinciales, y con las municipalidades y comunas de la Provincia de Córdoba. Entender en las políticas de desarrollo cultural en todas las formas de expresión de la misma.</t>
    </r>
  </si>
  <si>
    <t>PROGRAMA: HABILITACIONES, CONTROL Y APLICACIONES DE NORMAS DE SEGURIDAD E HIGIENE</t>
  </si>
  <si>
    <r>
      <rPr>
        <b/>
        <sz val="10"/>
        <rFont val="Arial Narrow"/>
        <family val="2"/>
      </rPr>
      <t>OBJETIVOS:</t>
    </r>
    <r>
      <rPr>
        <sz val="10"/>
        <rFont val="Arial Narrow"/>
        <family val="2"/>
      </rPr>
      <t xml:space="preserve"> Organizar y coordinar las tareas de la Subsecretaría de Inspectoría General. Verificar el cumplimiento de las ordenanzas municipales en materia de espectáculos públicos, recreación, centros educativos, entre otros. Realizar visitas y auditorías a todas las dependencias municipales a los fines de verificar el cumplimiento de las condiciones laborales del personal como así también las condiciones edilicias. Fomentar la habilitación de los comercios e industrias dentro de las normativas regulatorias de actividades desarrolladas en la ciudad contemplando especialmente la seguridad integral de todos los habitantes. Optimizar la tarea admimistrativa vinculada al canal de comunicación con los titulares de expedientes, con el fin de acortar los tiempos en la obtención de los permisos de habilitantes para ejercer su actividad. Desarrollar un programa de muestreo de alimentos elaborados en la ciudad para realizar la vigilancia alimentaria y así proteger la salud de los ciudadanos, disminuyendo la inicendia de ETA`s (Enfermedades Transmitidas por Alimentos). Garantizar el control de calidad de los alimentos en las distintas etapas; asegurando así el cumplimiento de la normativa vigente. Sistematizar el control de ingreso de carnes y derivados a la ciudad y posterior control en puntos de venta. Realizar controles de calidad de efluentes industriales y monitoreo de los indicadores ambientales.</t>
    </r>
  </si>
  <si>
    <r>
      <t xml:space="preserve">OBJETIVOS: </t>
    </r>
    <r>
      <rPr>
        <sz val="10"/>
        <rFont val="Arial Narrow"/>
        <family val="2"/>
      </rPr>
      <t>Conformar una Inspectoría Gral. Interdisciplinaria para el asesoramiento técnico y control de obras públicas, privadas y habilitaciones en general, con acento en los controles ambientales, de saneamiento, bromatológicos, del uso y seguridad de la propiedad pública, la seguridad eléctrica, la prevención de incendios, las obras sin permiso, demoliciones, clausuras, espectáculos públicos, etc.</t>
    </r>
  </si>
  <si>
    <t>UNIDAD EJECUTORA: Subsecretaría de Inspección General.</t>
  </si>
  <si>
    <t>PROGRAMA: SALUD ANIMAL - CENTRO DE ADOPCIÓN MUNICIPAL</t>
  </si>
  <si>
    <r>
      <rPr>
        <b/>
        <sz val="10"/>
        <rFont val="Arial Narrow"/>
        <family val="2"/>
      </rPr>
      <t>OBJETIVOS</t>
    </r>
    <r>
      <rPr>
        <sz val="10"/>
        <rFont val="Arial Narrow"/>
        <family val="2"/>
      </rPr>
      <t>: Trabajar para dar respuesta definitiva a la necesidad de erradicación de canes de la vía pública. Promover y ejecutar políticas de atención sanitaria y guarda respecto de animales recogidos en la vía pública, propiciando una mayor y mejor sanidad animal. Coordinar y administrar el Centro de Adopción Municipal. Concientizar a la ciudadanía sobre la tenencia de animales. Promover y proveer la protección Integral de los Animales.</t>
    </r>
  </si>
  <si>
    <t>JEFE DE PROGRAMA: Sr. Oscar CABRIGNIA.</t>
  </si>
  <si>
    <t>PROGRAMA: PREVENCIÓN COMUNITARIA Y SEGURIDAD CIUDADANA - TRÁNSITO Y TRANSPORTE - EDUCACIÓN VIAL</t>
  </si>
  <si>
    <r>
      <rPr>
        <b/>
        <sz val="10"/>
        <rFont val="Arial Narrow"/>
        <family val="2"/>
      </rPr>
      <t>OBJETIVOS:</t>
    </r>
    <r>
      <rPr>
        <sz val="10"/>
        <rFont val="Arial Narrow"/>
        <family val="2"/>
      </rPr>
      <t xml:space="preserve"> Organizar y desarrollar estrategias, planes y proyectos para la Prevención Comunitaria y la Seguridad Ciudadana. Coordinar la misma con los distintos organismos de seguridad con sede en la ciudad. Elaborar e implementar programas para la organización del tránsito de vehículos y peatones en el área urbana. Ejercer el poder de policía en materia de tránsito para el control del cumplimiento de las normas regulatorias de la circulación, estacionamiento y todas las de competencia de la materia. Realizar actividades destinadas a la educación y capacitación vial.</t>
    </r>
  </si>
  <si>
    <r>
      <rPr>
        <b/>
        <sz val="10"/>
        <rFont val="Arial Narrow"/>
        <family val="2"/>
      </rPr>
      <t xml:space="preserve">OBJETIVOS: </t>
    </r>
    <r>
      <rPr>
        <sz val="10"/>
        <rFont val="Arial Narrow"/>
        <family val="2"/>
      </rPr>
      <t>El objetivo principal es la implementación de los CUADRANTES de prevención comunitarias. Reducir el temor al delito y contribuir as mejorar la calidad de vida de los vecinos. Aumentar la capacidad de rerspuestas en áreas más pequeñas de vigilancia. Instalar unidades fijas de control de circulación terrestre ubicadas en los accesos al ejido municipal de la ciudad, equipadas con cámaras de video, cartelería led y radio comunicación aptos para operaciones conjuntas con FF.PP y FF.SS.</t>
    </r>
  </si>
  <si>
    <r>
      <rPr>
        <b/>
        <sz val="10"/>
        <rFont val="Arial Narrow"/>
        <family val="2"/>
      </rPr>
      <t>OBJETIVOS:</t>
    </r>
    <r>
      <rPr>
        <sz val="10"/>
        <rFont val="Arial Narrow"/>
        <family val="2"/>
      </rPr>
      <t xml:space="preserve"> Orientar, informar y gestionar la solución de problemas, conflictos y denuncias realizadas por los ciudadanos. Establecer una comunicación dinámica entre la Municipalidad de Villa María y los Vecinos.Brindar una mayor celeridad en los plazos de cumplimiento del reclamo, dinamizando la interrelación con las distintas áreas municipales mediante el seguimiento a través de la red informática. Coordinación de acciones de información y gestión con el área de Tránsito, Defensa Civil, Sistemas de Urgencias y Emergencias del área Salud y Bomberos Voluntarios. Desde el servicio de Mediación Comunitaria mejorar la convivencia vecinal y capacitar a la Comunidad Educativa en la prevención y resolución de conflictos dentro de su ámbito.</t>
    </r>
  </si>
  <si>
    <t>PROGRAMA: COORDINACIÓN DE POLÍTICAS DE VINCULACIÓN COMUNITARIA  Y PARTICIPACIÓN VECINAL</t>
  </si>
  <si>
    <t>1110</t>
  </si>
  <si>
    <r>
      <rPr>
        <b/>
        <sz val="10"/>
        <rFont val="Arial Narrow"/>
        <family val="2"/>
      </rPr>
      <t xml:space="preserve">OBJETIVOS: </t>
    </r>
    <r>
      <rPr>
        <sz val="10"/>
        <rFont val="Arial Narrow"/>
        <family val="2"/>
      </rPr>
      <t>Enteder en las relaciones con los Centros Vecinales y Organizaciones de Participación Ciudadana, promoviéndola activamente. Elaborar y ejecutar planes y programas para la promoción de los derechos civiles, políticos, económicos y comunitarios. Generar conciencia de fortalecimiento personal e institucional. Organizar la Fiesta del Día del Vecinalista y las Olimpiadas intervecinalista entre Villa María y Villa Nueva.</t>
    </r>
  </si>
  <si>
    <t>JEFE DE PROGRAMA: Sr. Sebastián PANERO.</t>
  </si>
  <si>
    <r>
      <rPr>
        <u val="single"/>
        <sz val="9"/>
        <rFont val="Arial Narrow"/>
        <family val="2"/>
      </rPr>
      <t>DURACIÓN ESTIMADA:</t>
    </r>
    <r>
      <rPr>
        <sz val="9"/>
        <rFont val="Arial Narrow"/>
        <family val="2"/>
      </rPr>
      <t xml:space="preserve"> 12 meses.</t>
    </r>
  </si>
  <si>
    <t>PROGRAMA: COORDINACIÓN DE POLÍTICAS DE EMPLEO</t>
  </si>
  <si>
    <r>
      <rPr>
        <b/>
        <sz val="10"/>
        <rFont val="Arial Narrow"/>
        <family val="2"/>
      </rPr>
      <t xml:space="preserve">OBJETIVOS: </t>
    </r>
    <r>
      <rPr>
        <sz val="10"/>
        <rFont val="Arial Narrow"/>
        <family val="2"/>
      </rPr>
      <t>Enteder en las relaciones entre la oferta y la demanda laborar que se presente en la ciudad de Villa María. Realizar los talleres de capacitación de jóvenes y adultos para su inserción laboral. Participar en la difusición y ser miembros partícipes en los programas nacionales y provinciales referidos al ámbito laboral, y ser colaboradoeres directo en los mimos.</t>
    </r>
  </si>
  <si>
    <t>JEFE DE PROGRAMA: Sr. Pablo PARIS - Dr. Héctor G. MUÑOZ.</t>
  </si>
  <si>
    <t>PROGRAMA: PLAN DE METAS Y LABORATORIO SOCIAL</t>
  </si>
  <si>
    <r>
      <t xml:space="preserve">OBJETIVOS:  </t>
    </r>
    <r>
      <rPr>
        <sz val="10"/>
        <rFont val="Arial Narrow"/>
        <family val="2"/>
      </rPr>
      <t xml:space="preserve">Fomentar espacios de cocreación y colaboración que generen proyectos e iniciativas de innovación y promuevan cambios positivos deben ser prioridad de la política pública local. Por ello, en los laboratorios de innovación social de manera conjunta, todos los actores sociales construyen productos, servicios o métodos que les permitan a las comunides solucionar sus necesidades. </t>
    </r>
  </si>
  <si>
    <r>
      <rPr>
        <b/>
        <sz val="10"/>
        <rFont val="Arial Narrow"/>
        <family val="2"/>
      </rPr>
      <t>OBJETIVOS:</t>
    </r>
    <r>
      <rPr>
        <sz val="10"/>
        <rFont val="Arial Narrow"/>
        <family val="2"/>
      </rPr>
      <t xml:space="preserve"> Dirigir el accionar en casos de desastres naturales o provocados por el hombre, así como la instrucción y prevención a la población. Receptar inquietudes de los vecinos en situación de emergencia y actuar como nexo comunicacional para la mejor atención y resolución de las mismas por parte de las instituciones involucradas. Coordinar la Defensa Civil con otros organismos de similar desempeño en distintos estamentos estatales como, la Dirección de Defensa Civil de la Provincia de Córdoba y la Secretaría de Protección Civil y Abordaje Integral de Emergencias y Catástrofes.</t>
    </r>
  </si>
  <si>
    <t>1403</t>
  </si>
  <si>
    <r>
      <t>OBJETIVO:</t>
    </r>
    <r>
      <rPr>
        <sz val="10"/>
        <rFont val="Arial Narrow"/>
        <family val="2"/>
      </rPr>
      <t xml:space="preserve"> Como un objetivo superior de la Secretaría, nos planteamos alcanzar parámetros propios de un Modelo de Buen Gobierno. Tales como: a) La gestión de lo público es transparente, b) Planeación sin improvisación, c) Transparencia en la contratación, d) Acceso público a la información, e) Las relaciones con la comunidad y sus instituciones son abiertas y claras (Gobierno Abierto), f) El ejemplo de las autoridades es la principal herramienta pedagógica de transformación cívica, entre otros. Este objetivo superior, abre áreas de trabajo específicas, que permitirán alcanzar la meta propuesta.</t>
    </r>
  </si>
  <si>
    <t>SUBPROGRAMA: REPORTE DE SUSTENTABILIDAD,  CERTIFICACIONES Y VALIDACIONES G.R.I.</t>
  </si>
  <si>
    <r>
      <rPr>
        <b/>
        <sz val="10"/>
        <rFont val="Arial Narrow"/>
        <family val="2"/>
      </rPr>
      <t xml:space="preserve">OBJETIVO: </t>
    </r>
    <r>
      <rPr>
        <sz val="10"/>
        <rFont val="Arial Narrow"/>
        <family val="2"/>
      </rPr>
      <t xml:space="preserve"> Dan continuidad a las acciones tendientes a la obtención de mejoras en los procesos y la adopción de buenas prácticas de gestión; las que deberán ser convalidadas por un Organismo Internacional. Global Reporting initiative (G.R.I.) es un Organismo internacional que ha desarrollada una metodología utilizada mundialmente para informar el desempeño y los impactos económicos, sociales y ambientales de las instituciones. Ofrece indicadores que funcionan  como orientadores de las prácticas a realizar para que una institución sea responsable, ética, transparente y socialmente valorada. </t>
    </r>
  </si>
  <si>
    <t>SUBPROGRAMA: PROCESOS DE MEJORAS CONTINUAS Y CERTIFICACIONES DE NORMAS DE CALIDAD</t>
  </si>
  <si>
    <r>
      <rPr>
        <b/>
        <sz val="10"/>
        <rFont val="Arial Narrow"/>
        <family val="2"/>
      </rPr>
      <t>OBJETIVO</t>
    </r>
    <r>
      <rPr>
        <sz val="10"/>
        <rFont val="Arial Narrow"/>
        <family val="2"/>
      </rPr>
      <t>:  La introducción de proceos de mejora continua, con el objetico de Certificar de Normas de  Calidad,  con el objetivo final de brindar a los contribuyentes y ciudadanos en general un “pronto despacho” a sus necesidades  y requerimientos,  y una adecuada atención. De este modo, se transita un paso más hacia el objetivo mayor de validar la gestión como Modelo de Buen Gobierno. En el logro de este objetivo, nos proponemos un trabajo conjunto con las Universidades locales.</t>
    </r>
  </si>
  <si>
    <t>SUBPROGRAMA: AUDITORÍA INTERNACIONAL SOBRE ESTADOS CONTABLES</t>
  </si>
  <si>
    <r>
      <t xml:space="preserve">OBJETIVO: </t>
    </r>
    <r>
      <rPr>
        <sz val="10"/>
        <rFont val="Arial Narrow"/>
        <family val="2"/>
      </rPr>
      <t>Se procura la ejecución de</t>
    </r>
    <r>
      <rPr>
        <b/>
        <sz val="10"/>
        <rFont val="Arial Narrow"/>
        <family val="2"/>
      </rPr>
      <t xml:space="preserve"> </t>
    </r>
    <r>
      <rPr>
        <sz val="10"/>
        <rFont val="Arial Narrow"/>
        <family val="2"/>
      </rPr>
      <t>Auditorías Externas Independientes, que legitimen en forma constante nuestra gestión. Este es también un requisito a cumplimentar para lograr la calificación del Municipio como Sujeto de Crédito.</t>
    </r>
  </si>
  <si>
    <t>PROGRAMA: TRANSPARENCIA Y UNIDAD DE CONTROL DE GESTIÓN SEGÚN ORDENANZA Nº 6976</t>
  </si>
  <si>
    <r>
      <rPr>
        <b/>
        <sz val="10"/>
        <rFont val="Arial Narrow"/>
        <family val="2"/>
      </rPr>
      <t>OBJETIVOS</t>
    </r>
    <r>
      <rPr>
        <sz val="10"/>
        <rFont val="Arial Narrow"/>
        <family val="2"/>
      </rPr>
      <t xml:space="preserve">: Diseño de políticas e implementación del Sistema de Control Inerno, contribuyendo a incrementar la eficiencia de los procesos. Llevar adelante los procedimientos de Control Interno otorgando confiabilidad en los circuitos y procesos administrativos, así como en la información resultante. Realizar evaluaciones por dependencias, conforme al Plan de Acción previamente trazado y a la normativa vigente en la materia. Diseñar y Ejecutar el Plan Anual de Auditoría.  Contribuir a la consolidación de una cultura de control basada en el autocontrol y el mejoramiento continuo. Establecer la relación con los Entes internos y externos de control. </t>
    </r>
  </si>
  <si>
    <t>1410</t>
  </si>
  <si>
    <t xml:space="preserve">La creación de un Banco de Proyectos de Innovación activo, generando en forma continua proyectos innovadores, orientados a la Eficiencia, Modernidad y Desarrollo del Estado Municipal, gestionando para el financiamiento de los mismos fondeo nacional, provincial, internacional y de organismos multilaterales de crédito; generando un vínculo estrecho y recíproco con dichos entes. </t>
  </si>
  <si>
    <r>
      <t xml:space="preserve">OBJETIVO: </t>
    </r>
    <r>
      <rPr>
        <sz val="10"/>
        <rFont val="Arial Narrow"/>
        <family val="2"/>
      </rPr>
      <t>Bajo el concepto de Organización Inteligente, basada en el conocimiento, se creó el Centro de Estadística y Medición del Desempeño. Recolectará, procesará y producirá inidicadores internos de gestión, con el objetivo de medir variables relevantes, tanto en el presente, como su evaluación histórica (Tendencia) y la evolución proyectada de las mismas. De este modo se pretende ejercer un monitoreo constante del desempeño fiscal y financiero del Municipio. Con una visión de mediano plazo, el Centro producirá información relativa a indicadores socio-económicos a nivel local  (tales como: inflación, desempleo, nivel de actividad económica, pobreza y marginalidad, nivel educacional, población, etc.)</t>
    </r>
  </si>
  <si>
    <t>PROGRAMA: INNOVACIÓN DEL ESTADO Y TRANSPARENCIA - GOBIERNO ABIERTO - CIUDAD INTELIGENTE</t>
  </si>
  <si>
    <r>
      <t xml:space="preserve">OBJETIVOS: </t>
    </r>
    <r>
      <rPr>
        <sz val="10"/>
        <rFont val="Arial Narrow"/>
        <family val="2"/>
      </rPr>
      <t>Se ejecutarán políticas de transformación en la Ciudad mediante proyectos orientados al desarrollo  innovador de activos estratégicos para el desarrollo institucional, la generación de empleo, educación e inclusión social; enfocándose a una gestión de gobierno transparente, abierto, buscando la mejora en la atención al ciudadano.</t>
    </r>
  </si>
  <si>
    <r>
      <rPr>
        <b/>
        <sz val="10"/>
        <rFont val="Arial Narrow"/>
        <family val="2"/>
      </rPr>
      <t>OBJETIVOS:</t>
    </r>
    <r>
      <rPr>
        <sz val="10"/>
        <rFont val="Arial Narrow"/>
        <family val="2"/>
      </rPr>
      <t xml:space="preserve"> Diseño y fomento de programas y espacios necesarios que ayuden a innovar en políticas públicas destinadas a satisfacer demandas de los tiempos actuales. Crear espacios en donde el trabajo colaborativo arroje resultados de participación  ciudadana de los diferentes sectores profesionales que cntribuyan a buscar soluciones integrales. La creación de espacios de innovación contribuye a que el estado pueda adaptarse a los avances tecnológicos y sociales que se producen, con el objetivo de lograr gestiones en todos sus ámbitos.</t>
    </r>
  </si>
  <si>
    <t>PROGRAMA: COORDINACIÓN, GESTIÓN Y ADMINISTRACIÓN DE LA SECRETARÍA DE  ECONOMÍA Y FINANZAS</t>
  </si>
  <si>
    <r>
      <t xml:space="preserve">OBJETIVO: </t>
    </r>
    <r>
      <rPr>
        <sz val="10"/>
        <rFont val="Arial Narrow"/>
        <family val="2"/>
      </rPr>
      <t>Asistir al D.E.M. en todo lo inherente a la elaboración y control de la ejecución del Presupuesto Municipal, mediante la implementación de un Programa Fiscal Responsable y la Gestión Autosustentable, y en particular:</t>
    </r>
  </si>
  <si>
    <t xml:space="preserve">- Promover, diseñar e implementar políticas de Modernización del Estado propendiendo a una Administración compatible con un Gobierno  Abierto y </t>
  </si>
  <si>
    <t xml:space="preserve">Electrónico; impulsando así el libre acceso a la información pública. </t>
  </si>
  <si>
    <t xml:space="preserve">- Mantener activo un Banco de Proyectos de Innovación para la búsqueda permanente de fondeo multilateral y nacional de Proyectos Estratégicos, en la </t>
  </si>
  <si>
    <t>forma de Cooperaciones Técnicas o Financiamiento externo (crédito).</t>
  </si>
  <si>
    <t xml:space="preserve">- Estrechar vínculos con el Gobierno Provincial y Nacional, especialmente en las áreas de Asuntos Municipales, que promueven acciones y programas de </t>
  </si>
  <si>
    <t xml:space="preserve">Fortalecimiento Institucional, Adminsitrativo y de Gestión de los Gobiernos Locales. </t>
  </si>
  <si>
    <r>
      <rPr>
        <b/>
        <sz val="10"/>
        <rFont val="Arial Narrow"/>
        <family val="2"/>
      </rPr>
      <t>OBJETIVO</t>
    </r>
    <r>
      <rPr>
        <sz val="10"/>
        <rFont val="Arial Narrow"/>
        <family val="2"/>
      </rPr>
      <t>: La gestión de cobro de impuestos, tasas, tributos y demás conceptos cuya recaudación corresponda al municipio. Imponer una mayor presencia del Organismo Fiscal en las actividades económicas de la ciudad, como asi también verificar el cumplimiento de las obligaciones tributarias mediante el ejercicio de las facultades conferidas por la normativa vigente. Avanzar en la Equidad Tributaria y Compromiso Social frente a las contribuciones, através de la atención y acompañamiento personalizado al contribuyente. Mejorar las herramientas de gestión vía Web, incorporando herramientas que faciliten y agilicen la operatoria al contribuyente y profesional involucrado. Continuar con las actuaciones judiciales iniciadas, y procurar una atención y resolución de los casos en forma ágil, personalizada y con  la privacidad necesaria. Revisar integralmente las normas tributarias en procura de otorgar mayor equidad al sistema tributario vigente y el respeto de los principios básicos de la tributación. Una vez agotadas las instancias administrativas procurar el cobro de los tributos municipales por la vía judicial, actuando en un todo de acuerdo con las disposiciones normativas vigentes. Ejecutar las acciones necesarias para evitar la prescripción liberatoria de tributos.</t>
    </r>
  </si>
  <si>
    <t>PROGRAMA: DIRECCIÓN DE COMPRAS, CONTRATACIONES, STOCK Y APROVISIONAMIENTO</t>
  </si>
  <si>
    <r>
      <rPr>
        <b/>
        <sz val="10"/>
        <rFont val="Arial Narrow"/>
        <family val="2"/>
      </rPr>
      <t>OBJETIVO</t>
    </r>
    <r>
      <rPr>
        <sz val="10"/>
        <rFont val="Arial Narrow"/>
        <family val="2"/>
      </rPr>
      <t xml:space="preserve">:  La Reestructuración integral del área y concentración general de las operacines de compras y contrataciones del Estado Municipal, mediante el rediseño y definición de circuitos y procedimientos ágiles para la compra y contratación oportuna y eficiente de bienes y servicios requeridos para el logro de los fines del estado. La revisión y adaptación de la normativa vigente, a fin de adecuarla a los nuevos criterios, priorizando esencialmente procedimientos transparentes, de libre competencia y que tiendan a provocar economías a escala, asegurando el mejor uso posible de los recursos disponibles. </t>
    </r>
  </si>
  <si>
    <t>PROGRAMA: CONTADURÍA GENERAL Y ADMINISTRACIÓN Y GESTIÓN ECONÓMICA</t>
  </si>
  <si>
    <r>
      <rPr>
        <b/>
        <sz val="10"/>
        <rFont val="Arial Narrow"/>
        <family val="2"/>
      </rPr>
      <t>OBJETIVO:</t>
    </r>
    <r>
      <rPr>
        <sz val="10"/>
        <rFont val="Arial Narrow"/>
        <family val="2"/>
      </rPr>
      <t xml:space="preserve"> Coordinar los procesos y procedimientos de todas las oficinas a cargo de la Contaduría General: Pagos, Presupuesto, Patrimonio, Compras y Suministros, y demás áreas de la Secretaría. Realizar la Formulación Presupuestaria Anual, y controlar en forma permanente su ejecución, evaluando el desempeño mediante cálculos estadísticos, grado de avance físico y financiero de los programas y proyectos, determinando la necesidad de modificaciones presupuestarias. Llevar el registro actualizado de todas las transacciones, convenios, y disposiciones legales vinculadas al desenvolvimiento de la Secretaría. Registro de los bienes inventariables actualizado, apuntando a la sistematización y automatización del dicho registro. Realizar y cumplir conforme las funciones, facultades y deberes asignados por la COM y ordenanzas específicas: con el registro y control interno de la gestión económica y financiera del Estado Municipal, libros obligatorios y Balance General.</t>
    </r>
  </si>
  <si>
    <t>JEFE DE PROGRAMA: Cra. Carola GARCÍA.</t>
  </si>
  <si>
    <t>1407</t>
  </si>
  <si>
    <r>
      <rPr>
        <b/>
        <sz val="10"/>
        <rFont val="Arial Narrow"/>
        <family val="2"/>
      </rPr>
      <t>OBJETIVO:</t>
    </r>
    <r>
      <rPr>
        <sz val="10"/>
        <rFont val="Arial Narrow"/>
        <family val="2"/>
      </rPr>
      <t xml:space="preserve"> El seguimiento de la evolución de la gestión financiera de la administración municipal, para proveer información confiable para la toma de decisiones. Realizar una oportuna emisión de pagos y un regristro eficaz y eficiente de ingresos (municipales y de otras jurisdicciones). Control de las operaciones bancarias y conciliación de sus saldos. Custodia de los fondos municipales. Manejo transparente de los recursos ingresados y la efectivazación de pagos.</t>
    </r>
  </si>
  <si>
    <r>
      <rPr>
        <b/>
        <sz val="10"/>
        <rFont val="Arial Narrow"/>
        <family val="2"/>
      </rPr>
      <t>OBJETIVO</t>
    </r>
    <r>
      <rPr>
        <sz val="10"/>
        <rFont val="Arial Narrow"/>
        <family val="2"/>
      </rPr>
      <t xml:space="preserve">: Mantener el resguardo de la información pública municipal; así como desarrollar las acciones necesarias para brindar información procesada como insumo útil al proceso decisorio. Incrementar la calidad, eficiencia y transparencia de la información pública, actuando interrelacionadamente con el Área de Gobierno Abierto. Trabajar mancomunadamente con el resto de las áreas para la actualización y depuración sistemática. Centralizar el mantenimiento de la infraestructura tecnológica municipal y el procesamiento informático de la información de gestión. Realizar aportes permanentes para  la mejora constante en la generación y exposición de la información de gestión. </t>
    </r>
  </si>
  <si>
    <t>UNIDAD EJECUTORA: Dirección de Sistemas.</t>
  </si>
  <si>
    <t>JEFE DE PROGRAMA: Anl.Sist. Carlos FUMERO.</t>
  </si>
  <si>
    <t>1411</t>
  </si>
  <si>
    <r>
      <rPr>
        <b/>
        <sz val="10"/>
        <rFont val="Arial Narrow"/>
        <family val="2"/>
      </rPr>
      <t>OBJETIVO</t>
    </r>
    <r>
      <rPr>
        <sz val="10"/>
        <rFont val="Arial Narrow"/>
        <family val="2"/>
      </rPr>
      <t>: La coordinación de todo el accionar inherente al manejo de la Economía y las Finanzas del municipio. La definición de las políticas económicas a seguir.</t>
    </r>
  </si>
  <si>
    <t>2.3.1.1.02.10</t>
  </si>
  <si>
    <t>Fondo de Asist. Fciera. para Municipios y Comunas</t>
  </si>
  <si>
    <t>1700 - AUTOSUSTENTABILIDAD FINANCIERA</t>
  </si>
  <si>
    <t>1704</t>
  </si>
  <si>
    <t>1707</t>
  </si>
  <si>
    <r>
      <rPr>
        <b/>
        <sz val="10"/>
        <rFont val="Arial Narrow"/>
        <family val="2"/>
      </rPr>
      <t>OBJETIVOS:</t>
    </r>
    <r>
      <rPr>
        <sz val="10"/>
        <rFont val="Arial Narrow"/>
        <family val="2"/>
      </rPr>
      <t xml:space="preserve"> Planificar, evaluar y ejecutar las políticas implementadas por el Ejecutivo Municipal. Administrar los bienes municipales, realizar las obras públicas y prestar los servicios públicos de naturaleza e interés municipal. Definir estrategias y ejercer el poder decisorio, a fin de conducir las acciones conjuntas de las áreas hacia el logro de los objetivos planteados en la Plataforma de Gobierno. Dar respuestas a las demandas ciudadanas y de las instituciones planteadas en los observatorios, con observancia  de las recomendaciones de  la Jefatura de Asesores.</t>
    </r>
  </si>
  <si>
    <t>SUBPROGRAMA: ORGANIZACIÓN DE EVENTOS, CEREMONIAL  Y PROTOCOLO</t>
  </si>
  <si>
    <r>
      <rPr>
        <b/>
        <sz val="10"/>
        <rFont val="Arial Narrow"/>
        <family val="2"/>
      </rPr>
      <t>OBJETIVO:</t>
    </r>
    <r>
      <rPr>
        <sz val="10"/>
        <rFont val="Arial Narrow"/>
        <family val="2"/>
      </rPr>
      <t xml:space="preserve"> Instrumentar los mecanismos correspondientes al ceremonial y protocolo municipal, y la organización de eventos.</t>
    </r>
  </si>
  <si>
    <r>
      <rPr>
        <b/>
        <sz val="10"/>
        <rFont val="Arial Narrow"/>
        <family val="2"/>
      </rPr>
      <t>OBJETIVOS:</t>
    </r>
    <r>
      <rPr>
        <sz val="10"/>
        <rFont val="Arial Narrow"/>
        <family val="2"/>
      </rPr>
      <t xml:space="preserve"> Planificar, dirigir e instrumentar los programas de medios, difundiendo las acciones del las áreas que lo componen. Desarrollar las campañas sobre políticas públicas de acuerdo a los objetivos y prioridades que determine el DEM. La coordinación y realización de las impresiones y reproducciones de uso interno del Municipio y sus dependencias.</t>
    </r>
  </si>
  <si>
    <r>
      <rPr>
        <b/>
        <sz val="10"/>
        <rFont val="Arial Narrow"/>
        <family val="2"/>
      </rPr>
      <t>OBJETIVO:</t>
    </r>
    <r>
      <rPr>
        <sz val="10"/>
        <rFont val="Arial Narrow"/>
        <family val="2"/>
      </rPr>
      <t xml:space="preserve"> Fortalecer el vínculo comunicacional con los vecinos, informando a los ciudadanos acerca de actos, acciones e instrumentación de programas de gobierno.</t>
    </r>
  </si>
  <si>
    <t>PROGRAMA: ASISTENCIA A INSTITUCIONES Y PERSONAS. VINCULACIÓN CON LOS ENTES Y SOCIEDADES CON PARTICIPACION ESTATAL</t>
  </si>
  <si>
    <r>
      <rPr>
        <b/>
        <sz val="10"/>
        <rFont val="Arial Narrow"/>
        <family val="2"/>
      </rPr>
      <t>OBJETIVO:</t>
    </r>
    <r>
      <rPr>
        <sz val="10"/>
        <rFont val="Arial Narrow"/>
        <family val="2"/>
      </rPr>
      <t xml:space="preserve"> Desarrollar un trabajo conjunto con las Instituciones y Personas de la ciudad, con el fin de promover programas y proyectos que tienen por objetivo mejorar y transformar  la calidad de vida de los ciudadanos villamarienses.</t>
    </r>
  </si>
  <si>
    <t>1101</t>
  </si>
  <si>
    <r>
      <rPr>
        <b/>
        <sz val="10"/>
        <rFont val="Arial Narrow"/>
        <family val="2"/>
      </rPr>
      <t>OBJETIVOS:</t>
    </r>
    <r>
      <rPr>
        <sz val="10"/>
        <rFont val="Arial Narrow"/>
        <family val="2"/>
      </rPr>
      <t xml:space="preserve"> Asistir al Intendente en la articulación de todas las acciones de las Secretarías, Entes, Organismos y demás dependencias Municipales tendientes a facilitar la vinculación con los vecinos, a través del trabajo transversal y territorial. Coordinar las acciones y programas de las distintas dependencias municipales. Asistir al Intendente en todo lo referido al gobierno político y a las relaciones institucionales. Coordinar las acciones transversales de las areas municipales para llevar adelante la bajada territorial del intendente a  los Barrios de la Ciudad. De esta manera, se traslada el gabinete municipal con representantes de las distintas secretarías atendiendo a los vecinos con sus inquietudes, consultas, reclamos o sugerencias Posteriormente, se dará respuesta desde las áreas involucradas a las demandas recibidas. Esta actividad será ejecutada a través de Gabinete Descentralizado. Bajo su órbita se encuentra el funcionamiento y operativdad del Aeropuerto Municipal. </t>
    </r>
  </si>
  <si>
    <r>
      <rPr>
        <b/>
        <sz val="10"/>
        <rFont val="Arial Narrow"/>
        <family val="2"/>
      </rPr>
      <t>OBJETIVOS:</t>
    </r>
    <r>
      <rPr>
        <sz val="10"/>
        <rFont val="Arial Narrow"/>
        <family val="2"/>
      </rPr>
      <t xml:space="preserve"> Asistir al Sr. Intendente, propiciando la articulación institucional en las cuestiones legales y al despacho general de la municipalidad. Coordinar la de Mesa de Entradas, Registros y Trámites. Producir opinión legal y/o jurídica en todo asunto en que tenga intervención el Municipio, mediante decreto o resolución. Coordinar la Jefatura de Despacho y el Archivo Municipal. Entender en la edición oficial y en la compilación e información sistematizada de la legislación municipal. Confección de todo instrumento en que la Municipalidad se comprometa en obligaciones de dar, hacer o no hacer y sea requerida su documentación por escrito. Coordinar los procedimientos y expedientes Concursos, Admisiones y Sumarios. La responsabilidad sobre la legalidad y actividad judicial del municipio, por la COM, recae sobre la Asesoría Letrada,  razón por la cual se debe generar un mecanismo de control de actuaciones y generación de directivas generales, de manera tal que no existan actos individuales (de abogados) que puedan comprometer la actividad administrativa de la gestión, el patrimonio municipal y la responsabilidad personal de los titulares de la Asesoría Letrada. Se pretende tener la iniciativa de organizar reuniones periódicas con las Asesorías Letradas de los distintos municipios de la provincia.</t>
    </r>
  </si>
  <si>
    <t>JEFE DE PROGRAMA: Ab. Oscar F. BARROSO - Ab. Eduardo L. RODRÍGUEZ.</t>
  </si>
  <si>
    <r>
      <rPr>
        <b/>
        <sz val="10"/>
        <rFont val="Arial Narrow"/>
        <family val="2"/>
      </rPr>
      <t>OBJETIVOS:</t>
    </r>
    <r>
      <rPr>
        <sz val="10"/>
        <rFont val="Arial Narrow"/>
        <family val="2"/>
      </rPr>
      <t xml:space="preserve"> Desarrollar las tareas inherentes a la administración de los recursos humanos y dotación del personal. Gestión y control de los contratos del personal transitorio. Entender en la definición de políticas de administración y aplicación del régimen legal y técnico del personal de la administración pública de todas las áreas del municipio. Confeccionar y actualizar los legajos de los agentes que prestan servicios en las diferentes dependencias o reparticiones de la administración municipal. Atención del personal en cuanto a la liquidación de haberes, control haberes, control de ausentismo, y toda gestión inherente ante los organismos vinculados a la seguridad social como APROSS, Caja de Jubilaciones, Pensiones y Retiros de la Provincia y otros. Procurar por la Seguridad e Higiene Laboral. Ser responsable de las relaciones con los distintos gremios y coordinar las relaciones laborales entre el municipio y el Ministerio de Trabajo. Organizar y llevar adelante el transporte o movilidad de las personas en función pública o personal municipal afectado a la función pública, como así también, el mantenimiento y cuidado de e los vehículos de dominio municipal afectados a estas tareas. Organizar y llevar a cabo el servicio de limpieza, maestranza mantenimiento de las dependencias municipales y la atención al personal Municipal y a quienes por razones circunstanciales llegan al palacio.</t>
    </r>
  </si>
  <si>
    <r>
      <rPr>
        <b/>
        <sz val="10"/>
        <rFont val="Arial Narrow"/>
        <family val="2"/>
      </rPr>
      <t xml:space="preserve">OBJETIVO: </t>
    </r>
    <r>
      <rPr>
        <sz val="10"/>
        <rFont val="Arial Narrow"/>
        <family val="2"/>
      </rPr>
      <t>Organización y dirección del Registro del Estado Civil y Capacidad de las Personas. Promover la concientización y educación, respecto a temas registrales y civiles. Acercar el Registro Civil a los barrios y a los vecinos desde la implementación de diversas acciones, como: la regularización de documentación de extranjeros, la documentación de personas privadas de su libertad, la visita del registro civil a las distintas escuelas, Servicio de Penitenciaría de Villa María. Incorporar dos equipos móviles digitales para la ciudad y zona para poder ampliar el ámbito de asitencia a personas con discapacidades, escuelas rurales y operativos barriales.</t>
    </r>
  </si>
  <si>
    <r>
      <rPr>
        <b/>
        <sz val="10"/>
        <rFont val="Arial Narrow"/>
        <family val="2"/>
      </rPr>
      <t>OBJETIVOS:</t>
    </r>
    <r>
      <rPr>
        <sz val="10"/>
        <rFont val="Arial Narrow"/>
        <family val="2"/>
      </rPr>
      <t xml:space="preserve"> Tender puentes de comunicación, establecer vínculos y trabajo conjunto con ONG's e instituciones de diferente índole. Lograr mayor representatividad del Gobierno Municipal y una mejora en la relación de éste con la sociedad civil. Colaborar e interactuar con quienes integran el registro de entidades intermedias. Promover y potenciar el trabajo asociativo. Utilizar para el logro de objetivos distintas herramientas como: mesas de diálogos, debates, foros, talleres de capacitación, intercambios de experiencia, conferencias.</t>
    </r>
  </si>
  <si>
    <r>
      <t>OBJETIVOS:</t>
    </r>
    <r>
      <rPr>
        <sz val="10"/>
        <rFont val="Arial Narrow"/>
        <family val="2"/>
      </rPr>
      <t xml:space="preserve"> Promover, planificar y gestionar la vinculación técnica y financiera con organismos y organizaciones internacionales, estableciendo convenios, acuerdos y alianzas que contribuyan con los prog. prioritarios y proyectos estratégicos del Municipio. Posicionar a la ciudad de Villa María como protagonista de los cambios y agendas a escala internacional en materia  de educación, de desarrollo sostenible, seguridad.</t>
    </r>
  </si>
  <si>
    <t>1108</t>
  </si>
  <si>
    <r>
      <rPr>
        <b/>
        <sz val="10"/>
        <rFont val="Arial Narrow"/>
        <family val="2"/>
      </rPr>
      <t xml:space="preserve">OBJETIVOS: </t>
    </r>
    <r>
      <rPr>
        <sz val="10"/>
        <rFont val="Arial Narrow"/>
        <family val="2"/>
      </rPr>
      <t>Contribuir en la definición e implementación d eplanes estratégicos en materia de innovación, modernización y desarrollo tecnológico de la administración pública local. Confeccionar y gestionar proyectos en tecnologías de la información y comunicaciones. Asesorar a las areas del Municipio en implementacion de base tecnológica. Planificar y coordinar el desarrollo y/o implementación de las tecnologías de información y comunicaciones en el gobierno.</t>
    </r>
  </si>
  <si>
    <t>1800 - RESGUARDO LEGAL - APOYO INSTITUCIONAL Y DE LAS PERSONAS</t>
  </si>
  <si>
    <t>1801-01</t>
  </si>
  <si>
    <t>1802</t>
  </si>
  <si>
    <t>1802-01</t>
  </si>
  <si>
    <t>1804</t>
  </si>
  <si>
    <t>1811</t>
  </si>
  <si>
    <t xml:space="preserve">1601 - TRANSPARENCIA. BUENAS PRÁCTICAS DE GESTIÓN Y CUMPLIMIENTO DE </t>
  </si>
  <si>
    <t>1601-01</t>
  </si>
  <si>
    <t>1601-02</t>
  </si>
  <si>
    <t>1601-03</t>
  </si>
  <si>
    <t>COSTO TOTAL DEL SUBPROGRAMA - Inlcuido en Programa 1601</t>
  </si>
  <si>
    <t>1604</t>
  </si>
  <si>
    <t>1605</t>
  </si>
  <si>
    <t>1500 - SEGURIDAD CIUDADANA</t>
  </si>
  <si>
    <t>1505-01</t>
  </si>
  <si>
    <t>1508</t>
  </si>
  <si>
    <t>1410-01</t>
  </si>
  <si>
    <t>1412</t>
  </si>
  <si>
    <t>1413</t>
  </si>
  <si>
    <t>1300 - DESARROLLO URBANISTICO Y PROTECCIÓN DEL MEDIOAMBIENTE</t>
  </si>
  <si>
    <t>1400 - INCLUSIÓN SOCIAL - ACCESIBILIDAD Y MAYORES OPORTUNIDADES PARA TODOS</t>
  </si>
  <si>
    <t>1310-01</t>
  </si>
  <si>
    <t>1310-02</t>
  </si>
  <si>
    <t>1310-03</t>
  </si>
  <si>
    <t>1200 - SALUD Y PREVENCIÓN</t>
  </si>
  <si>
    <t>1201</t>
  </si>
  <si>
    <t>1202</t>
  </si>
  <si>
    <t>1202-01</t>
  </si>
  <si>
    <t>1203</t>
  </si>
  <si>
    <t>1203-01</t>
  </si>
  <si>
    <t>1203-02</t>
  </si>
  <si>
    <t>1100 - EDUCACIÓN Y CULTURA</t>
  </si>
  <si>
    <t>1101-01</t>
  </si>
  <si>
    <t>1102</t>
  </si>
  <si>
    <t>1103</t>
  </si>
  <si>
    <t>1105</t>
  </si>
  <si>
    <t>1106</t>
  </si>
  <si>
    <t>1107</t>
  </si>
  <si>
    <t>1108-01</t>
  </si>
  <si>
    <t>1108-02</t>
  </si>
  <si>
    <t>1108-03</t>
  </si>
  <si>
    <t>1109</t>
  </si>
  <si>
    <t>TRIBUNAL DE CUENTAS</t>
  </si>
  <si>
    <t>PROGRAMA: TRIBUNAL DE CUENTAS</t>
  </si>
  <si>
    <t>4001</t>
  </si>
  <si>
    <r>
      <rPr>
        <b/>
        <sz val="10"/>
        <rFont val="Arial Narrow"/>
        <family val="2"/>
      </rPr>
      <t>OBJETIVOS:</t>
    </r>
    <r>
      <rPr>
        <sz val="10"/>
        <rFont val="Arial Narrow"/>
        <family val="2"/>
      </rPr>
      <t xml:space="preserve"> Controlar la legalidad y motivación de los gastos, visando u observando las órdenes de pago. Intervenir en todos los actos administrativos que dispongan gastos, en forma previa a la realización de éstos y al solo efecto del control de la legalidad de la erogación. Resolver sobre las Ejecuciones Presupuestarias Timestrales. Dictaminar sobre el Balance General del Estado Municipal, Inst. Municipal de la Vivienda, Inst. Municipal de Inversión y Escuela Granja los Amigos. Presidir en el seno del Tribunal de Cuentas, las aperturas de sobres de las ofertas en concursos de precios y licitaciones privadas.</t>
    </r>
  </si>
  <si>
    <t>UNIDAD EJECUTORA: Tribunal de Cuentas.</t>
  </si>
  <si>
    <t>JEFE DE PROGRAMA: Dr. Julio C. OYOLA.</t>
  </si>
  <si>
    <t>JUSTICIA ELECTORAL</t>
  </si>
  <si>
    <t>PROGRAMA: JUSTICIA ELECTORAL</t>
  </si>
  <si>
    <r>
      <rPr>
        <b/>
        <sz val="10"/>
        <rFont val="Arial Narrow"/>
        <family val="2"/>
      </rPr>
      <t>OBJETIVO:</t>
    </r>
    <r>
      <rPr>
        <sz val="10"/>
        <rFont val="Arial Narrow"/>
        <family val="2"/>
      </rPr>
      <t xml:space="preserve"> Mantener permanentemente actualizado el Padrón Electoral Municipal. Organizar y dirigir los comicios; controlar el cumplimiento de las disposiciones legales vinculadas con la legalidad de los mismos.</t>
    </r>
  </si>
  <si>
    <t>FECHA INICIO: 01/01/2019.</t>
  </si>
  <si>
    <t>UNIDAD EJECUTORA: Junta Electoral.</t>
  </si>
  <si>
    <t>JEFE DE PROGRAMA: A Designar.</t>
  </si>
  <si>
    <t>CONCEJO DELIBERANTE</t>
  </si>
  <si>
    <t xml:space="preserve">PROGRAMA: COORDINACIÓN Y ADMINISTRACIÓN DEL CONCEJO DELIBERANTE </t>
  </si>
  <si>
    <t>3001</t>
  </si>
  <si>
    <r>
      <rPr>
        <b/>
        <sz val="10"/>
        <rFont val="Arial Narrow"/>
        <family val="2"/>
      </rPr>
      <t xml:space="preserve">OBJETIVOS: </t>
    </r>
    <r>
      <rPr>
        <sz val="10"/>
        <rFont val="Arial Narrow"/>
        <family val="2"/>
      </rPr>
      <t>Coordinar y garantizar el funcionamiento de las diferentes áreas que conforman el Concejo Deliberante, para su mejor desempeño. Eficientizar y realizar el desarrollo de actividades que se realizan en el ámbito institucional; donde participan vecinos, organizaciones, el DEM y otros Concejos Deliberantes. Mejorar la disposición de Recursos y Accesibilidad en Sesiones Ordinarias y Extraordinarias, Audiencias Públicas y Convocatorias Grales. Mejorar la provisión y organización de los Recursos requeridos por los bloques que integran el Cuerpo del Concejo Deliberante, a los fines de posibilitar actividades e iniciativas de sus miembros.</t>
    </r>
  </si>
  <si>
    <t>UNIDAD EJECUTORA: Presidencia - Secretaría Habilitada.</t>
  </si>
  <si>
    <t>JEFE DE PROGRAMA: Cr. José CARIGNANO.</t>
  </si>
  <si>
    <t>Repuestos y Accesorios Equipos y Sist. Informáticos y de Comunicación en General</t>
  </si>
  <si>
    <t xml:space="preserve">2.2.1.1.05.     </t>
  </si>
  <si>
    <t>PROGRAMA: PROTOCOLO, COMUNICACIÓN Y PRENSA DEL CONCEJO DELIBERANTE</t>
  </si>
  <si>
    <t>3002</t>
  </si>
  <si>
    <r>
      <rPr>
        <b/>
        <sz val="10"/>
        <rFont val="Arial Narrow"/>
        <family val="2"/>
      </rPr>
      <t>OBJETIVOS</t>
    </r>
    <r>
      <rPr>
        <sz val="10"/>
        <rFont val="Arial Narrow"/>
        <family val="2"/>
      </rPr>
      <t>: Coordinar y promover la difusión de todos los actos, ceremonias, nomativa e información útil para la comunidad. Modernización la publicación y comunicación, mediane el uso de tecnología, que permita la difusión en general de Ordenanzas, Resoluciones, Decretos, Convocatorias a los Vecinos e Instituciones.</t>
    </r>
  </si>
  <si>
    <t xml:space="preserve">2.1.1.2.09.    </t>
  </si>
  <si>
    <t>AUDITOR GENERAL</t>
  </si>
  <si>
    <t>PROGRAMA: AUDITORIA GENERAL</t>
  </si>
  <si>
    <t>4101</t>
  </si>
  <si>
    <r>
      <rPr>
        <b/>
        <sz val="10"/>
        <rFont val="Arial Narrow"/>
        <family val="2"/>
      </rPr>
      <t>OBJETIVOS:</t>
    </r>
    <r>
      <rPr>
        <sz val="10"/>
        <rFont val="Arial Narrow"/>
        <family val="2"/>
      </rPr>
      <t xml:space="preserve"> Cumplir con las obligaciones impuestas por el Art. 166 de la C.O.M. y el Art. 9 de la Ordenanza 3983, tales como: Asumir la defensa de las libertades, derechos y garantías de los ciudadanos ante hechos u omisiones de la Administración Pública Municipal. Supervisar la eficacia en la prestación de los servicios públicos, los derechos del consumidor y la aplicación de la legislación municipal. Intervenir a solicitud de los vecinos, al solo efecto conciliatorio y a pedido de ambas partes, en todas aquellas controversias que se susciten entre ellos. Intervenir en los grupos de riesgos: Adultos Mayores, Discapacitados, Embarazadas, Adolescentes, Privados de la Libertad y Violencia de Género. Articulación con la Defensoría de la Pcia de Córodba para resolver conflictos con Organismos Públicos, trámites de Obras Sociales, pensiones, jubilaciones, entre otras. Presentar Recursos de Amparo para proteger  los derechos de los ciudadanos ante medidas desproporcionadas y/o arbitrarias.</t>
    </r>
  </si>
  <si>
    <t>UNIDAD EJECUTORA: Auditor General.</t>
  </si>
  <si>
    <t>JEFE DE PROGRAMA: Mgter. Alicia PERESSUTTI.</t>
  </si>
  <si>
    <t xml:space="preserve">2.1.1.2.09.07      </t>
  </si>
  <si>
    <t xml:space="preserve">Equipos de Computación, Softwares y Licencias de Computación </t>
  </si>
  <si>
    <t>PROGRAMA:  AUDITORIA GENERAL EN LA CIUDAD Y CON LAS ORGANIZACIONES</t>
  </si>
  <si>
    <t>4102</t>
  </si>
  <si>
    <r>
      <rPr>
        <b/>
        <sz val="10"/>
        <rFont val="Arial Narrow"/>
        <family val="2"/>
      </rPr>
      <t>OBJETIVO:</t>
    </r>
    <r>
      <rPr>
        <sz val="10"/>
        <rFont val="Arial Narrow"/>
        <family val="2"/>
      </rPr>
      <t xml:space="preserve"> Participación activa en los Municercas, Centros Vecinales y de Jubilados con el fin de recepcionar las inquietudes de los vecinos y dar prontas respuestas. Promover la defensa y protección de los derechos de niños, niñas y adolescentes, en especial en aquellos casos de violencia, abusos, explotación sexual y trabajo infantil. Organizción de cursos y talleres con instituciones para trabajar en los problemas de violencia y prevención de adicciones. Intervenir en los conflictos escolares a través de mediaciones. Poner en marcha el Programa "Transitando Calles, nos Cuidamos". Realizar una Campaña con ACOVIM, AERCA y demás instituciones, para tomar conocimiento de derechos y obligaciones del consumidor. Viabilizar la gestión de reclamos de los diferentes clubes deportivos de la Ciudad, con respecto a los impedimentos que se les presentan para acceder  a los programas nacionales y/o provinciales .</t>
    </r>
  </si>
  <si>
    <t>TRIBUNAL MUNICIPAL DE RECLAMOS Y APELACIONES FISCALES</t>
  </si>
  <si>
    <t>PROGRAMA: TRIBUNAL MUNICIPAL DE RECLAMOS Y APELACIONES FISCALES</t>
  </si>
  <si>
    <t>4201</t>
  </si>
  <si>
    <r>
      <rPr>
        <b/>
        <sz val="10"/>
        <rFont val="Arial Narrow"/>
        <family val="2"/>
      </rPr>
      <t>OBJETIVO:</t>
    </r>
    <r>
      <rPr>
        <sz val="10"/>
        <rFont val="Arial Narrow"/>
        <family val="2"/>
      </rPr>
      <t xml:space="preserve"> Entender en todos los recursos que se interpongan en contra de las resoluciones de la Administración Municipal que determinen obligaciones tributarias, impongan sanciones fiscales y/o resuelvan reclamos de repetición o de extinción de exenciones.</t>
    </r>
  </si>
  <si>
    <t>UNIDAD EJECUTORA: Tribunal Municipal de Reclamos y Apelaciones Fiscales.</t>
  </si>
  <si>
    <t xml:space="preserve">2.1.1.2.09.        </t>
  </si>
  <si>
    <t>ENTE DE CONTROL DE SERVICIOS MUNICIPALES</t>
  </si>
  <si>
    <t>PROGRAMA: ENTE DE CONTROL DE SERVICIOS MUNICIPALES</t>
  </si>
  <si>
    <t>4301</t>
  </si>
  <si>
    <r>
      <rPr>
        <b/>
        <sz val="10"/>
        <rFont val="Arial Narrow"/>
        <family val="2"/>
      </rPr>
      <t>OBJETIVO:</t>
    </r>
    <r>
      <rPr>
        <sz val="10"/>
        <rFont val="Arial Narrow"/>
        <family val="2"/>
      </rPr>
      <t xml:space="preserve"> El control administrativo y técnico, la verificación y fiscalización de todos los servicios públicos que preste la Municipalidad por si misma o mediante terceros; velando para que los mismos se lleven a cabo respetando la normativa legal que los regula, las políticas del gobierno municipal sobre la materia y los derechos de los usuarios y prestadores.</t>
    </r>
  </si>
  <si>
    <t>UNIDAD EJECUTORA: Ente de Control de Servicios Municipales.</t>
  </si>
  <si>
    <t>JEFE DE PROGRAMA: Sr. Omar RABAGLIO.</t>
  </si>
  <si>
    <t>TRIBUNAL ADMINISTRATIVO DE ADMISIONES Y CONCURSOS</t>
  </si>
  <si>
    <t>PROGRAMA: TRIBUNAL ADMINISTRATIVO DE ADMISIONES Y CONCURSOS</t>
  </si>
  <si>
    <t>4401</t>
  </si>
  <si>
    <r>
      <rPr>
        <b/>
        <sz val="10"/>
        <rFont val="Arial Narrow"/>
        <family val="2"/>
      </rPr>
      <t>OBJETIVO:</t>
    </r>
    <r>
      <rPr>
        <sz val="10"/>
        <rFont val="Arial Narrow"/>
        <family val="2"/>
      </rPr>
      <t xml:space="preserve"> Impulsar el desarrollo de las instancias de concursos de oposición y antecedentes; y emitir opinión fundada respecto de la idoneidad de todos quiénes se postulen para ser designados.</t>
    </r>
  </si>
  <si>
    <t>UNIDAD EJECUTORA: Tribunal Administrativo de Admisiones y Concursos.</t>
  </si>
  <si>
    <t>Productos de papel, Cartón e Impresoras</t>
  </si>
  <si>
    <t>Útiles e insumos de Oficina y Enseñanza</t>
  </si>
  <si>
    <t>CONSEJO ASESOR MUNICIPAL</t>
  </si>
  <si>
    <t>PROGRAMA: CONSEJO ASESOR MUNICIPAL</t>
  </si>
  <si>
    <t>5001</t>
  </si>
  <si>
    <r>
      <rPr>
        <b/>
        <sz val="10"/>
        <rFont val="Arial Narrow"/>
        <family val="2"/>
      </rPr>
      <t>OBJETIVOS:</t>
    </r>
    <r>
      <rPr>
        <sz val="10"/>
        <rFont val="Arial Narrow"/>
        <family val="2"/>
      </rPr>
      <t xml:space="preserve"> Brindar información y asesoramiento a los órganos del gobierno municipal respecto de temas socioeconómicos de la comunidad. Asistir a las audiencias públicas, presentar proyectos o planes de obras, servicios o trabajos, e integrar los organismos que la Carta Orgánica Municipal, u Ordenanzas así lo prevean. </t>
    </r>
  </si>
  <si>
    <t>UNIDAD EJECUTORA: Consejo Asesor Municipal.</t>
  </si>
  <si>
    <t>JEFE DE PROGRAMA: Sra. ROSA CÁMPORA.</t>
  </si>
  <si>
    <t>Manteriales Conservaciones Varias</t>
  </si>
  <si>
    <t>JUSTICIA ADMINISTRATIVA MUNICIPAL DE FALTAS</t>
  </si>
  <si>
    <t>PROGRAMA: JUSTICIA ADMINISTRATIVA MUNICIPAL DE FALTAS</t>
  </si>
  <si>
    <t>2001</t>
  </si>
  <si>
    <t>UNIDAD EJECUTORA: Justicia Administrativa Municipal de Faltas.</t>
  </si>
  <si>
    <t>JEFE DE PROGRAMA: Dr. Héctor Hugo PASCHETTO - Dr. Jesús José SALGUEIRO.</t>
  </si>
  <si>
    <t xml:space="preserve">SUBPROGRAMA:  JUSTICIA ADMINISTRATIVA </t>
  </si>
  <si>
    <t>2001-01</t>
  </si>
  <si>
    <t xml:space="preserve">         MUNICIPAL DE FALTAS</t>
  </si>
  <si>
    <t xml:space="preserve">           </t>
  </si>
  <si>
    <t>Primera Instancia - Primera Nominación</t>
  </si>
  <si>
    <r>
      <rPr>
        <b/>
        <sz val="10"/>
        <rFont val="Arial Narrow"/>
        <family val="2"/>
      </rPr>
      <t xml:space="preserve">OBJETIVO: </t>
    </r>
    <r>
      <rPr>
        <sz val="10"/>
        <rFont val="Arial Narrow"/>
        <family val="2"/>
      </rPr>
      <t>Cumplir con las obligaciones impuestas por el Art. 141 de la C.O.M.: Entre ellas el trámite de las Causas que se generan con motivo de infracciones a las Ordenanzas vigentes.</t>
    </r>
  </si>
  <si>
    <t>JEFE DE SUBPROGRAMA: Dr. Héctor Hugo PASCHETTO.</t>
  </si>
  <si>
    <t>2001-02</t>
  </si>
  <si>
    <t>Primera Instancia - Segunda Nominación</t>
  </si>
  <si>
    <r>
      <rPr>
        <b/>
        <sz val="10"/>
        <rFont val="Arial Narrow"/>
        <family val="2"/>
      </rPr>
      <t>OBJETIVO:</t>
    </r>
    <r>
      <rPr>
        <sz val="10"/>
        <rFont val="Arial Narrow"/>
        <family val="2"/>
      </rPr>
      <t xml:space="preserve"> Cumplir con las obligaciones impuestas por el Art. 141 de la C.O.M.: Entre ellas el trámite de las Causas que se generan con motivo de infracciones a las Ordenanzas vigentes.</t>
    </r>
  </si>
  <si>
    <t>JEFE DE SUBPROGRAMA: Dr. Jesús José SALGUEIRO.</t>
  </si>
  <si>
    <t>PROGRAMA: CÁMARA DE APELACIONES DE FALTAS</t>
  </si>
  <si>
    <t>2002</t>
  </si>
  <si>
    <t>UNIDAD EJECUTORA: Cámara de Apelaciones de Faltas.</t>
  </si>
  <si>
    <t xml:space="preserve">2.1.1.2.09.01        </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</si>
</sst>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00"/>
    <numFmt numFmtId="181" formatCode="&quot;$&quot;#,##0.00"/>
    <numFmt numFmtId="182" formatCode="_ [$$-2C0A]\ * #,##0.00_ ;_ [$$-2C0A]\ * \-#,##0.00_ ;_ [$$-2C0A]\ * &quot;-&quot;??_ ;_ @_ "/>
    <numFmt numFmtId="183" formatCode="[$$-2C0A]\ #,##0.00"/>
    <numFmt numFmtId="184" formatCode="[$$-2C0A]\ #,##0.00;[$$-2C0A]\ \-#,##0.00"/>
    <numFmt numFmtId="185" formatCode="[$$-2C0A]\ #,##0"/>
    <numFmt numFmtId="186" formatCode="[$$-2C0A]\ #,##0.0"/>
    <numFmt numFmtId="187" formatCode="0.0%"/>
    <numFmt numFmtId="188" formatCode="#,##0.00\ _€"/>
    <numFmt numFmtId="189" formatCode="[$$-2C0A]\ #,##0.000"/>
    <numFmt numFmtId="190" formatCode="#,##0.0"/>
    <numFmt numFmtId="191" formatCode="_(&quot;$&quot;* #,##0.00_);_(&quot;$&quot;* \(#,##0.00\);_(&quot;$&quot;* &quot;-&quot;??_);_(@_)"/>
    <numFmt numFmtId="192" formatCode="_(* #,##0.00_);_(* \(#,##0.00\);_(* &quot;-&quot;??_);_(@_)"/>
    <numFmt numFmtId="193" formatCode="0.000%"/>
    <numFmt numFmtId="194" formatCode="0.0000%"/>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2C0A]dddd\,\ dd&quot; de &quot;mmmm&quot; de &quot;yyyy"/>
    <numFmt numFmtId="200" formatCode="[$-2C0A]hh:mm:ss\ AM/PM"/>
    <numFmt numFmtId="201" formatCode="_-[$$-2C0A]\ * #,##0.00_-;\-[$$-2C0A]\ * #,##0.00_-;_-[$$-2C0A]\ * &quot;-&quot;??_-;_-@_-"/>
  </numFmts>
  <fonts count="117">
    <font>
      <sz val="10"/>
      <name val="Arial"/>
      <family val="0"/>
    </font>
    <font>
      <sz val="10"/>
      <name val="Arial Narrow"/>
      <family val="2"/>
    </font>
    <font>
      <b/>
      <sz val="10"/>
      <name val="Arial Narrow"/>
      <family val="2"/>
    </font>
    <font>
      <b/>
      <i/>
      <u val="single"/>
      <sz val="10"/>
      <name val="Arial Narrow"/>
      <family val="2"/>
    </font>
    <font>
      <u val="single"/>
      <sz val="10"/>
      <name val="Arial Narrow"/>
      <family val="2"/>
    </font>
    <font>
      <sz val="9"/>
      <name val="Arial Narrow"/>
      <family val="2"/>
    </font>
    <font>
      <b/>
      <sz val="9"/>
      <name val="Arial Narrow"/>
      <family val="2"/>
    </font>
    <font>
      <i/>
      <u val="single"/>
      <sz val="10"/>
      <name val="Arial Narrow"/>
      <family val="2"/>
    </font>
    <font>
      <sz val="9"/>
      <color indexed="8"/>
      <name val="Arial Narrow"/>
      <family val="2"/>
    </font>
    <font>
      <b/>
      <sz val="9"/>
      <color indexed="8"/>
      <name val="Arial Narrow"/>
      <family val="2"/>
    </font>
    <font>
      <b/>
      <u val="single"/>
      <sz val="9"/>
      <name val="Arial Narrow"/>
      <family val="2"/>
    </font>
    <font>
      <u val="single"/>
      <sz val="10"/>
      <color indexed="12"/>
      <name val="Arial"/>
      <family val="2"/>
    </font>
    <font>
      <u val="single"/>
      <sz val="10"/>
      <color indexed="36"/>
      <name val="Arial"/>
      <family val="2"/>
    </font>
    <font>
      <sz val="8"/>
      <name val="Arial Narrow"/>
      <family val="2"/>
    </font>
    <font>
      <sz val="7"/>
      <name val="Arial Narrow"/>
      <family val="2"/>
    </font>
    <font>
      <sz val="8"/>
      <name val="Arial"/>
      <family val="2"/>
    </font>
    <font>
      <sz val="9"/>
      <name val="Arial"/>
      <family val="2"/>
    </font>
    <font>
      <sz val="10"/>
      <color indexed="8"/>
      <name val="Arial Narrow"/>
      <family val="2"/>
    </font>
    <font>
      <b/>
      <i/>
      <u val="single"/>
      <sz val="9"/>
      <name val="Arial Narrow"/>
      <family val="2"/>
    </font>
    <font>
      <b/>
      <sz val="8"/>
      <name val="Arial"/>
      <family val="2"/>
    </font>
    <font>
      <b/>
      <i/>
      <u val="single"/>
      <sz val="8"/>
      <name val="Arial"/>
      <family val="2"/>
    </font>
    <font>
      <b/>
      <i/>
      <u val="single"/>
      <sz val="10"/>
      <name val="Arial"/>
      <family val="2"/>
    </font>
    <font>
      <sz val="7"/>
      <name val="Arial"/>
      <family val="2"/>
    </font>
    <font>
      <b/>
      <sz val="9"/>
      <color indexed="10"/>
      <name val="Arial Narrow"/>
      <family val="2"/>
    </font>
    <font>
      <i/>
      <sz val="10"/>
      <name val="Arial Narrow"/>
      <family val="2"/>
    </font>
    <font>
      <sz val="9"/>
      <name val="Courier New"/>
      <family val="3"/>
    </font>
    <font>
      <b/>
      <i/>
      <sz val="9"/>
      <color indexed="18"/>
      <name val="Courier New"/>
      <family val="3"/>
    </font>
    <font>
      <sz val="8"/>
      <name val="Courier New"/>
      <family val="3"/>
    </font>
    <font>
      <sz val="10"/>
      <name val="Courier New"/>
      <family val="3"/>
    </font>
    <font>
      <b/>
      <i/>
      <sz val="8"/>
      <color indexed="18"/>
      <name val="Courier New"/>
      <family val="3"/>
    </font>
    <font>
      <sz val="8"/>
      <name val="Copperplate Gothic Light"/>
      <family val="2"/>
    </font>
    <font>
      <b/>
      <i/>
      <sz val="8"/>
      <color indexed="18"/>
      <name val="Copperplate Gothic Light"/>
      <family val="2"/>
    </font>
    <font>
      <b/>
      <u val="single"/>
      <sz val="10"/>
      <color indexed="8"/>
      <name val="Arial Narrow"/>
      <family val="2"/>
    </font>
    <font>
      <b/>
      <u val="single"/>
      <sz val="9"/>
      <color indexed="8"/>
      <name val="Arial Narrow"/>
      <family val="2"/>
    </font>
    <font>
      <b/>
      <u val="single"/>
      <sz val="8"/>
      <name val="Copperplate Gothic Bold"/>
      <family val="2"/>
    </font>
    <font>
      <b/>
      <sz val="8"/>
      <name val="Copperplate Gothic Bold"/>
      <family val="2"/>
    </font>
    <font>
      <sz val="7"/>
      <name val="Copperplate Gothic Light"/>
      <family val="2"/>
    </font>
    <font>
      <b/>
      <sz val="7"/>
      <name val="Copperplate Gothic Light"/>
      <family val="2"/>
    </font>
    <font>
      <sz val="12"/>
      <color indexed="10"/>
      <name val="Times New Roman"/>
      <family val="1"/>
    </font>
    <font>
      <b/>
      <sz val="10"/>
      <name val="Arial"/>
      <family val="2"/>
    </font>
    <font>
      <u val="single"/>
      <sz val="9"/>
      <name val="Arial Narrow"/>
      <family val="2"/>
    </font>
    <font>
      <b/>
      <u val="single"/>
      <sz val="8"/>
      <name val="Arial Narrow"/>
      <family val="2"/>
    </font>
    <font>
      <b/>
      <i/>
      <u val="single"/>
      <sz val="8"/>
      <name val="Arial Narrow"/>
      <family val="2"/>
    </font>
    <font>
      <b/>
      <sz val="8"/>
      <name val="Arial Narrow"/>
      <family val="2"/>
    </font>
    <font>
      <b/>
      <i/>
      <sz val="8"/>
      <color indexed="18"/>
      <name val="Arial Narrow"/>
      <family val="2"/>
    </font>
    <font>
      <sz val="14"/>
      <name val="Arial"/>
      <family val="2"/>
    </font>
    <font>
      <sz val="10.5"/>
      <name val="Arial Narrow"/>
      <family val="2"/>
    </font>
    <font>
      <b/>
      <sz val="10.5"/>
      <name val="Arial Narrow"/>
      <family val="2"/>
    </font>
    <font>
      <b/>
      <sz val="10"/>
      <color indexed="8"/>
      <name val="Arial Narrow"/>
      <family val="2"/>
    </font>
    <font>
      <b/>
      <sz val="10"/>
      <color indexed="10"/>
      <name val="Arial Narrow"/>
      <family val="2"/>
    </font>
    <font>
      <b/>
      <sz val="12"/>
      <name val="Arial Narrow"/>
      <family val="2"/>
    </font>
    <font>
      <b/>
      <i/>
      <sz val="9"/>
      <color indexed="18"/>
      <name val="Arial Narrow"/>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Narrow"/>
      <family val="2"/>
    </font>
    <font>
      <b/>
      <sz val="10"/>
      <color indexed="9"/>
      <name val="Arial Narrow"/>
      <family val="2"/>
    </font>
    <font>
      <sz val="7"/>
      <color indexed="8"/>
      <name val="Arial Narrow"/>
      <family val="2"/>
    </font>
    <font>
      <b/>
      <sz val="9"/>
      <color indexed="60"/>
      <name val="Arial Narrow"/>
      <family val="2"/>
    </font>
    <font>
      <b/>
      <sz val="10"/>
      <color indexed="60"/>
      <name val="Arial Narrow"/>
      <family val="2"/>
    </font>
    <font>
      <b/>
      <sz val="7"/>
      <color indexed="60"/>
      <name val="Arial Narrow"/>
      <family val="2"/>
    </font>
    <font>
      <b/>
      <sz val="8"/>
      <color indexed="60"/>
      <name val="Copperplate Gothic Bold"/>
      <family val="2"/>
    </font>
    <font>
      <b/>
      <sz val="9"/>
      <color indexed="9"/>
      <name val="Arial Narrow"/>
      <family val="2"/>
    </font>
    <font>
      <b/>
      <sz val="11"/>
      <color indexed="9"/>
      <name val="Arial Narrow"/>
      <family val="2"/>
    </font>
    <font>
      <b/>
      <sz val="8"/>
      <color indexed="9"/>
      <name val="Arial Narrow"/>
      <family val="2"/>
    </font>
    <font>
      <sz val="10"/>
      <color indexed="9"/>
      <name val="Arial Narrow"/>
      <family val="2"/>
    </font>
    <font>
      <b/>
      <sz val="8"/>
      <color indexed="9"/>
      <name val="Arial"/>
      <family val="2"/>
    </font>
    <font>
      <sz val="9"/>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Narrow"/>
      <family val="2"/>
    </font>
    <font>
      <b/>
      <sz val="10"/>
      <color rgb="FFFF0000"/>
      <name val="Arial Narrow"/>
      <family val="2"/>
    </font>
    <font>
      <b/>
      <sz val="10"/>
      <color theme="0"/>
      <name val="Arial Narrow"/>
      <family val="2"/>
    </font>
    <font>
      <sz val="7"/>
      <color theme="1"/>
      <name val="Arial Narrow"/>
      <family val="2"/>
    </font>
    <font>
      <b/>
      <sz val="9"/>
      <color rgb="FFC00000"/>
      <name val="Arial Narrow"/>
      <family val="2"/>
    </font>
    <font>
      <b/>
      <sz val="10"/>
      <color rgb="FFC00000"/>
      <name val="Arial Narrow"/>
      <family val="2"/>
    </font>
    <font>
      <b/>
      <sz val="7"/>
      <color rgb="FFC00000"/>
      <name val="Arial Narrow"/>
      <family val="2"/>
    </font>
    <font>
      <b/>
      <sz val="8"/>
      <color rgb="FFC00000"/>
      <name val="Copperplate Gothic Bold"/>
      <family val="2"/>
    </font>
    <font>
      <sz val="9"/>
      <color theme="1"/>
      <name val="Arial Narrow"/>
      <family val="2"/>
    </font>
    <font>
      <b/>
      <sz val="9"/>
      <color theme="0"/>
      <name val="Arial Narrow"/>
      <family val="2"/>
    </font>
    <font>
      <sz val="10"/>
      <color theme="1"/>
      <name val="Arial Narrow"/>
      <family val="2"/>
    </font>
    <font>
      <b/>
      <sz val="9"/>
      <color theme="1"/>
      <name val="Arial Narrow"/>
      <family val="2"/>
    </font>
    <font>
      <b/>
      <sz val="11"/>
      <color theme="0"/>
      <name val="Arial Narrow"/>
      <family val="2"/>
    </font>
    <font>
      <b/>
      <sz val="8"/>
      <color theme="0"/>
      <name val="Arial Narrow"/>
      <family val="2"/>
    </font>
    <font>
      <sz val="10"/>
      <color theme="0"/>
      <name val="Arial Narrow"/>
      <family val="2"/>
    </font>
    <font>
      <b/>
      <sz val="8"/>
      <color theme="0"/>
      <name val="Arial"/>
      <family val="2"/>
    </font>
    <font>
      <sz val="9"/>
      <color theme="0"/>
      <name val="Arial Narrow"/>
      <family val="2"/>
    </font>
    <font>
      <b/>
      <sz val="10"/>
      <color theme="1"/>
      <name val="Arial Narrow"/>
      <family val="2"/>
    </font>
  </fonts>
  <fills count="5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3"/>
        <bgColor indexed="64"/>
      </patternFill>
    </fill>
    <fill>
      <patternFill patternType="solid">
        <fgColor indexed="50"/>
        <bgColor indexed="64"/>
      </patternFill>
    </fill>
    <fill>
      <patternFill patternType="solid">
        <fgColor theme="6" tint="0.39998000860214233"/>
        <bgColor indexed="64"/>
      </patternFill>
    </fill>
    <fill>
      <patternFill patternType="solid">
        <fgColor rgb="FFFFFF00"/>
        <bgColor indexed="64"/>
      </patternFill>
    </fill>
    <fill>
      <patternFill patternType="solid">
        <fgColor theme="1" tint="0.49998000264167786"/>
        <bgColor indexed="64"/>
      </patternFill>
    </fill>
    <fill>
      <patternFill patternType="solid">
        <fgColor rgb="FF003366"/>
        <bgColor indexed="64"/>
      </patternFill>
    </fill>
    <fill>
      <patternFill patternType="solid">
        <fgColor rgb="FF800000"/>
        <bgColor indexed="64"/>
      </patternFill>
    </fill>
    <fill>
      <patternFill patternType="solid">
        <fgColor rgb="FFFF6600"/>
        <bgColor indexed="64"/>
      </patternFill>
    </fill>
    <fill>
      <patternFill patternType="solid">
        <fgColor rgb="FF003300"/>
        <bgColor indexed="64"/>
      </patternFill>
    </fill>
    <fill>
      <patternFill patternType="solid">
        <fgColor rgb="FF006666"/>
        <bgColor indexed="64"/>
      </patternFill>
    </fill>
    <fill>
      <patternFill patternType="solid">
        <fgColor theme="3" tint="-0.4999699890613556"/>
        <bgColor indexed="64"/>
      </patternFill>
    </fill>
    <fill>
      <patternFill patternType="solid">
        <fgColor theme="4" tint="-0.4999699890613556"/>
        <bgColor indexed="64"/>
      </patternFill>
    </fill>
    <fill>
      <patternFill patternType="solid">
        <fgColor theme="7" tint="-0.24997000396251678"/>
        <bgColor indexed="64"/>
      </patternFill>
    </fill>
    <fill>
      <patternFill patternType="solid">
        <fgColor rgb="FF254061"/>
        <bgColor indexed="64"/>
      </patternFill>
    </fill>
    <fill>
      <patternFill patternType="solid">
        <fgColor theme="5" tint="-0.4999699890613556"/>
        <bgColor indexed="64"/>
      </patternFill>
    </fill>
    <fill>
      <patternFill patternType="solid">
        <fgColor theme="0" tint="-0.4999699890613556"/>
        <bgColor indexed="64"/>
      </patternFill>
    </fill>
    <fill>
      <patternFill patternType="solid">
        <fgColor rgb="FF5A5A5A"/>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color indexed="63"/>
      </left>
      <right style="medium"/>
      <top style="medium"/>
      <bottom style="medium"/>
    </border>
    <border>
      <left style="thin"/>
      <right>
        <color indexed="63"/>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0"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4" fillId="19" borderId="0" applyNumberFormat="0" applyBorder="0" applyAlignment="0" applyProtection="0"/>
    <xf numFmtId="0" fontId="85" fillId="20" borderId="1" applyNumberFormat="0" applyAlignment="0" applyProtection="0"/>
    <xf numFmtId="0" fontId="86" fillId="21" borderId="2" applyNumberFormat="0" applyAlignment="0" applyProtection="0"/>
    <xf numFmtId="0" fontId="87" fillId="0" borderId="3" applyNumberFormat="0" applyFill="0" applyAlignment="0" applyProtection="0"/>
    <xf numFmtId="0" fontId="88" fillId="0" borderId="4" applyNumberFormat="0" applyFill="0" applyAlignment="0" applyProtection="0"/>
    <xf numFmtId="0" fontId="89" fillId="0" borderId="0" applyNumberFormat="0" applyFill="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3" fillId="26" borderId="0" applyNumberFormat="0" applyBorder="0" applyAlignment="0" applyProtection="0"/>
    <xf numFmtId="0" fontId="83" fillId="27" borderId="0" applyNumberFormat="0" applyBorder="0" applyAlignment="0" applyProtection="0"/>
    <xf numFmtId="0" fontId="90" fillId="28" borderId="1"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91"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2" fillId="30" borderId="0" applyNumberFormat="0" applyBorder="0" applyAlignment="0" applyProtection="0"/>
    <xf numFmtId="0" fontId="0" fillId="0" borderId="0">
      <alignment/>
      <protection/>
    </xf>
    <xf numFmtId="0" fontId="0" fillId="31"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93" fillId="20" borderId="6" applyNumberFormat="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7" applyNumberFormat="0" applyFill="0" applyAlignment="0" applyProtection="0"/>
    <xf numFmtId="0" fontId="89" fillId="0" borderId="8" applyNumberFormat="0" applyFill="0" applyAlignment="0" applyProtection="0"/>
    <xf numFmtId="0" fontId="98" fillId="0" borderId="9" applyNumberFormat="0" applyFill="0" applyAlignment="0" applyProtection="0"/>
  </cellStyleXfs>
  <cellXfs count="1149">
    <xf numFmtId="0" fontId="0" fillId="0" borderId="0" xfId="0" applyAlignment="1">
      <alignment/>
    </xf>
    <xf numFmtId="0" fontId="1" fillId="0" borderId="0" xfId="0" applyFont="1" applyFill="1" applyAlignment="1">
      <alignment vertical="center"/>
    </xf>
    <xf numFmtId="0" fontId="3" fillId="0" borderId="0" xfId="0" applyFont="1" applyFill="1" applyAlignment="1">
      <alignment/>
    </xf>
    <xf numFmtId="0" fontId="1" fillId="0" borderId="0" xfId="0" applyFont="1" applyAlignment="1">
      <alignment vertical="center"/>
    </xf>
    <xf numFmtId="0" fontId="1" fillId="0" borderId="0" xfId="0" applyFont="1" applyAlignment="1">
      <alignment/>
    </xf>
    <xf numFmtId="0" fontId="1" fillId="0" borderId="0" xfId="0" applyFont="1" applyBorder="1" applyAlignment="1">
      <alignment vertical="center"/>
    </xf>
    <xf numFmtId="0" fontId="5" fillId="0" borderId="0" xfId="0" applyFont="1" applyAlignment="1">
      <alignment/>
    </xf>
    <xf numFmtId="0" fontId="6" fillId="0" borderId="0" xfId="0" applyFont="1" applyAlignment="1">
      <alignment/>
    </xf>
    <xf numFmtId="0" fontId="5" fillId="0" borderId="0" xfId="0" applyFont="1" applyBorder="1" applyAlignment="1">
      <alignment/>
    </xf>
    <xf numFmtId="180" fontId="5" fillId="0" borderId="0" xfId="0" applyNumberFormat="1" applyFont="1" applyBorder="1" applyAlignment="1">
      <alignment/>
    </xf>
    <xf numFmtId="0" fontId="5" fillId="0" borderId="0" xfId="0" applyFont="1" applyAlignment="1">
      <alignment vertical="center"/>
    </xf>
    <xf numFmtId="0" fontId="6" fillId="0" borderId="0"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Alignment="1">
      <alignment/>
    </xf>
    <xf numFmtId="183" fontId="1" fillId="0" borderId="0" xfId="0" applyNumberFormat="1" applyFont="1" applyFill="1" applyAlignment="1">
      <alignment vertical="center"/>
    </xf>
    <xf numFmtId="183" fontId="1" fillId="0" borderId="0" xfId="0" applyNumberFormat="1" applyFont="1" applyFill="1" applyAlignment="1">
      <alignment horizontal="right" vertical="center"/>
    </xf>
    <xf numFmtId="183" fontId="2" fillId="0" borderId="0" xfId="0" applyNumberFormat="1" applyFont="1" applyFill="1" applyAlignment="1">
      <alignment vertical="center"/>
    </xf>
    <xf numFmtId="183" fontId="3" fillId="0" borderId="0" xfId="0" applyNumberFormat="1" applyFont="1" applyFill="1" applyAlignment="1">
      <alignment vertical="center"/>
    </xf>
    <xf numFmtId="183" fontId="1" fillId="0" borderId="0" xfId="0" applyNumberFormat="1" applyFont="1" applyAlignment="1">
      <alignment vertical="center"/>
    </xf>
    <xf numFmtId="183" fontId="1" fillId="0" borderId="0" xfId="0" applyNumberFormat="1" applyFont="1" applyAlignment="1">
      <alignment horizontal="right" vertical="center"/>
    </xf>
    <xf numFmtId="183" fontId="2" fillId="0" borderId="0" xfId="0" applyNumberFormat="1" applyFont="1" applyAlignment="1">
      <alignment vertical="center"/>
    </xf>
    <xf numFmtId="183" fontId="1" fillId="0" borderId="0" xfId="0" applyNumberFormat="1" applyFont="1" applyBorder="1" applyAlignment="1">
      <alignment vertical="center"/>
    </xf>
    <xf numFmtId="183" fontId="5" fillId="0" borderId="0" xfId="0" applyNumberFormat="1" applyFont="1" applyFill="1" applyBorder="1" applyAlignment="1">
      <alignment horizontal="right" vertical="center"/>
    </xf>
    <xf numFmtId="183" fontId="5" fillId="0" borderId="0" xfId="0" applyNumberFormat="1" applyFont="1" applyBorder="1" applyAlignment="1">
      <alignment vertical="center"/>
    </xf>
    <xf numFmtId="183" fontId="5" fillId="0" borderId="0" xfId="0" applyNumberFormat="1" applyFont="1" applyFill="1" applyBorder="1" applyAlignment="1">
      <alignment vertical="center"/>
    </xf>
    <xf numFmtId="183" fontId="6" fillId="0" borderId="0" xfId="0" applyNumberFormat="1" applyFont="1" applyBorder="1" applyAlignment="1">
      <alignment vertical="center"/>
    </xf>
    <xf numFmtId="183" fontId="5" fillId="0" borderId="0" xfId="0" applyNumberFormat="1" applyFont="1" applyAlignment="1">
      <alignment horizontal="right" vertical="center"/>
    </xf>
    <xf numFmtId="183" fontId="6" fillId="0" borderId="0" xfId="0" applyNumberFormat="1" applyFont="1" applyAlignment="1">
      <alignment vertical="center"/>
    </xf>
    <xf numFmtId="183" fontId="5" fillId="0" borderId="0" xfId="0" applyNumberFormat="1" applyFont="1" applyAlignment="1">
      <alignment vertical="center"/>
    </xf>
    <xf numFmtId="183" fontId="5" fillId="0" borderId="0" xfId="0" applyNumberFormat="1" applyFont="1" applyAlignment="1">
      <alignment/>
    </xf>
    <xf numFmtId="183" fontId="5" fillId="0" borderId="0" xfId="0" applyNumberFormat="1" applyFont="1" applyAlignment="1">
      <alignment horizontal="right"/>
    </xf>
    <xf numFmtId="183" fontId="6" fillId="0" borderId="0" xfId="0" applyNumberFormat="1" applyFont="1" applyFill="1" applyBorder="1" applyAlignment="1">
      <alignment vertical="center"/>
    </xf>
    <xf numFmtId="183" fontId="6" fillId="0" borderId="0" xfId="0" applyNumberFormat="1" applyFont="1" applyFill="1" applyBorder="1" applyAlignment="1">
      <alignment horizontal="right" vertical="center"/>
    </xf>
    <xf numFmtId="183" fontId="6" fillId="0" borderId="0" xfId="0" applyNumberFormat="1" applyFont="1" applyAlignment="1">
      <alignment/>
    </xf>
    <xf numFmtId="183" fontId="1" fillId="0" borderId="0" xfId="0" applyNumberFormat="1" applyFont="1" applyAlignment="1">
      <alignment/>
    </xf>
    <xf numFmtId="183" fontId="1" fillId="0" borderId="0" xfId="0" applyNumberFormat="1" applyFont="1" applyAlignment="1">
      <alignment horizontal="right"/>
    </xf>
    <xf numFmtId="183" fontId="2" fillId="0" borderId="0" xfId="0" applyNumberFormat="1" applyFont="1" applyAlignment="1">
      <alignment/>
    </xf>
    <xf numFmtId="0" fontId="1" fillId="0" borderId="10" xfId="0" applyFont="1" applyFill="1" applyBorder="1" applyAlignment="1">
      <alignment vertical="center"/>
    </xf>
    <xf numFmtId="183" fontId="2" fillId="0" borderId="0" xfId="0" applyNumberFormat="1" applyFont="1" applyFill="1" applyBorder="1" applyAlignment="1">
      <alignment vertical="center"/>
    </xf>
    <xf numFmtId="183" fontId="2" fillId="0" borderId="0" xfId="0" applyNumberFormat="1" applyFont="1" applyFill="1" applyBorder="1" applyAlignment="1">
      <alignment horizontal="right" vertical="center"/>
    </xf>
    <xf numFmtId="0" fontId="5" fillId="0" borderId="10" xfId="0" applyFont="1" applyFill="1" applyBorder="1" applyAlignment="1">
      <alignment vertical="center"/>
    </xf>
    <xf numFmtId="183" fontId="6" fillId="0" borderId="11" xfId="0" applyNumberFormat="1" applyFont="1" applyFill="1" applyBorder="1" applyAlignment="1">
      <alignment vertical="center"/>
    </xf>
    <xf numFmtId="0" fontId="5" fillId="0" borderId="0" xfId="0" applyFont="1" applyFill="1" applyBorder="1" applyAlignment="1">
      <alignment/>
    </xf>
    <xf numFmtId="9" fontId="2" fillId="0" borderId="0" xfId="0" applyNumberFormat="1" applyFont="1" applyAlignment="1">
      <alignment horizontal="center" vertical="center"/>
    </xf>
    <xf numFmtId="9" fontId="6" fillId="0" borderId="0" xfId="0" applyNumberFormat="1" applyFont="1" applyAlignment="1">
      <alignment horizontal="center"/>
    </xf>
    <xf numFmtId="183" fontId="5" fillId="0" borderId="10" xfId="0" applyNumberFormat="1" applyFont="1" applyFill="1" applyBorder="1" applyAlignment="1">
      <alignment vertical="center"/>
    </xf>
    <xf numFmtId="183" fontId="5" fillId="0" borderId="12" xfId="0" applyNumberFormat="1" applyFont="1" applyFill="1" applyBorder="1" applyAlignment="1">
      <alignment vertical="center"/>
    </xf>
    <xf numFmtId="183" fontId="6" fillId="0" borderId="13" xfId="0" applyNumberFormat="1" applyFont="1" applyFill="1" applyBorder="1" applyAlignment="1">
      <alignment vertical="center"/>
    </xf>
    <xf numFmtId="183" fontId="6" fillId="0" borderId="13" xfId="0" applyNumberFormat="1" applyFont="1" applyFill="1" applyBorder="1" applyAlignment="1">
      <alignment horizontal="right" vertical="center"/>
    </xf>
    <xf numFmtId="0" fontId="1" fillId="0" borderId="14" xfId="0" applyFont="1" applyFill="1" applyBorder="1" applyAlignment="1">
      <alignment vertical="center"/>
    </xf>
    <xf numFmtId="183" fontId="1" fillId="0" borderId="15" xfId="0" applyNumberFormat="1" applyFont="1" applyFill="1" applyBorder="1" applyAlignment="1">
      <alignment vertical="center"/>
    </xf>
    <xf numFmtId="0" fontId="1" fillId="0" borderId="0" xfId="0" applyFont="1" applyAlignment="1">
      <alignment/>
    </xf>
    <xf numFmtId="0" fontId="8" fillId="0" borderId="0" xfId="0" applyFont="1" applyFill="1" applyBorder="1" applyAlignment="1">
      <alignment vertical="center"/>
    </xf>
    <xf numFmtId="183" fontId="1" fillId="0" borderId="0" xfId="0" applyNumberFormat="1" applyFont="1" applyFill="1" applyBorder="1" applyAlignment="1">
      <alignment/>
    </xf>
    <xf numFmtId="183" fontId="5" fillId="0" borderId="0" xfId="0" applyNumberFormat="1" applyFont="1" applyFill="1" applyBorder="1" applyAlignment="1">
      <alignment/>
    </xf>
    <xf numFmtId="0" fontId="1" fillId="0" borderId="0" xfId="0" applyFont="1" applyFill="1" applyBorder="1" applyAlignment="1">
      <alignment/>
    </xf>
    <xf numFmtId="183" fontId="1" fillId="0" borderId="0" xfId="0" applyNumberFormat="1" applyFont="1" applyFill="1" applyBorder="1" applyAlignment="1">
      <alignment/>
    </xf>
    <xf numFmtId="0" fontId="5" fillId="0" borderId="10" xfId="0" applyFont="1" applyFill="1" applyBorder="1" applyAlignment="1">
      <alignment/>
    </xf>
    <xf numFmtId="0" fontId="5" fillId="0" borderId="0" xfId="0" applyFont="1" applyFill="1" applyBorder="1" applyAlignment="1">
      <alignment/>
    </xf>
    <xf numFmtId="183" fontId="5" fillId="0" borderId="0" xfId="0" applyNumberFormat="1" applyFont="1" applyFill="1" applyBorder="1" applyAlignment="1">
      <alignment/>
    </xf>
    <xf numFmtId="183" fontId="5" fillId="0" borderId="11" xfId="0" applyNumberFormat="1" applyFont="1" applyFill="1" applyBorder="1" applyAlignment="1">
      <alignment/>
    </xf>
    <xf numFmtId="183" fontId="1" fillId="0" borderId="0" xfId="0" applyNumberFormat="1" applyFont="1" applyAlignment="1">
      <alignment/>
    </xf>
    <xf numFmtId="0" fontId="6" fillId="0" borderId="0" xfId="0" applyFont="1" applyFill="1" applyBorder="1" applyAlignment="1">
      <alignment/>
    </xf>
    <xf numFmtId="183" fontId="6" fillId="0" borderId="0" xfId="0" applyNumberFormat="1" applyFont="1" applyFill="1" applyBorder="1" applyAlignment="1">
      <alignment/>
    </xf>
    <xf numFmtId="183" fontId="1" fillId="0" borderId="0" xfId="0" applyNumberFormat="1" applyFont="1" applyFill="1" applyAlignment="1">
      <alignment/>
    </xf>
    <xf numFmtId="0" fontId="1" fillId="0" borderId="0" xfId="0" applyFont="1" applyBorder="1" applyAlignment="1">
      <alignment/>
    </xf>
    <xf numFmtId="183" fontId="5" fillId="0" borderId="0" xfId="0" applyNumberFormat="1" applyFont="1" applyBorder="1" applyAlignment="1">
      <alignment/>
    </xf>
    <xf numFmtId="183" fontId="1" fillId="0" borderId="0" xfId="0" applyNumberFormat="1" applyFont="1" applyBorder="1" applyAlignment="1">
      <alignment/>
    </xf>
    <xf numFmtId="0" fontId="1" fillId="0" borderId="0" xfId="0" applyFont="1" applyFill="1" applyAlignment="1">
      <alignment/>
    </xf>
    <xf numFmtId="0" fontId="5" fillId="0" borderId="0" xfId="0" applyFont="1" applyBorder="1" applyAlignment="1">
      <alignment/>
    </xf>
    <xf numFmtId="180" fontId="5" fillId="0" borderId="0" xfId="0" applyNumberFormat="1" applyFont="1" applyFill="1" applyBorder="1" applyAlignment="1">
      <alignment vertical="center"/>
    </xf>
    <xf numFmtId="0" fontId="5" fillId="0" borderId="0" xfId="0" applyFont="1" applyBorder="1" applyAlignment="1">
      <alignment vertical="center"/>
    </xf>
    <xf numFmtId="180" fontId="5" fillId="0" borderId="0" xfId="0" applyNumberFormat="1" applyFont="1" applyFill="1" applyBorder="1" applyAlignment="1">
      <alignment/>
    </xf>
    <xf numFmtId="0" fontId="0" fillId="0" borderId="0" xfId="0" applyFill="1" applyBorder="1" applyAlignment="1">
      <alignment/>
    </xf>
    <xf numFmtId="0" fontId="4" fillId="0" borderId="0" xfId="0" applyFont="1" applyAlignment="1">
      <alignment vertical="center"/>
    </xf>
    <xf numFmtId="0" fontId="5" fillId="0" borderId="12" xfId="0" applyFont="1" applyFill="1" applyBorder="1" applyAlignment="1">
      <alignment vertical="center"/>
    </xf>
    <xf numFmtId="183" fontId="6" fillId="0" borderId="16" xfId="0" applyNumberFormat="1" applyFont="1" applyFill="1" applyBorder="1" applyAlignment="1">
      <alignment vertical="center"/>
    </xf>
    <xf numFmtId="183" fontId="5" fillId="0" borderId="0" xfId="0" applyNumberFormat="1" applyFont="1" applyBorder="1" applyAlignment="1">
      <alignment horizontal="right" vertical="center"/>
    </xf>
    <xf numFmtId="183" fontId="5" fillId="0" borderId="0" xfId="0" applyNumberFormat="1" applyFont="1" applyBorder="1" applyAlignment="1">
      <alignment horizontal="left" vertical="center"/>
    </xf>
    <xf numFmtId="44" fontId="8" fillId="0" borderId="0" xfId="0" applyNumberFormat="1" applyFont="1" applyFill="1" applyBorder="1" applyAlignment="1">
      <alignment vertical="center"/>
    </xf>
    <xf numFmtId="44" fontId="8" fillId="0" borderId="0" xfId="0" applyNumberFormat="1" applyFont="1" applyFill="1" applyBorder="1" applyAlignment="1">
      <alignment horizontal="center" vertical="center"/>
    </xf>
    <xf numFmtId="183" fontId="1" fillId="0" borderId="13" xfId="0" applyNumberFormat="1" applyFont="1" applyFill="1" applyBorder="1" applyAlignment="1">
      <alignment vertical="center"/>
    </xf>
    <xf numFmtId="183" fontId="5" fillId="0" borderId="0" xfId="0" applyNumberFormat="1" applyFont="1" applyBorder="1" applyAlignment="1">
      <alignment/>
    </xf>
    <xf numFmtId="183" fontId="5" fillId="0" borderId="0" xfId="0" applyNumberFormat="1" applyFont="1" applyBorder="1" applyAlignment="1">
      <alignment horizontal="left"/>
    </xf>
    <xf numFmtId="183" fontId="6" fillId="0" borderId="0" xfId="0" applyNumberFormat="1" applyFont="1" applyFill="1" applyBorder="1" applyAlignment="1">
      <alignment/>
    </xf>
    <xf numFmtId="183" fontId="6" fillId="0" borderId="0" xfId="0" applyNumberFormat="1" applyFont="1" applyBorder="1" applyAlignment="1">
      <alignment/>
    </xf>
    <xf numFmtId="180" fontId="8" fillId="0" borderId="0" xfId="0" applyNumberFormat="1" applyFont="1" applyFill="1" applyBorder="1" applyAlignment="1">
      <alignment vertical="center"/>
    </xf>
    <xf numFmtId="183" fontId="1" fillId="0" borderId="0" xfId="0" applyNumberFormat="1" applyFont="1" applyAlignment="1">
      <alignment horizontal="left" vertical="center"/>
    </xf>
    <xf numFmtId="183" fontId="1" fillId="0" borderId="0" xfId="0" applyNumberFormat="1" applyFont="1" applyAlignment="1">
      <alignment horizontal="left"/>
    </xf>
    <xf numFmtId="183" fontId="1" fillId="0" borderId="0" xfId="0" applyNumberFormat="1" applyFont="1" applyFill="1" applyAlignment="1">
      <alignment horizontal="left"/>
    </xf>
    <xf numFmtId="183" fontId="7" fillId="0" borderId="0" xfId="0" applyNumberFormat="1" applyFont="1" applyFill="1" applyAlignment="1">
      <alignment horizontal="left"/>
    </xf>
    <xf numFmtId="183" fontId="1" fillId="0" borderId="0" xfId="0" applyNumberFormat="1" applyFont="1" applyBorder="1" applyAlignment="1">
      <alignment horizontal="left"/>
    </xf>
    <xf numFmtId="183" fontId="1" fillId="0" borderId="0" xfId="0" applyNumberFormat="1" applyFont="1" applyBorder="1" applyAlignment="1">
      <alignment/>
    </xf>
    <xf numFmtId="183" fontId="2" fillId="0" borderId="0" xfId="0" applyNumberFormat="1" applyFont="1" applyFill="1" applyBorder="1" applyAlignment="1">
      <alignment horizontal="left"/>
    </xf>
    <xf numFmtId="183" fontId="1" fillId="0" borderId="0" xfId="0" applyNumberFormat="1" applyFont="1" applyFill="1" applyBorder="1" applyAlignment="1">
      <alignment horizontal="left"/>
    </xf>
    <xf numFmtId="183" fontId="5" fillId="0" borderId="0" xfId="0" applyNumberFormat="1" applyFont="1" applyFill="1" applyBorder="1" applyAlignment="1">
      <alignment horizontal="left" vertical="center"/>
    </xf>
    <xf numFmtId="183" fontId="6" fillId="0" borderId="0" xfId="0" applyNumberFormat="1" applyFont="1" applyBorder="1" applyAlignment="1">
      <alignment horizontal="right" vertical="center"/>
    </xf>
    <xf numFmtId="44" fontId="9" fillId="0" borderId="0" xfId="0" applyNumberFormat="1" applyFont="1" applyFill="1" applyBorder="1" applyAlignment="1">
      <alignment vertical="center"/>
    </xf>
    <xf numFmtId="0" fontId="5" fillId="0" borderId="0" xfId="0" applyFont="1" applyFill="1" applyBorder="1" applyAlignment="1">
      <alignment horizontal="left"/>
    </xf>
    <xf numFmtId="183" fontId="5" fillId="0" borderId="0" xfId="0" applyNumberFormat="1" applyFont="1" applyFill="1" applyAlignment="1">
      <alignment/>
    </xf>
    <xf numFmtId="0" fontId="5" fillId="0" borderId="0" xfId="0" applyFont="1" applyFill="1" applyBorder="1" applyAlignment="1">
      <alignment horizontal="left" vertical="center"/>
    </xf>
    <xf numFmtId="184" fontId="8" fillId="0" borderId="0" xfId="0" applyNumberFormat="1" applyFont="1" applyFill="1" applyBorder="1" applyAlignment="1">
      <alignment vertical="center"/>
    </xf>
    <xf numFmtId="183" fontId="6" fillId="0" borderId="0" xfId="0" applyNumberFormat="1" applyFont="1" applyFill="1" applyAlignment="1">
      <alignment horizontal="left" vertical="center"/>
    </xf>
    <xf numFmtId="44" fontId="9" fillId="0" borderId="0" xfId="0" applyNumberFormat="1" applyFont="1" applyFill="1" applyBorder="1" applyAlignment="1">
      <alignment horizontal="center" vertical="center"/>
    </xf>
    <xf numFmtId="183" fontId="2" fillId="0" borderId="0" xfId="0" applyNumberFormat="1" applyFont="1" applyFill="1" applyBorder="1" applyAlignment="1">
      <alignment horizontal="center"/>
    </xf>
    <xf numFmtId="183" fontId="2" fillId="0" borderId="0" xfId="0" applyNumberFormat="1" applyFont="1" applyFill="1" applyBorder="1" applyAlignment="1">
      <alignment horizontal="center" vertical="center"/>
    </xf>
    <xf numFmtId="170" fontId="5" fillId="0" borderId="0" xfId="52" applyFont="1" applyFill="1" applyBorder="1" applyAlignment="1">
      <alignment/>
    </xf>
    <xf numFmtId="183" fontId="14" fillId="0" borderId="0" xfId="0" applyNumberFormat="1" applyFont="1" applyFill="1" applyBorder="1" applyAlignment="1">
      <alignment/>
    </xf>
    <xf numFmtId="183" fontId="1" fillId="0" borderId="0" xfId="0" applyNumberFormat="1" applyFont="1" applyBorder="1" applyAlignment="1">
      <alignment horizontal="left" vertical="center"/>
    </xf>
    <xf numFmtId="0" fontId="1" fillId="0" borderId="0" xfId="0" applyFont="1" applyBorder="1" applyAlignment="1">
      <alignment/>
    </xf>
    <xf numFmtId="183" fontId="5" fillId="0" borderId="0" xfId="0" applyNumberFormat="1" applyFont="1" applyBorder="1" applyAlignment="1">
      <alignment horizontal="right"/>
    </xf>
    <xf numFmtId="183" fontId="5" fillId="0" borderId="0" xfId="0" applyNumberFormat="1" applyFont="1" applyFill="1" applyBorder="1" applyAlignment="1">
      <alignment horizontal="right"/>
    </xf>
    <xf numFmtId="183" fontId="6" fillId="0" borderId="17" xfId="0" applyNumberFormat="1" applyFont="1" applyFill="1" applyBorder="1" applyAlignment="1">
      <alignment vertical="center"/>
    </xf>
    <xf numFmtId="183" fontId="6" fillId="0" borderId="15" xfId="0" applyNumberFormat="1" applyFont="1" applyFill="1" applyBorder="1" applyAlignment="1">
      <alignment horizontal="right" vertical="center"/>
    </xf>
    <xf numFmtId="183" fontId="5" fillId="0" borderId="15" xfId="0" applyNumberFormat="1" applyFont="1" applyFill="1" applyBorder="1" applyAlignment="1">
      <alignment/>
    </xf>
    <xf numFmtId="183" fontId="5" fillId="0" borderId="14" xfId="0" applyNumberFormat="1" applyFont="1" applyFill="1" applyBorder="1" applyAlignment="1">
      <alignment vertical="center"/>
    </xf>
    <xf numFmtId="0" fontId="5" fillId="0" borderId="14" xfId="0" applyFont="1" applyFill="1" applyBorder="1" applyAlignment="1">
      <alignment vertical="center"/>
    </xf>
    <xf numFmtId="183" fontId="1" fillId="0" borderId="0" xfId="0" applyNumberFormat="1" applyFont="1" applyFill="1" applyBorder="1" applyAlignment="1">
      <alignment vertical="center"/>
    </xf>
    <xf numFmtId="0" fontId="0" fillId="0" borderId="0" xfId="0" applyFont="1" applyAlignment="1">
      <alignment/>
    </xf>
    <xf numFmtId="0" fontId="0" fillId="0" borderId="0" xfId="0" applyFill="1" applyBorder="1" applyAlignment="1">
      <alignment vertical="center"/>
    </xf>
    <xf numFmtId="0" fontId="15" fillId="0" borderId="0" xfId="0" applyFont="1" applyFill="1" applyBorder="1" applyAlignment="1">
      <alignment vertical="center"/>
    </xf>
    <xf numFmtId="0" fontId="0" fillId="0" borderId="0" xfId="0" applyFont="1" applyFill="1" applyBorder="1" applyAlignment="1">
      <alignment horizontal="left" vertical="center"/>
    </xf>
    <xf numFmtId="0" fontId="15" fillId="0" borderId="0" xfId="0" applyFont="1" applyFill="1" applyBorder="1" applyAlignment="1">
      <alignment horizontal="left" vertical="center"/>
    </xf>
    <xf numFmtId="180" fontId="5"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0" xfId="0" applyBorder="1" applyAlignment="1">
      <alignment vertical="center"/>
    </xf>
    <xf numFmtId="0" fontId="15" fillId="0" borderId="0" xfId="0" applyFont="1" applyBorder="1" applyAlignment="1">
      <alignment vertical="center"/>
    </xf>
    <xf numFmtId="180" fontId="5" fillId="0" borderId="0" xfId="0" applyNumberFormat="1" applyFont="1" applyBorder="1" applyAlignment="1">
      <alignment vertical="center"/>
    </xf>
    <xf numFmtId="0" fontId="0" fillId="0" borderId="0" xfId="0" applyAlignment="1">
      <alignment vertical="center"/>
    </xf>
    <xf numFmtId="0" fontId="15" fillId="0" borderId="0" xfId="0" applyFont="1" applyAlignment="1">
      <alignment vertical="center"/>
    </xf>
    <xf numFmtId="180" fontId="5" fillId="0" borderId="0" xfId="0" applyNumberFormat="1" applyFont="1" applyAlignment="1">
      <alignment vertical="center"/>
    </xf>
    <xf numFmtId="0" fontId="10" fillId="0" borderId="0" xfId="0" applyFont="1" applyBorder="1" applyAlignment="1">
      <alignment vertical="center"/>
    </xf>
    <xf numFmtId="0" fontId="5" fillId="0" borderId="16" xfId="0" applyFont="1" applyFill="1" applyBorder="1" applyAlignment="1">
      <alignment vertical="center"/>
    </xf>
    <xf numFmtId="181" fontId="5" fillId="0" borderId="13" xfId="0" applyNumberFormat="1" applyFont="1" applyFill="1" applyBorder="1" applyAlignment="1">
      <alignment vertical="center"/>
    </xf>
    <xf numFmtId="44" fontId="5" fillId="0" borderId="13" xfId="0" applyNumberFormat="1" applyFont="1" applyFill="1" applyBorder="1" applyAlignment="1">
      <alignment vertical="center"/>
    </xf>
    <xf numFmtId="0" fontId="5" fillId="0" borderId="13" xfId="0" applyFont="1" applyFill="1" applyBorder="1" applyAlignment="1">
      <alignment vertical="center"/>
    </xf>
    <xf numFmtId="0" fontId="5" fillId="0" borderId="11" xfId="0" applyFont="1" applyFill="1" applyBorder="1" applyAlignment="1">
      <alignment vertical="center"/>
    </xf>
    <xf numFmtId="181" fontId="5" fillId="0" borderId="0" xfId="0" applyNumberFormat="1" applyFont="1" applyFill="1" applyBorder="1" applyAlignment="1">
      <alignment vertical="center"/>
    </xf>
    <xf numFmtId="44" fontId="5" fillId="0" borderId="0" xfId="0" applyNumberFormat="1" applyFont="1" applyFill="1" applyBorder="1" applyAlignment="1">
      <alignment vertical="center"/>
    </xf>
    <xf numFmtId="0" fontId="0" fillId="0" borderId="0" xfId="0" applyFill="1" applyAlignment="1">
      <alignment vertical="center"/>
    </xf>
    <xf numFmtId="0" fontId="15" fillId="0" borderId="0" xfId="0" applyFont="1" applyFill="1" applyAlignment="1">
      <alignment vertical="center"/>
    </xf>
    <xf numFmtId="0" fontId="1" fillId="0" borderId="13"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lignment horizontal="right" vertical="center"/>
    </xf>
    <xf numFmtId="0" fontId="1" fillId="0" borderId="11" xfId="0" applyFont="1" applyFill="1" applyBorder="1" applyAlignment="1">
      <alignment vertical="center"/>
    </xf>
    <xf numFmtId="0" fontId="1" fillId="0" borderId="15" xfId="0" applyFont="1" applyFill="1" applyBorder="1" applyAlignment="1">
      <alignment vertical="center"/>
    </xf>
    <xf numFmtId="0" fontId="0" fillId="0" borderId="0" xfId="0" applyBorder="1" applyAlignment="1">
      <alignment/>
    </xf>
    <xf numFmtId="0" fontId="15" fillId="0" borderId="0" xfId="0" applyFont="1" applyBorder="1" applyAlignment="1">
      <alignment/>
    </xf>
    <xf numFmtId="0" fontId="0" fillId="0" borderId="0" xfId="0" applyFont="1" applyFill="1" applyBorder="1" applyAlignment="1">
      <alignment horizontal="left"/>
    </xf>
    <xf numFmtId="0" fontId="15" fillId="0" borderId="0" xfId="0" applyFont="1" applyFill="1" applyBorder="1" applyAlignment="1">
      <alignment horizontal="left"/>
    </xf>
    <xf numFmtId="180" fontId="5" fillId="0" borderId="0" xfId="0" applyNumberFormat="1" applyFont="1" applyFill="1" applyBorder="1" applyAlignment="1">
      <alignment horizontal="left"/>
    </xf>
    <xf numFmtId="0" fontId="15" fillId="0" borderId="0" xfId="0" applyFont="1" applyAlignment="1">
      <alignment/>
    </xf>
    <xf numFmtId="180" fontId="5" fillId="0" borderId="0" xfId="0" applyNumberFormat="1" applyFont="1" applyAlignment="1">
      <alignment/>
    </xf>
    <xf numFmtId="180" fontId="15" fillId="0" borderId="0" xfId="0" applyNumberFormat="1" applyFont="1" applyAlignment="1">
      <alignment/>
    </xf>
    <xf numFmtId="0" fontId="1" fillId="0" borderId="16" xfId="0" applyFont="1" applyFill="1" applyBorder="1" applyAlignment="1">
      <alignment vertical="center"/>
    </xf>
    <xf numFmtId="180" fontId="0" fillId="0" borderId="0" xfId="0" applyNumberFormat="1" applyFont="1" applyAlignment="1">
      <alignment/>
    </xf>
    <xf numFmtId="0" fontId="6" fillId="0" borderId="0" xfId="0" applyFont="1" applyAlignment="1">
      <alignment vertical="center"/>
    </xf>
    <xf numFmtId="183" fontId="5" fillId="0" borderId="16" xfId="0" applyNumberFormat="1" applyFont="1" applyFill="1" applyBorder="1" applyAlignment="1">
      <alignment/>
    </xf>
    <xf numFmtId="183" fontId="5" fillId="0" borderId="13" xfId="0" applyNumberFormat="1" applyFont="1" applyFill="1" applyBorder="1" applyAlignment="1">
      <alignment/>
    </xf>
    <xf numFmtId="0" fontId="5" fillId="0" borderId="13" xfId="0" applyFont="1" applyFill="1" applyBorder="1" applyAlignment="1">
      <alignment/>
    </xf>
    <xf numFmtId="0" fontId="5" fillId="0" borderId="12" xfId="0" applyFont="1" applyFill="1" applyBorder="1" applyAlignment="1">
      <alignment/>
    </xf>
    <xf numFmtId="183" fontId="5" fillId="0" borderId="17" xfId="0" applyNumberFormat="1" applyFont="1" applyFill="1" applyBorder="1" applyAlignment="1">
      <alignment/>
    </xf>
    <xf numFmtId="183" fontId="5" fillId="0" borderId="15" xfId="0" applyNumberFormat="1" applyFont="1" applyFill="1" applyBorder="1" applyAlignment="1">
      <alignment/>
    </xf>
    <xf numFmtId="0" fontId="5" fillId="0" borderId="15" xfId="0" applyFont="1" applyFill="1" applyBorder="1" applyAlignment="1">
      <alignment/>
    </xf>
    <xf numFmtId="0" fontId="5" fillId="0" borderId="17" xfId="0" applyFont="1" applyFill="1" applyBorder="1" applyAlignment="1">
      <alignment vertical="center"/>
    </xf>
    <xf numFmtId="181" fontId="5" fillId="0" borderId="15" xfId="0" applyNumberFormat="1" applyFont="1" applyFill="1" applyBorder="1" applyAlignment="1">
      <alignment vertical="center"/>
    </xf>
    <xf numFmtId="44" fontId="5" fillId="0" borderId="15" xfId="0" applyNumberFormat="1" applyFont="1" applyFill="1" applyBorder="1" applyAlignment="1">
      <alignment vertical="center"/>
    </xf>
    <xf numFmtId="0" fontId="5" fillId="0" borderId="15" xfId="0" applyFont="1" applyFill="1" applyBorder="1" applyAlignment="1">
      <alignment vertical="center"/>
    </xf>
    <xf numFmtId="44" fontId="6" fillId="0" borderId="0" xfId="0" applyNumberFormat="1" applyFont="1" applyFill="1" applyBorder="1" applyAlignment="1">
      <alignment vertical="center"/>
    </xf>
    <xf numFmtId="0" fontId="15" fillId="0" borderId="0" xfId="0" applyFont="1" applyFill="1" applyBorder="1" applyAlignment="1">
      <alignment/>
    </xf>
    <xf numFmtId="183" fontId="0" fillId="0" borderId="0" xfId="0" applyNumberFormat="1" applyFont="1" applyFill="1" applyBorder="1" applyAlignment="1">
      <alignment/>
    </xf>
    <xf numFmtId="183" fontId="0" fillId="0" borderId="0" xfId="0" applyNumberFormat="1" applyFont="1" applyBorder="1" applyAlignment="1">
      <alignment/>
    </xf>
    <xf numFmtId="183" fontId="5" fillId="0" borderId="0" xfId="0" applyNumberFormat="1" applyFont="1" applyFill="1" applyBorder="1" applyAlignment="1">
      <alignment horizontal="left"/>
    </xf>
    <xf numFmtId="180" fontId="5" fillId="0" borderId="0" xfId="0" applyNumberFormat="1" applyFont="1" applyBorder="1" applyAlignment="1">
      <alignment horizontal="right" vertical="center"/>
    </xf>
    <xf numFmtId="44" fontId="5" fillId="0" borderId="0" xfId="0" applyNumberFormat="1" applyFont="1" applyBorder="1" applyAlignment="1">
      <alignment vertical="center"/>
    </xf>
    <xf numFmtId="0" fontId="0" fillId="0" borderId="0" xfId="0" applyFill="1" applyAlignment="1">
      <alignment/>
    </xf>
    <xf numFmtId="0" fontId="15" fillId="0" borderId="0" xfId="0" applyFont="1" applyFill="1" applyAlignment="1">
      <alignment/>
    </xf>
    <xf numFmtId="183" fontId="0" fillId="0" borderId="0" xfId="0" applyNumberFormat="1" applyFont="1" applyFill="1" applyAlignment="1">
      <alignment/>
    </xf>
    <xf numFmtId="0" fontId="0" fillId="0" borderId="0" xfId="0" applyFont="1" applyFill="1" applyAlignment="1">
      <alignment/>
    </xf>
    <xf numFmtId="183" fontId="0" fillId="0" borderId="0" xfId="0" applyNumberFormat="1" applyFont="1" applyAlignment="1">
      <alignment/>
    </xf>
    <xf numFmtId="44" fontId="10" fillId="0" borderId="0" xfId="0" applyNumberFormat="1" applyFont="1" applyFill="1" applyBorder="1" applyAlignment="1">
      <alignment vertical="center"/>
    </xf>
    <xf numFmtId="180" fontId="10" fillId="0" borderId="0" xfId="0" applyNumberFormat="1" applyFont="1" applyFill="1" applyBorder="1" applyAlignment="1">
      <alignment vertical="center"/>
    </xf>
    <xf numFmtId="0" fontId="10" fillId="0" borderId="0" xfId="0" applyFont="1" applyFill="1" applyBorder="1" applyAlignment="1">
      <alignment vertical="center"/>
    </xf>
    <xf numFmtId="180" fontId="18" fillId="0" borderId="0" xfId="0" applyNumberFormat="1" applyFont="1" applyFill="1" applyBorder="1" applyAlignment="1">
      <alignment/>
    </xf>
    <xf numFmtId="0" fontId="19" fillId="0" borderId="0" xfId="0" applyFont="1" applyFill="1" applyBorder="1" applyAlignment="1">
      <alignment/>
    </xf>
    <xf numFmtId="0" fontId="20" fillId="0" borderId="0" xfId="0" applyFont="1" applyFill="1" applyBorder="1" applyAlignment="1">
      <alignment/>
    </xf>
    <xf numFmtId="0" fontId="21" fillId="0" borderId="0" xfId="0" applyFont="1" applyFill="1" applyBorder="1" applyAlignment="1">
      <alignment/>
    </xf>
    <xf numFmtId="0" fontId="5" fillId="0" borderId="0" xfId="0" applyFont="1" applyFill="1" applyAlignment="1">
      <alignment vertical="center"/>
    </xf>
    <xf numFmtId="180" fontId="5" fillId="0" borderId="0" xfId="0" applyNumberFormat="1" applyFont="1" applyFill="1" applyAlignment="1">
      <alignment/>
    </xf>
    <xf numFmtId="180" fontId="5" fillId="0" borderId="0" xfId="0" applyNumberFormat="1"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180" fontId="15" fillId="0" borderId="0" xfId="0" applyNumberFormat="1" applyFont="1" applyFill="1" applyAlignment="1">
      <alignment/>
    </xf>
    <xf numFmtId="0" fontId="22" fillId="0" borderId="0" xfId="0" applyFont="1" applyBorder="1" applyAlignment="1">
      <alignment/>
    </xf>
    <xf numFmtId="0" fontId="5" fillId="0" borderId="0" xfId="0" applyFont="1" applyBorder="1" applyAlignment="1">
      <alignment horizontal="left"/>
    </xf>
    <xf numFmtId="180" fontId="5" fillId="0" borderId="0" xfId="0" applyNumberFormat="1" applyFont="1" applyBorder="1" applyAlignment="1">
      <alignment horizontal="left"/>
    </xf>
    <xf numFmtId="44" fontId="15" fillId="0" borderId="0" xfId="0" applyNumberFormat="1" applyFont="1" applyBorder="1" applyAlignment="1">
      <alignment/>
    </xf>
    <xf numFmtId="44" fontId="15" fillId="0" borderId="0" xfId="0" applyNumberFormat="1" applyFont="1" applyFill="1" applyBorder="1" applyAlignment="1">
      <alignment horizontal="left"/>
    </xf>
    <xf numFmtId="0" fontId="22" fillId="0" borderId="0" xfId="0" applyFont="1" applyFill="1" applyBorder="1" applyAlignment="1">
      <alignment horizontal="left"/>
    </xf>
    <xf numFmtId="0" fontId="6" fillId="0" borderId="0" xfId="0" applyFont="1" applyFill="1" applyBorder="1" applyAlignment="1">
      <alignment horizontal="left"/>
    </xf>
    <xf numFmtId="0" fontId="1" fillId="0" borderId="0" xfId="0" applyFont="1" applyFill="1" applyBorder="1" applyAlignment="1">
      <alignment/>
    </xf>
    <xf numFmtId="183" fontId="2" fillId="0" borderId="0" xfId="0" applyNumberFormat="1" applyFont="1" applyFill="1" applyBorder="1" applyAlignment="1">
      <alignment/>
    </xf>
    <xf numFmtId="0" fontId="22" fillId="0" borderId="0" xfId="0" applyFont="1" applyFill="1" applyBorder="1" applyAlignment="1">
      <alignment/>
    </xf>
    <xf numFmtId="180" fontId="15" fillId="0" borderId="0" xfId="0" applyNumberFormat="1" applyFont="1" applyFill="1" applyBorder="1" applyAlignment="1">
      <alignment/>
    </xf>
    <xf numFmtId="180" fontId="15" fillId="0" borderId="0" xfId="0" applyNumberFormat="1" applyFont="1" applyFill="1" applyBorder="1" applyAlignment="1">
      <alignment horizontal="left"/>
    </xf>
    <xf numFmtId="0" fontId="22" fillId="0" borderId="0" xfId="0" applyFont="1" applyAlignment="1">
      <alignment/>
    </xf>
    <xf numFmtId="0" fontId="22" fillId="0" borderId="0" xfId="0" applyFont="1" applyFill="1" applyAlignment="1">
      <alignment/>
    </xf>
    <xf numFmtId="180" fontId="15" fillId="0" borderId="0" xfId="0" applyNumberFormat="1" applyFont="1" applyBorder="1" applyAlignment="1">
      <alignment/>
    </xf>
    <xf numFmtId="183" fontId="23" fillId="0" borderId="0" xfId="0" applyNumberFormat="1" applyFont="1" applyBorder="1" applyAlignment="1">
      <alignment vertical="center"/>
    </xf>
    <xf numFmtId="183" fontId="5" fillId="0" borderId="0" xfId="0" applyNumberFormat="1" applyFont="1" applyFill="1" applyAlignment="1">
      <alignment vertical="center"/>
    </xf>
    <xf numFmtId="0" fontId="6" fillId="0" borderId="0" xfId="0" applyFont="1" applyFill="1" applyAlignment="1">
      <alignment horizontal="right" vertical="center"/>
    </xf>
    <xf numFmtId="0" fontId="5" fillId="0" borderId="0" xfId="0" applyFont="1" applyAlignment="1">
      <alignment horizontal="left"/>
    </xf>
    <xf numFmtId="0" fontId="5" fillId="0" borderId="0" xfId="0" applyFont="1" applyFill="1" applyAlignment="1">
      <alignment horizontal="left"/>
    </xf>
    <xf numFmtId="0" fontId="1" fillId="0" borderId="0" xfId="0" applyFont="1" applyFill="1" applyAlignment="1">
      <alignment/>
    </xf>
    <xf numFmtId="0" fontId="1" fillId="0" borderId="0" xfId="0" applyFont="1" applyFill="1" applyAlignment="1">
      <alignment horizontal="left"/>
    </xf>
    <xf numFmtId="0" fontId="5" fillId="0" borderId="0" xfId="0" applyFont="1" applyFill="1" applyBorder="1" applyAlignment="1">
      <alignment horizontal="right" vertical="center"/>
    </xf>
    <xf numFmtId="180" fontId="5" fillId="0" borderId="0" xfId="0" applyNumberFormat="1" applyFont="1" applyFill="1" applyAlignment="1">
      <alignment horizontal="left"/>
    </xf>
    <xf numFmtId="0" fontId="5" fillId="0" borderId="0" xfId="0" applyFont="1" applyBorder="1" applyAlignment="1">
      <alignment horizontal="left" vertical="center"/>
    </xf>
    <xf numFmtId="0" fontId="5" fillId="0" borderId="0" xfId="0" applyFont="1" applyBorder="1" applyAlignment="1">
      <alignment horizontal="right" vertical="center"/>
    </xf>
    <xf numFmtId="0" fontId="5" fillId="0" borderId="0" xfId="0" applyFont="1" applyAlignment="1">
      <alignment horizontal="right" vertical="center"/>
    </xf>
    <xf numFmtId="0" fontId="5" fillId="0" borderId="0" xfId="0" applyFont="1" applyFill="1" applyAlignment="1">
      <alignment/>
    </xf>
    <xf numFmtId="183" fontId="5" fillId="0" borderId="0" xfId="0" applyNumberFormat="1" applyFont="1" applyFill="1" applyAlignment="1">
      <alignment horizontal="left"/>
    </xf>
    <xf numFmtId="9" fontId="6" fillId="0" borderId="0" xfId="0" applyNumberFormat="1" applyFont="1" applyFill="1" applyBorder="1" applyAlignment="1">
      <alignment horizontal="center"/>
    </xf>
    <xf numFmtId="183" fontId="1" fillId="0" borderId="0" xfId="0" applyNumberFormat="1" applyFont="1" applyFill="1" applyBorder="1" applyAlignment="1">
      <alignment horizontal="left" vertical="center"/>
    </xf>
    <xf numFmtId="9" fontId="1" fillId="0" borderId="0" xfId="57" applyFont="1" applyFill="1" applyBorder="1" applyAlignment="1">
      <alignment horizontal="left"/>
    </xf>
    <xf numFmtId="0" fontId="1" fillId="0" borderId="0" xfId="0" applyFont="1" applyFill="1" applyBorder="1" applyAlignment="1">
      <alignment horizontal="left"/>
    </xf>
    <xf numFmtId="183" fontId="2" fillId="0" borderId="0" xfId="0" applyNumberFormat="1" applyFont="1" applyBorder="1" applyAlignment="1">
      <alignment/>
    </xf>
    <xf numFmtId="183" fontId="6" fillId="0" borderId="0" xfId="0" applyNumberFormat="1" applyFont="1" applyBorder="1" applyAlignment="1">
      <alignment horizontal="center"/>
    </xf>
    <xf numFmtId="183" fontId="5" fillId="0" borderId="0" xfId="0" applyNumberFormat="1" applyFont="1" applyAlignment="1">
      <alignment/>
    </xf>
    <xf numFmtId="0" fontId="25" fillId="0" borderId="0" xfId="0" applyFont="1" applyAlignment="1">
      <alignment/>
    </xf>
    <xf numFmtId="0" fontId="25" fillId="0" borderId="0" xfId="0" applyFont="1" applyAlignment="1">
      <alignment vertical="center"/>
    </xf>
    <xf numFmtId="44" fontId="25" fillId="0" borderId="0" xfId="0" applyNumberFormat="1" applyFont="1" applyAlignment="1">
      <alignment vertical="center"/>
    </xf>
    <xf numFmtId="0" fontId="26" fillId="0" borderId="0" xfId="0" applyFont="1" applyAlignment="1">
      <alignment vertical="center"/>
    </xf>
    <xf numFmtId="0" fontId="27" fillId="0" borderId="0" xfId="0" applyFont="1" applyAlignment="1">
      <alignment/>
    </xf>
    <xf numFmtId="0" fontId="28" fillId="0" borderId="0" xfId="0" applyFont="1" applyAlignment="1">
      <alignment/>
    </xf>
    <xf numFmtId="0" fontId="27" fillId="0" borderId="0" xfId="0" applyFont="1" applyAlignment="1">
      <alignment vertical="center"/>
    </xf>
    <xf numFmtId="44" fontId="27" fillId="0" borderId="0" xfId="0" applyNumberFormat="1" applyFont="1" applyAlignment="1">
      <alignment vertical="center"/>
    </xf>
    <xf numFmtId="0" fontId="29" fillId="0" borderId="0" xfId="0" applyFont="1" applyAlignment="1">
      <alignment vertical="center"/>
    </xf>
    <xf numFmtId="0" fontId="30" fillId="0" borderId="0" xfId="0" applyFont="1" applyAlignment="1">
      <alignment vertical="center"/>
    </xf>
    <xf numFmtId="44" fontId="30" fillId="0" borderId="0" xfId="0" applyNumberFormat="1" applyFont="1" applyAlignment="1">
      <alignment vertical="center"/>
    </xf>
    <xf numFmtId="0" fontId="31" fillId="0" borderId="0" xfId="0" applyFont="1" applyAlignment="1">
      <alignment vertical="center"/>
    </xf>
    <xf numFmtId="44" fontId="32" fillId="0" borderId="0" xfId="0" applyNumberFormat="1" applyFont="1" applyFill="1" applyBorder="1" applyAlignment="1">
      <alignment vertical="center"/>
    </xf>
    <xf numFmtId="44" fontId="33" fillId="0" borderId="0" xfId="0" applyNumberFormat="1" applyFont="1" applyFill="1" applyBorder="1" applyAlignment="1">
      <alignment horizontal="center" vertical="center"/>
    </xf>
    <xf numFmtId="44" fontId="33" fillId="0" borderId="0" xfId="0" applyNumberFormat="1" applyFont="1" applyFill="1" applyBorder="1" applyAlignment="1">
      <alignment vertical="center"/>
    </xf>
    <xf numFmtId="0" fontId="34" fillId="0" borderId="0" xfId="0" applyFont="1" applyFill="1" applyBorder="1" applyAlignment="1">
      <alignment vertical="center"/>
    </xf>
    <xf numFmtId="170" fontId="34" fillId="0" borderId="0" xfId="52" applyFont="1" applyFill="1" applyBorder="1" applyAlignment="1">
      <alignment vertical="center"/>
    </xf>
    <xf numFmtId="0" fontId="9" fillId="0" borderId="0" xfId="0" applyFont="1" applyBorder="1" applyAlignment="1">
      <alignment vertical="center"/>
    </xf>
    <xf numFmtId="44" fontId="9" fillId="0" borderId="0" xfId="0" applyNumberFormat="1" applyFont="1" applyBorder="1" applyAlignment="1">
      <alignment vertical="center"/>
    </xf>
    <xf numFmtId="44" fontId="9" fillId="0" borderId="0" xfId="0" applyNumberFormat="1" applyFont="1" applyBorder="1" applyAlignment="1">
      <alignment horizontal="center" vertical="center"/>
    </xf>
    <xf numFmtId="0" fontId="6" fillId="0" borderId="0" xfId="0" applyFont="1" applyBorder="1" applyAlignment="1">
      <alignment vertical="center"/>
    </xf>
    <xf numFmtId="0" fontId="35" fillId="0" borderId="0" xfId="0" applyFont="1" applyBorder="1" applyAlignment="1">
      <alignment vertical="center"/>
    </xf>
    <xf numFmtId="170" fontId="35" fillId="0" borderId="0" xfId="52" applyFont="1" applyBorder="1" applyAlignment="1">
      <alignment vertical="center"/>
    </xf>
    <xf numFmtId="0" fontId="8" fillId="0" borderId="10" xfId="0" applyFont="1" applyFill="1" applyBorder="1" applyAlignment="1">
      <alignment vertical="center"/>
    </xf>
    <xf numFmtId="44" fontId="8" fillId="0" borderId="11" xfId="0" applyNumberFormat="1" applyFont="1" applyFill="1" applyBorder="1" applyAlignment="1">
      <alignment vertical="center"/>
    </xf>
    <xf numFmtId="0" fontId="9" fillId="0" borderId="18" xfId="0" applyFont="1" applyFill="1" applyBorder="1" applyAlignment="1">
      <alignment vertical="center"/>
    </xf>
    <xf numFmtId="0" fontId="9" fillId="0" borderId="19" xfId="0" applyFont="1" applyFill="1" applyBorder="1" applyAlignment="1">
      <alignment vertical="center"/>
    </xf>
    <xf numFmtId="183" fontId="9" fillId="0" borderId="19" xfId="0" applyNumberFormat="1" applyFont="1" applyFill="1" applyBorder="1" applyAlignment="1">
      <alignment vertical="center"/>
    </xf>
    <xf numFmtId="0" fontId="8" fillId="0" borderId="0" xfId="0" applyFont="1" applyBorder="1" applyAlignment="1">
      <alignment vertical="center"/>
    </xf>
    <xf numFmtId="183" fontId="8" fillId="0" borderId="0" xfId="0" applyNumberFormat="1" applyFont="1" applyBorder="1" applyAlignment="1">
      <alignment vertical="center"/>
    </xf>
    <xf numFmtId="183" fontId="8" fillId="0" borderId="0" xfId="0" applyNumberFormat="1" applyFont="1" applyBorder="1" applyAlignment="1">
      <alignment horizontal="center" vertical="center"/>
    </xf>
    <xf numFmtId="170" fontId="0" fillId="0" borderId="0" xfId="52" applyFont="1" applyBorder="1" applyAlignment="1">
      <alignment vertical="center"/>
    </xf>
    <xf numFmtId="183" fontId="8" fillId="0" borderId="0" xfId="0" applyNumberFormat="1" applyFont="1" applyFill="1" applyBorder="1" applyAlignment="1">
      <alignment horizontal="center" vertical="center"/>
    </xf>
    <xf numFmtId="0" fontId="36" fillId="0" borderId="0" xfId="0" applyFont="1" applyBorder="1" applyAlignment="1">
      <alignment vertical="center"/>
    </xf>
    <xf numFmtId="170" fontId="36" fillId="0" borderId="0" xfId="52" applyFont="1" applyBorder="1" applyAlignment="1">
      <alignment vertical="center"/>
    </xf>
    <xf numFmtId="170" fontId="15" fillId="0" borderId="0" xfId="52" applyFont="1" applyFill="1" applyAlignment="1">
      <alignment vertical="center"/>
    </xf>
    <xf numFmtId="170" fontId="5" fillId="0" borderId="0" xfId="52" applyFont="1" applyBorder="1" applyAlignment="1">
      <alignment vertical="center"/>
    </xf>
    <xf numFmtId="183" fontId="5" fillId="0" borderId="0" xfId="0" applyNumberFormat="1" applyFont="1" applyFill="1" applyBorder="1" applyAlignment="1">
      <alignment horizontal="center" vertical="center"/>
    </xf>
    <xf numFmtId="180" fontId="6" fillId="0" borderId="0" xfId="0" applyNumberFormat="1" applyFont="1" applyBorder="1" applyAlignment="1">
      <alignment vertical="center"/>
    </xf>
    <xf numFmtId="180" fontId="15" fillId="0" borderId="0" xfId="0" applyNumberFormat="1" applyFont="1" applyBorder="1" applyAlignment="1">
      <alignment vertical="center"/>
    </xf>
    <xf numFmtId="170" fontId="15" fillId="0" borderId="0" xfId="52" applyFont="1" applyBorder="1" applyAlignment="1">
      <alignment vertical="center"/>
    </xf>
    <xf numFmtId="180" fontId="22" fillId="0" borderId="0" xfId="0" applyNumberFormat="1" applyFont="1" applyBorder="1" applyAlignment="1">
      <alignment vertical="center"/>
    </xf>
    <xf numFmtId="183" fontId="9" fillId="32" borderId="20" xfId="0" applyNumberFormat="1" applyFont="1" applyFill="1" applyBorder="1" applyAlignment="1">
      <alignment vertical="center"/>
    </xf>
    <xf numFmtId="183" fontId="9" fillId="0" borderId="0" xfId="0" applyNumberFormat="1" applyFont="1" applyBorder="1" applyAlignment="1">
      <alignment horizontal="center" vertical="center"/>
    </xf>
    <xf numFmtId="183" fontId="9" fillId="0" borderId="0" xfId="0" applyNumberFormat="1" applyFont="1" applyBorder="1" applyAlignment="1">
      <alignment vertical="center"/>
    </xf>
    <xf numFmtId="0" fontId="37" fillId="0" borderId="0" xfId="0" applyFont="1" applyBorder="1" applyAlignment="1">
      <alignment vertical="center"/>
    </xf>
    <xf numFmtId="170" fontId="37" fillId="0" borderId="0" xfId="52" applyFont="1" applyBorder="1" applyAlignment="1">
      <alignment vertical="center"/>
    </xf>
    <xf numFmtId="183" fontId="8" fillId="0" borderId="0" xfId="0" applyNumberFormat="1" applyFont="1" applyFill="1" applyBorder="1" applyAlignment="1">
      <alignment horizontal="left" vertical="center"/>
    </xf>
    <xf numFmtId="0" fontId="36" fillId="0" borderId="0" xfId="0" applyFont="1" applyFill="1" applyBorder="1" applyAlignment="1">
      <alignment horizontal="left" vertical="center"/>
    </xf>
    <xf numFmtId="170" fontId="36" fillId="0" borderId="0" xfId="52" applyFont="1" applyFill="1" applyBorder="1" applyAlignment="1">
      <alignment horizontal="left" vertical="center"/>
    </xf>
    <xf numFmtId="170" fontId="5" fillId="0" borderId="0" xfId="52" applyFont="1" applyFill="1" applyBorder="1" applyAlignment="1">
      <alignment vertical="center"/>
    </xf>
    <xf numFmtId="170" fontId="1" fillId="0" borderId="0" xfId="52" applyFont="1" applyBorder="1" applyAlignment="1">
      <alignment vertical="center"/>
    </xf>
    <xf numFmtId="0" fontId="6" fillId="0" borderId="0" xfId="0" applyFont="1" applyFill="1" applyBorder="1" applyAlignment="1">
      <alignment horizontal="left" vertical="center"/>
    </xf>
    <xf numFmtId="183" fontId="9" fillId="33" borderId="20" xfId="0" applyNumberFormat="1" applyFont="1" applyFill="1" applyBorder="1" applyAlignment="1">
      <alignment vertical="center"/>
    </xf>
    <xf numFmtId="183" fontId="9" fillId="0" borderId="0" xfId="0" applyNumberFormat="1" applyFont="1" applyFill="1" applyBorder="1" applyAlignment="1">
      <alignment vertical="center"/>
    </xf>
    <xf numFmtId="170" fontId="1" fillId="0" borderId="0" xfId="52" applyFont="1" applyFill="1" applyBorder="1" applyAlignment="1">
      <alignment vertical="center"/>
    </xf>
    <xf numFmtId="183" fontId="9" fillId="0" borderId="0" xfId="0" applyNumberFormat="1" applyFont="1" applyFill="1" applyBorder="1" applyAlignment="1">
      <alignment horizontal="center" vertical="center"/>
    </xf>
    <xf numFmtId="183" fontId="8" fillId="0" borderId="0" xfId="0" applyNumberFormat="1" applyFont="1" applyFill="1" applyBorder="1" applyAlignment="1">
      <alignment vertical="center"/>
    </xf>
    <xf numFmtId="0" fontId="38" fillId="0" borderId="0" xfId="0" applyFont="1" applyAlignment="1">
      <alignment vertical="center"/>
    </xf>
    <xf numFmtId="183" fontId="8" fillId="0" borderId="11" xfId="0" applyNumberFormat="1" applyFont="1" applyFill="1" applyBorder="1" applyAlignment="1">
      <alignment vertical="center"/>
    </xf>
    <xf numFmtId="0" fontId="39" fillId="0" borderId="0" xfId="0" applyFont="1" applyBorder="1" applyAlignment="1">
      <alignment vertical="center"/>
    </xf>
    <xf numFmtId="170" fontId="39" fillId="0" borderId="0" xfId="52" applyFont="1" applyBorder="1" applyAlignment="1">
      <alignment vertical="center"/>
    </xf>
    <xf numFmtId="170" fontId="0" fillId="0" borderId="0" xfId="52" applyFont="1" applyFill="1" applyBorder="1" applyAlignment="1">
      <alignment horizontal="left" vertical="center"/>
    </xf>
    <xf numFmtId="183" fontId="13" fillId="0" borderId="0" xfId="0" applyNumberFormat="1" applyFont="1" applyBorder="1" applyAlignment="1">
      <alignment vertical="center"/>
    </xf>
    <xf numFmtId="0" fontId="22" fillId="0" borderId="0" xfId="0" applyFont="1" applyBorder="1" applyAlignment="1">
      <alignment vertical="center"/>
    </xf>
    <xf numFmtId="170" fontId="22" fillId="0" borderId="0" xfId="52" applyFont="1" applyBorder="1" applyAlignment="1">
      <alignment vertical="center"/>
    </xf>
    <xf numFmtId="183" fontId="8" fillId="0" borderId="0" xfId="0" applyNumberFormat="1" applyFont="1" applyBorder="1" applyAlignment="1">
      <alignment horizontal="left" vertical="center"/>
    </xf>
    <xf numFmtId="183" fontId="9" fillId="0" borderId="0" xfId="0" applyNumberFormat="1" applyFont="1" applyBorder="1" applyAlignment="1">
      <alignment horizontal="left" vertical="center"/>
    </xf>
    <xf numFmtId="183" fontId="0" fillId="0" borderId="0" xfId="0" applyNumberFormat="1" applyBorder="1" applyAlignment="1">
      <alignment vertical="center"/>
    </xf>
    <xf numFmtId="0" fontId="16" fillId="0" borderId="0" xfId="0" applyFont="1" applyBorder="1" applyAlignment="1">
      <alignment vertical="center"/>
    </xf>
    <xf numFmtId="183" fontId="1" fillId="0" borderId="17" xfId="0" applyNumberFormat="1" applyFont="1" applyFill="1" applyBorder="1" applyAlignment="1">
      <alignment vertical="center"/>
    </xf>
    <xf numFmtId="183" fontId="1" fillId="0" borderId="11" xfId="0" applyNumberFormat="1" applyFont="1" applyFill="1" applyBorder="1" applyAlignment="1">
      <alignment vertical="center"/>
    </xf>
    <xf numFmtId="170" fontId="0" fillId="0" borderId="0" xfId="52" applyFont="1" applyFill="1" applyBorder="1" applyAlignment="1">
      <alignment vertical="center"/>
    </xf>
    <xf numFmtId="183" fontId="1" fillId="0" borderId="16" xfId="0" applyNumberFormat="1" applyFont="1" applyFill="1" applyBorder="1" applyAlignment="1">
      <alignment vertical="center"/>
    </xf>
    <xf numFmtId="183" fontId="5" fillId="0" borderId="11" xfId="0" applyNumberFormat="1" applyFont="1" applyFill="1" applyBorder="1" applyAlignment="1">
      <alignment vertical="center"/>
    </xf>
    <xf numFmtId="0" fontId="8" fillId="0" borderId="12" xfId="0" applyFont="1" applyFill="1" applyBorder="1" applyAlignment="1">
      <alignment vertical="center"/>
    </xf>
    <xf numFmtId="180" fontId="0" fillId="0" borderId="0" xfId="0" applyNumberFormat="1" applyFill="1" applyBorder="1" applyAlignment="1">
      <alignment vertical="center"/>
    </xf>
    <xf numFmtId="183" fontId="0" fillId="0" borderId="0" xfId="0" applyNumberFormat="1" applyFill="1" applyBorder="1" applyAlignment="1">
      <alignment vertical="center"/>
    </xf>
    <xf numFmtId="183" fontId="14" fillId="0" borderId="0" xfId="0" applyNumberFormat="1" applyFont="1" applyFill="1" applyBorder="1" applyAlignment="1">
      <alignment vertical="center"/>
    </xf>
    <xf numFmtId="183" fontId="0" fillId="0" borderId="0" xfId="0" applyNumberFormat="1" applyFont="1" applyFill="1" applyBorder="1" applyAlignment="1">
      <alignment horizontal="left" vertical="center"/>
    </xf>
    <xf numFmtId="183" fontId="39" fillId="0" borderId="0" xfId="0" applyNumberFormat="1" applyFont="1" applyFill="1" applyBorder="1" applyAlignment="1">
      <alignment vertical="center"/>
    </xf>
    <xf numFmtId="0" fontId="8" fillId="0" borderId="0" xfId="0" applyFont="1" applyAlignment="1">
      <alignment vertical="center"/>
    </xf>
    <xf numFmtId="0" fontId="19" fillId="0" borderId="0" xfId="0" applyFont="1" applyBorder="1" applyAlignment="1">
      <alignment vertical="center"/>
    </xf>
    <xf numFmtId="170" fontId="19" fillId="0" borderId="0" xfId="52" applyFont="1" applyBorder="1" applyAlignment="1">
      <alignment vertical="center"/>
    </xf>
    <xf numFmtId="183" fontId="8" fillId="0" borderId="13" xfId="0" applyNumberFormat="1" applyFont="1" applyFill="1" applyBorder="1" applyAlignment="1">
      <alignment vertical="center"/>
    </xf>
    <xf numFmtId="0" fontId="9" fillId="0" borderId="0" xfId="0" applyFont="1" applyFill="1" applyAlignment="1">
      <alignment vertical="center"/>
    </xf>
    <xf numFmtId="183" fontId="9" fillId="0" borderId="0" xfId="0" applyNumberFormat="1" applyFont="1" applyFill="1" applyAlignment="1">
      <alignment vertical="center"/>
    </xf>
    <xf numFmtId="183" fontId="9" fillId="0" borderId="0" xfId="0" applyNumberFormat="1" applyFont="1" applyFill="1" applyAlignment="1">
      <alignment horizontal="right" vertical="center"/>
    </xf>
    <xf numFmtId="183" fontId="8" fillId="0" borderId="0" xfId="0" applyNumberFormat="1" applyFont="1" applyFill="1" applyAlignment="1">
      <alignment vertical="center"/>
    </xf>
    <xf numFmtId="183" fontId="9" fillId="0" borderId="0" xfId="0" applyNumberFormat="1" applyFont="1" applyFill="1" applyBorder="1" applyAlignment="1">
      <alignment horizontal="right" vertical="center"/>
    </xf>
    <xf numFmtId="0" fontId="9" fillId="0" borderId="0" xfId="0" applyFont="1" applyFill="1" applyBorder="1" applyAlignment="1">
      <alignment vertical="center"/>
    </xf>
    <xf numFmtId="0" fontId="6" fillId="0" borderId="0" xfId="0" applyFont="1" applyFill="1" applyAlignment="1">
      <alignment vertical="center"/>
    </xf>
    <xf numFmtId="44" fontId="8" fillId="0" borderId="0" xfId="0" applyNumberFormat="1" applyFont="1" applyAlignment="1">
      <alignment horizontal="center" vertical="center"/>
    </xf>
    <xf numFmtId="170" fontId="0" fillId="0" borderId="0" xfId="52" applyFont="1" applyAlignment="1">
      <alignment vertical="center"/>
    </xf>
    <xf numFmtId="44" fontId="8" fillId="0" borderId="0" xfId="0" applyNumberFormat="1" applyFont="1" applyAlignment="1">
      <alignment vertical="center"/>
    </xf>
    <xf numFmtId="0" fontId="1" fillId="0" borderId="0" xfId="0" applyFont="1" applyAlignment="1">
      <alignment horizontal="left" vertical="center"/>
    </xf>
    <xf numFmtId="0" fontId="5" fillId="0" borderId="0" xfId="0" applyFont="1" applyAlignment="1">
      <alignment horizontal="left" vertical="center"/>
    </xf>
    <xf numFmtId="183" fontId="5" fillId="0" borderId="0" xfId="0" applyNumberFormat="1" applyFont="1" applyAlignment="1">
      <alignment horizontal="left" vertical="center"/>
    </xf>
    <xf numFmtId="9" fontId="5" fillId="0" borderId="0" xfId="0" applyNumberFormat="1" applyFont="1" applyFill="1" applyBorder="1" applyAlignment="1">
      <alignment horizontal="right" vertical="center"/>
    </xf>
    <xf numFmtId="0" fontId="5" fillId="0" borderId="0" xfId="0" applyFont="1" applyFill="1" applyAlignment="1">
      <alignment horizontal="left" vertical="center"/>
    </xf>
    <xf numFmtId="9" fontId="5" fillId="0" borderId="0" xfId="0" applyNumberFormat="1" applyFont="1" applyBorder="1" applyAlignment="1">
      <alignment horizontal="right" vertical="center"/>
    </xf>
    <xf numFmtId="180" fontId="5" fillId="0" borderId="0" xfId="0" applyNumberFormat="1" applyFont="1" applyBorder="1" applyAlignment="1">
      <alignment horizontal="left" vertical="center"/>
    </xf>
    <xf numFmtId="183" fontId="1" fillId="0" borderId="0" xfId="0" applyNumberFormat="1" applyFont="1" applyFill="1" applyAlignment="1">
      <alignment horizontal="left" vertical="center"/>
    </xf>
    <xf numFmtId="0" fontId="1" fillId="0" borderId="0" xfId="0" applyFont="1" applyFill="1" applyAlignment="1">
      <alignment horizontal="left" vertical="center"/>
    </xf>
    <xf numFmtId="0" fontId="1" fillId="0" borderId="0" xfId="0" applyFont="1" applyBorder="1" applyAlignment="1">
      <alignment horizontal="left" vertical="center"/>
    </xf>
    <xf numFmtId="0" fontId="1" fillId="0" borderId="0" xfId="0" applyFont="1" applyFill="1" applyBorder="1" applyAlignment="1">
      <alignment horizontal="left" vertical="center"/>
    </xf>
    <xf numFmtId="4" fontId="1" fillId="0" borderId="0" xfId="0" applyNumberFormat="1" applyFont="1" applyBorder="1" applyAlignment="1">
      <alignment horizontal="right" vertical="center"/>
    </xf>
    <xf numFmtId="4" fontId="1" fillId="0" borderId="0" xfId="0" applyNumberFormat="1" applyFont="1" applyFill="1" applyBorder="1" applyAlignment="1">
      <alignment horizontal="right" vertical="center"/>
    </xf>
    <xf numFmtId="4" fontId="2" fillId="0" borderId="0" xfId="0" applyNumberFormat="1" applyFont="1" applyBorder="1" applyAlignment="1">
      <alignment horizontal="right" vertical="center"/>
    </xf>
    <xf numFmtId="9" fontId="6" fillId="0" borderId="0" xfId="0" applyNumberFormat="1" applyFont="1" applyBorder="1" applyAlignment="1">
      <alignment vertical="center"/>
    </xf>
    <xf numFmtId="4" fontId="13" fillId="0" borderId="0" xfId="0" applyNumberFormat="1" applyFont="1" applyFill="1" applyBorder="1" applyAlignment="1">
      <alignment horizontal="left" vertical="center"/>
    </xf>
    <xf numFmtId="4" fontId="1" fillId="0" borderId="0" xfId="0" applyNumberFormat="1" applyFont="1" applyFill="1" applyBorder="1" applyAlignment="1">
      <alignment horizontal="left" vertical="center"/>
    </xf>
    <xf numFmtId="9" fontId="5" fillId="0" borderId="0" xfId="0" applyNumberFormat="1" applyFont="1" applyFill="1" applyBorder="1" applyAlignment="1">
      <alignment horizontal="left" vertical="center"/>
    </xf>
    <xf numFmtId="183" fontId="13" fillId="0" borderId="0" xfId="0" applyNumberFormat="1" applyFont="1" applyFill="1" applyBorder="1" applyAlignment="1">
      <alignment horizontal="left" vertical="center"/>
    </xf>
    <xf numFmtId="180" fontId="5" fillId="0" borderId="0" xfId="0" applyNumberFormat="1" applyFont="1" applyFill="1" applyBorder="1" applyAlignment="1">
      <alignment horizontal="right" vertical="center"/>
    </xf>
    <xf numFmtId="9" fontId="5" fillId="0" borderId="0" xfId="0" applyNumberFormat="1" applyFont="1" applyFill="1" applyBorder="1" applyAlignment="1">
      <alignment vertical="center"/>
    </xf>
    <xf numFmtId="0" fontId="13" fillId="0" borderId="0" xfId="0" applyFont="1" applyBorder="1" applyAlignment="1">
      <alignment/>
    </xf>
    <xf numFmtId="9" fontId="5" fillId="0" borderId="0" xfId="0" applyNumberFormat="1" applyFont="1" applyBorder="1" applyAlignment="1">
      <alignment vertical="center"/>
    </xf>
    <xf numFmtId="183" fontId="13" fillId="0" borderId="0" xfId="0" applyNumberFormat="1" applyFont="1" applyFill="1" applyAlignment="1">
      <alignment vertical="center"/>
    </xf>
    <xf numFmtId="9" fontId="1" fillId="0" borderId="0" xfId="0" applyNumberFormat="1" applyFont="1" applyAlignment="1">
      <alignment vertical="center"/>
    </xf>
    <xf numFmtId="9" fontId="5" fillId="0" borderId="0" xfId="0" applyNumberFormat="1" applyFont="1" applyAlignment="1">
      <alignment horizontal="left" vertical="center"/>
    </xf>
    <xf numFmtId="9" fontId="1" fillId="0" borderId="0" xfId="0" applyNumberFormat="1" applyFont="1" applyFill="1" applyAlignment="1">
      <alignment horizontal="left" vertical="center"/>
    </xf>
    <xf numFmtId="9" fontId="6" fillId="0" borderId="0" xfId="0" applyNumberFormat="1" applyFont="1" applyFill="1" applyBorder="1" applyAlignment="1">
      <alignment vertical="center"/>
    </xf>
    <xf numFmtId="9" fontId="13" fillId="0" borderId="0" xfId="0" applyNumberFormat="1" applyFont="1" applyFill="1" applyBorder="1" applyAlignment="1">
      <alignment vertical="center"/>
    </xf>
    <xf numFmtId="183" fontId="14" fillId="0" borderId="0" xfId="0" applyNumberFormat="1" applyFont="1" applyFill="1" applyAlignment="1">
      <alignment vertical="center"/>
    </xf>
    <xf numFmtId="0" fontId="13" fillId="0" borderId="0" xfId="0" applyFont="1" applyFill="1" applyAlignment="1">
      <alignment vertical="center"/>
    </xf>
    <xf numFmtId="4" fontId="13" fillId="0" borderId="0" xfId="0" applyNumberFormat="1" applyFont="1" applyFill="1" applyAlignment="1">
      <alignment horizontal="center" vertical="center"/>
    </xf>
    <xf numFmtId="180" fontId="14" fillId="0" borderId="0" xfId="0" applyNumberFormat="1" applyFont="1" applyFill="1" applyBorder="1" applyAlignment="1">
      <alignment vertical="center"/>
    </xf>
    <xf numFmtId="4" fontId="13" fillId="0" borderId="0" xfId="0" applyNumberFormat="1" applyFont="1" applyFill="1" applyBorder="1" applyAlignment="1">
      <alignment horizontal="center" vertical="center"/>
    </xf>
    <xf numFmtId="183" fontId="5" fillId="0" borderId="0" xfId="0" applyNumberFormat="1" applyFont="1" applyFill="1" applyAlignment="1">
      <alignment horizontal="left" vertical="center"/>
    </xf>
    <xf numFmtId="183" fontId="13" fillId="0" borderId="0" xfId="0" applyNumberFormat="1" applyFont="1" applyFill="1" applyAlignment="1">
      <alignment horizontal="left" vertical="center"/>
    </xf>
    <xf numFmtId="183" fontId="5" fillId="0" borderId="13" xfId="0" applyNumberFormat="1" applyFont="1" applyFill="1" applyBorder="1" applyAlignment="1">
      <alignment vertical="center"/>
    </xf>
    <xf numFmtId="183" fontId="5" fillId="0" borderId="16" xfId="0" applyNumberFormat="1" applyFont="1" applyFill="1" applyBorder="1" applyAlignment="1">
      <alignment vertical="center"/>
    </xf>
    <xf numFmtId="183" fontId="23" fillId="0" borderId="0" xfId="0" applyNumberFormat="1" applyFont="1" applyFill="1" applyBorder="1" applyAlignment="1">
      <alignment vertical="center"/>
    </xf>
    <xf numFmtId="183" fontId="6" fillId="5" borderId="20" xfId="0" applyNumberFormat="1" applyFont="1" applyFill="1" applyBorder="1" applyAlignment="1">
      <alignment vertical="center"/>
    </xf>
    <xf numFmtId="183" fontId="6" fillId="34" borderId="20" xfId="0" applyNumberFormat="1" applyFont="1" applyFill="1" applyBorder="1" applyAlignment="1">
      <alignment vertical="center"/>
    </xf>
    <xf numFmtId="183" fontId="14" fillId="0" borderId="0" xfId="0" applyNumberFormat="1" applyFont="1" applyBorder="1" applyAlignment="1">
      <alignment vertical="center"/>
    </xf>
    <xf numFmtId="0" fontId="14" fillId="0" borderId="0" xfId="0" applyFont="1" applyBorder="1" applyAlignment="1">
      <alignment vertical="center"/>
    </xf>
    <xf numFmtId="183" fontId="14" fillId="0" borderId="0" xfId="0" applyNumberFormat="1" applyFont="1" applyAlignment="1">
      <alignment vertical="center"/>
    </xf>
    <xf numFmtId="183" fontId="2" fillId="0" borderId="0" xfId="0" applyNumberFormat="1" applyFont="1" applyBorder="1" applyAlignment="1">
      <alignment vertical="center"/>
    </xf>
    <xf numFmtId="0" fontId="40" fillId="0" borderId="0" xfId="0" applyFont="1" applyFill="1" applyBorder="1" applyAlignment="1">
      <alignment vertical="center"/>
    </xf>
    <xf numFmtId="183" fontId="40" fillId="0" borderId="0" xfId="0" applyNumberFormat="1" applyFont="1" applyFill="1" applyBorder="1" applyAlignment="1">
      <alignment vertical="center"/>
    </xf>
    <xf numFmtId="183" fontId="40" fillId="0" borderId="0" xfId="0" applyNumberFormat="1" applyFont="1" applyFill="1" applyBorder="1" applyAlignment="1">
      <alignment horizontal="right" vertical="center"/>
    </xf>
    <xf numFmtId="0" fontId="40" fillId="0" borderId="0" xfId="0" applyFont="1" applyFill="1" applyBorder="1" applyAlignment="1">
      <alignment horizontal="right" vertical="center"/>
    </xf>
    <xf numFmtId="9" fontId="40" fillId="0" borderId="0" xfId="0" applyNumberFormat="1" applyFont="1" applyFill="1" applyBorder="1" applyAlignment="1">
      <alignment vertical="center"/>
    </xf>
    <xf numFmtId="9" fontId="1" fillId="0" borderId="0" xfId="0" applyNumberFormat="1" applyFont="1" applyFill="1" applyBorder="1" applyAlignment="1">
      <alignment vertical="center"/>
    </xf>
    <xf numFmtId="183" fontId="1" fillId="0" borderId="0" xfId="0" applyNumberFormat="1" applyFont="1" applyFill="1" applyBorder="1" applyAlignment="1">
      <alignment horizontal="right" vertical="center"/>
    </xf>
    <xf numFmtId="183" fontId="5" fillId="0" borderId="13" xfId="0" applyNumberFormat="1" applyFont="1" applyFill="1" applyBorder="1" applyAlignment="1">
      <alignment horizontal="right" vertical="center"/>
    </xf>
    <xf numFmtId="4" fontId="5" fillId="0" borderId="0" xfId="0" applyNumberFormat="1" applyFont="1" applyFill="1" applyBorder="1" applyAlignment="1">
      <alignment vertical="center"/>
    </xf>
    <xf numFmtId="4" fontId="5" fillId="0" borderId="0" xfId="0" applyNumberFormat="1" applyFont="1" applyFill="1" applyBorder="1" applyAlignment="1">
      <alignment horizontal="right" vertical="center"/>
    </xf>
    <xf numFmtId="4" fontId="6" fillId="0" borderId="0" xfId="0" applyNumberFormat="1" applyFont="1" applyFill="1" applyBorder="1" applyAlignment="1">
      <alignment horizontal="right" vertical="center"/>
    </xf>
    <xf numFmtId="4" fontId="6" fillId="0" borderId="0" xfId="0" applyNumberFormat="1" applyFont="1" applyBorder="1" applyAlignment="1">
      <alignment horizontal="right" vertical="center"/>
    </xf>
    <xf numFmtId="4" fontId="5"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5" fillId="0" borderId="0" xfId="0" applyNumberFormat="1" applyFont="1" applyFill="1" applyBorder="1" applyAlignment="1">
      <alignment horizontal="left" vertical="center"/>
    </xf>
    <xf numFmtId="4" fontId="1" fillId="0" borderId="0" xfId="0" applyNumberFormat="1" applyFont="1" applyFill="1" applyAlignment="1">
      <alignment horizontal="right" vertical="center"/>
    </xf>
    <xf numFmtId="9" fontId="1" fillId="0" borderId="0" xfId="0" applyNumberFormat="1" applyFont="1" applyFill="1" applyAlignment="1">
      <alignment vertical="center"/>
    </xf>
    <xf numFmtId="4" fontId="1" fillId="0" borderId="0" xfId="0" applyNumberFormat="1" applyFont="1" applyFill="1" applyAlignment="1">
      <alignment horizontal="left" vertical="center"/>
    </xf>
    <xf numFmtId="9" fontId="5" fillId="0" borderId="0" xfId="0" applyNumberFormat="1" applyFont="1" applyFill="1" applyBorder="1" applyAlignment="1">
      <alignment horizontal="center" vertical="center"/>
    </xf>
    <xf numFmtId="0" fontId="2" fillId="0" borderId="0" xfId="0" applyFont="1" applyBorder="1" applyAlignment="1">
      <alignment/>
    </xf>
    <xf numFmtId="4" fontId="2" fillId="0" borderId="0" xfId="0" applyNumberFormat="1" applyFont="1" applyBorder="1" applyAlignment="1">
      <alignment horizontal="left" vertical="center"/>
    </xf>
    <xf numFmtId="9" fontId="1" fillId="0" borderId="0" xfId="0" applyNumberFormat="1" applyFont="1" applyBorder="1" applyAlignment="1">
      <alignment vertical="center"/>
    </xf>
    <xf numFmtId="183" fontId="5" fillId="0" borderId="0" xfId="0" applyNumberFormat="1" applyFont="1" applyFill="1" applyAlignment="1">
      <alignment horizontal="center" vertical="center"/>
    </xf>
    <xf numFmtId="4" fontId="1" fillId="0" borderId="0" xfId="0" applyNumberFormat="1" applyFont="1" applyAlignment="1">
      <alignment horizontal="right" vertical="center"/>
    </xf>
    <xf numFmtId="0" fontId="13" fillId="0" borderId="0" xfId="0" applyFont="1" applyFill="1" applyBorder="1" applyAlignment="1">
      <alignment vertical="center"/>
    </xf>
    <xf numFmtId="183" fontId="13" fillId="0" borderId="0" xfId="0" applyNumberFormat="1" applyFont="1" applyFill="1" applyBorder="1" applyAlignment="1">
      <alignment vertical="center"/>
    </xf>
    <xf numFmtId="0" fontId="40" fillId="0" borderId="0" xfId="0" applyFont="1" applyBorder="1" applyAlignment="1">
      <alignment vertical="center"/>
    </xf>
    <xf numFmtId="4" fontId="5" fillId="0" borderId="0" xfId="0" applyNumberFormat="1" applyFont="1" applyAlignment="1">
      <alignment horizontal="right" vertical="center"/>
    </xf>
    <xf numFmtId="4" fontId="5" fillId="0" borderId="0" xfId="0" applyNumberFormat="1" applyFont="1" applyFill="1" applyAlignment="1">
      <alignment horizontal="right" vertical="center"/>
    </xf>
    <xf numFmtId="9" fontId="5" fillId="0" borderId="0" xfId="0" applyNumberFormat="1" applyFont="1" applyAlignment="1">
      <alignment vertical="center"/>
    </xf>
    <xf numFmtId="0" fontId="1" fillId="0" borderId="0" xfId="0" applyFont="1" applyFill="1" applyAlignment="1">
      <alignment horizontal="right" vertical="center"/>
    </xf>
    <xf numFmtId="183" fontId="5" fillId="0" borderId="15" xfId="0" applyNumberFormat="1" applyFont="1" applyFill="1" applyBorder="1" applyAlignment="1">
      <alignment vertical="center"/>
    </xf>
    <xf numFmtId="183" fontId="5" fillId="0" borderId="15" xfId="0" applyNumberFormat="1" applyFont="1" applyFill="1" applyBorder="1" applyAlignment="1">
      <alignment horizontal="right" vertical="center"/>
    </xf>
    <xf numFmtId="183" fontId="5" fillId="0" borderId="17" xfId="0" applyNumberFormat="1" applyFont="1" applyFill="1" applyBorder="1" applyAlignment="1">
      <alignment vertical="center"/>
    </xf>
    <xf numFmtId="188" fontId="1" fillId="0" borderId="0" xfId="0" applyNumberFormat="1" applyFont="1" applyBorder="1" applyAlignment="1">
      <alignment vertical="center"/>
    </xf>
    <xf numFmtId="0" fontId="13" fillId="0" borderId="0" xfId="0" applyFont="1" applyBorder="1" applyAlignment="1">
      <alignment vertical="center"/>
    </xf>
    <xf numFmtId="0" fontId="5" fillId="0" borderId="0" xfId="0" applyFont="1" applyFill="1" applyBorder="1" applyAlignment="1">
      <alignment horizontal="center" vertical="center"/>
    </xf>
    <xf numFmtId="189" fontId="5" fillId="0" borderId="0" xfId="0" applyNumberFormat="1" applyFont="1" applyBorder="1" applyAlignment="1">
      <alignment vertical="center"/>
    </xf>
    <xf numFmtId="4" fontId="1" fillId="0" borderId="0" xfId="0" applyNumberFormat="1" applyFont="1" applyFill="1" applyBorder="1" applyAlignment="1">
      <alignment vertical="center"/>
    </xf>
    <xf numFmtId="0" fontId="5" fillId="0" borderId="0" xfId="0" applyFont="1" applyFill="1" applyAlignment="1">
      <alignment horizontal="right" vertical="center"/>
    </xf>
    <xf numFmtId="9" fontId="5" fillId="0" borderId="0" xfId="0" applyNumberFormat="1" applyFont="1" applyFill="1" applyAlignment="1">
      <alignment vertical="center"/>
    </xf>
    <xf numFmtId="183" fontId="5" fillId="0" borderId="0" xfId="0" applyNumberFormat="1" applyFont="1" applyFill="1" applyAlignment="1">
      <alignment horizontal="right" vertical="center"/>
    </xf>
    <xf numFmtId="9" fontId="6" fillId="0" borderId="0" xfId="0" applyNumberFormat="1" applyFont="1" applyFill="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183" fontId="6" fillId="0" borderId="15" xfId="0" applyNumberFormat="1" applyFont="1" applyFill="1" applyBorder="1" applyAlignment="1">
      <alignment vertical="center"/>
    </xf>
    <xf numFmtId="9" fontId="1" fillId="0" borderId="0" xfId="0" applyNumberFormat="1" applyFont="1" applyFill="1" applyBorder="1" applyAlignment="1">
      <alignment horizontal="right" vertical="center"/>
    </xf>
    <xf numFmtId="9" fontId="1" fillId="0" borderId="0" xfId="0" applyNumberFormat="1" applyFont="1" applyFill="1" applyBorder="1" applyAlignment="1">
      <alignment horizontal="left" vertical="center"/>
    </xf>
    <xf numFmtId="0" fontId="6" fillId="0" borderId="0" xfId="0" applyFont="1" applyAlignment="1">
      <alignment horizontal="right" vertical="center"/>
    </xf>
    <xf numFmtId="9" fontId="6" fillId="0" borderId="0" xfId="0" applyNumberFormat="1" applyFont="1" applyAlignment="1">
      <alignment vertical="center"/>
    </xf>
    <xf numFmtId="9" fontId="5" fillId="0" borderId="0" xfId="0" applyNumberFormat="1" applyFont="1" applyFill="1" applyAlignment="1">
      <alignment horizontal="left" vertical="center"/>
    </xf>
    <xf numFmtId="9" fontId="6" fillId="0" borderId="0" xfId="0" applyNumberFormat="1" applyFont="1" applyFill="1" applyBorder="1" applyAlignment="1">
      <alignment horizontal="center" vertical="center"/>
    </xf>
    <xf numFmtId="183" fontId="5" fillId="0" borderId="0" xfId="52" applyNumberFormat="1" applyFont="1" applyFill="1" applyAlignment="1">
      <alignment horizontal="right" vertical="center"/>
    </xf>
    <xf numFmtId="4" fontId="5" fillId="0" borderId="0" xfId="0" applyNumberFormat="1" applyFont="1" applyBorder="1" applyAlignment="1">
      <alignment horizontal="left" vertical="center"/>
    </xf>
    <xf numFmtId="9" fontId="1" fillId="0" borderId="0" xfId="0" applyNumberFormat="1" applyFont="1" applyBorder="1" applyAlignment="1">
      <alignment horizontal="right" vertical="center"/>
    </xf>
    <xf numFmtId="9" fontId="2" fillId="0" borderId="0" xfId="0" applyNumberFormat="1" applyFont="1" applyBorder="1" applyAlignment="1">
      <alignment horizontal="right" vertical="center"/>
    </xf>
    <xf numFmtId="189" fontId="13" fillId="0" borderId="0" xfId="0" applyNumberFormat="1" applyFont="1" applyBorder="1" applyAlignment="1">
      <alignment vertical="center"/>
    </xf>
    <xf numFmtId="4" fontId="6" fillId="0" borderId="0" xfId="0" applyNumberFormat="1" applyFont="1" applyBorder="1" applyAlignment="1">
      <alignment vertical="center"/>
    </xf>
    <xf numFmtId="180" fontId="5" fillId="0" borderId="13" xfId="0" applyNumberFormat="1" applyFont="1" applyFill="1" applyBorder="1" applyAlignment="1">
      <alignment vertical="center"/>
    </xf>
    <xf numFmtId="183" fontId="0" fillId="0" borderId="0" xfId="0" applyNumberFormat="1" applyAlignment="1">
      <alignment/>
    </xf>
    <xf numFmtId="0" fontId="99" fillId="0" borderId="0" xfId="0" applyFont="1" applyFill="1" applyAlignment="1">
      <alignment/>
    </xf>
    <xf numFmtId="3" fontId="5" fillId="0" borderId="0" xfId="0" applyNumberFormat="1" applyFont="1" applyBorder="1" applyAlignment="1">
      <alignment vertical="center"/>
    </xf>
    <xf numFmtId="0" fontId="6" fillId="0" borderId="0" xfId="0" applyFont="1" applyFill="1" applyBorder="1" applyAlignment="1">
      <alignment horizontal="center" vertical="center"/>
    </xf>
    <xf numFmtId="0" fontId="16" fillId="0" borderId="0" xfId="0" applyFont="1" applyFill="1" applyBorder="1" applyAlignment="1">
      <alignment horizontal="left" vertical="center"/>
    </xf>
    <xf numFmtId="0" fontId="4" fillId="0" borderId="0" xfId="0" applyFont="1" applyAlignment="1">
      <alignment/>
    </xf>
    <xf numFmtId="0" fontId="5" fillId="0" borderId="0" xfId="0" applyFont="1" applyAlignment="1">
      <alignment/>
    </xf>
    <xf numFmtId="9" fontId="5" fillId="0" borderId="0" xfId="57" applyFont="1" applyFill="1" applyBorder="1" applyAlignment="1">
      <alignment/>
    </xf>
    <xf numFmtId="0" fontId="5" fillId="0" borderId="14" xfId="0" applyFont="1" applyFill="1" applyBorder="1" applyAlignment="1">
      <alignment/>
    </xf>
    <xf numFmtId="183" fontId="13" fillId="0" borderId="0" xfId="0" applyNumberFormat="1" applyFont="1" applyFill="1" applyBorder="1" applyAlignment="1">
      <alignment/>
    </xf>
    <xf numFmtId="183" fontId="13" fillId="0" borderId="0" xfId="0" applyNumberFormat="1" applyFont="1" applyFill="1" applyBorder="1" applyAlignment="1">
      <alignment horizontal="left"/>
    </xf>
    <xf numFmtId="183" fontId="1" fillId="0" borderId="0" xfId="0" applyNumberFormat="1" applyFont="1" applyFill="1" applyBorder="1" applyAlignment="1">
      <alignment horizontal="right"/>
    </xf>
    <xf numFmtId="49" fontId="1" fillId="0" borderId="0" xfId="0" applyNumberFormat="1" applyFont="1" applyFill="1" applyBorder="1" applyAlignment="1">
      <alignment/>
    </xf>
    <xf numFmtId="0" fontId="6" fillId="0" borderId="13" xfId="0" applyFont="1" applyFill="1" applyBorder="1" applyAlignment="1">
      <alignment horizontal="center"/>
    </xf>
    <xf numFmtId="183" fontId="13" fillId="0" borderId="0" xfId="0" applyNumberFormat="1" applyFont="1" applyBorder="1" applyAlignment="1">
      <alignment/>
    </xf>
    <xf numFmtId="180" fontId="1" fillId="0" borderId="0" xfId="0" applyNumberFormat="1" applyFont="1" applyFill="1" applyBorder="1" applyAlignment="1">
      <alignment/>
    </xf>
    <xf numFmtId="180" fontId="6" fillId="0" borderId="0" xfId="0" applyNumberFormat="1" applyFont="1" applyFill="1" applyBorder="1" applyAlignment="1">
      <alignment/>
    </xf>
    <xf numFmtId="0" fontId="6" fillId="0" borderId="13" xfId="0" applyFont="1" applyFill="1" applyBorder="1" applyAlignment="1">
      <alignment vertical="center"/>
    </xf>
    <xf numFmtId="4" fontId="100" fillId="0" borderId="0" xfId="0" applyNumberFormat="1" applyFont="1" applyFill="1" applyAlignment="1">
      <alignment horizontal="left" vertical="center"/>
    </xf>
    <xf numFmtId="4" fontId="1" fillId="0" borderId="0" xfId="0" applyNumberFormat="1" applyFont="1" applyFill="1" applyAlignment="1">
      <alignment horizontal="center" vertical="center"/>
    </xf>
    <xf numFmtId="0" fontId="2" fillId="0" borderId="0" xfId="0" applyFont="1" applyFill="1" applyAlignment="1">
      <alignment vertical="center"/>
    </xf>
    <xf numFmtId="4" fontId="5" fillId="0" borderId="0" xfId="0" applyNumberFormat="1" applyFont="1" applyBorder="1" applyAlignment="1">
      <alignment horizontal="center" vertical="center"/>
    </xf>
    <xf numFmtId="4" fontId="5" fillId="0" borderId="0" xfId="0" applyNumberFormat="1" applyFont="1" applyFill="1" applyBorder="1" applyAlignment="1">
      <alignment horizontal="center" vertical="center"/>
    </xf>
    <xf numFmtId="4" fontId="1" fillId="0" borderId="0" xfId="0" applyNumberFormat="1" applyFont="1" applyAlignment="1">
      <alignment horizontal="center" vertical="center"/>
    </xf>
    <xf numFmtId="4" fontId="1" fillId="0" borderId="0" xfId="0" applyNumberFormat="1" applyFont="1" applyFill="1" applyBorder="1" applyAlignment="1">
      <alignment horizontal="center" vertical="center"/>
    </xf>
    <xf numFmtId="4" fontId="1" fillId="0" borderId="0" xfId="0" applyNumberFormat="1" applyFont="1" applyBorder="1" applyAlignment="1">
      <alignment horizontal="center" vertical="center"/>
    </xf>
    <xf numFmtId="4" fontId="13" fillId="0" borderId="0" xfId="0" applyNumberFormat="1" applyFont="1" applyFill="1" applyBorder="1" applyAlignment="1">
      <alignment horizontal="right" vertical="center"/>
    </xf>
    <xf numFmtId="4" fontId="13" fillId="0" borderId="0" xfId="0" applyNumberFormat="1" applyFont="1" applyBorder="1" applyAlignment="1">
      <alignment horizontal="left" vertical="center"/>
    </xf>
    <xf numFmtId="4" fontId="5" fillId="0" borderId="0" xfId="0" applyNumberFormat="1" applyFont="1" applyFill="1" applyBorder="1" applyAlignment="1">
      <alignment horizontal="left"/>
    </xf>
    <xf numFmtId="183" fontId="13" fillId="0" borderId="0" xfId="0" applyNumberFormat="1" applyFont="1" applyAlignment="1">
      <alignment vertical="center"/>
    </xf>
    <xf numFmtId="4" fontId="5" fillId="0" borderId="0" xfId="0" applyNumberFormat="1" applyFont="1" applyFill="1" applyAlignment="1">
      <alignment horizontal="center" vertical="center"/>
    </xf>
    <xf numFmtId="4" fontId="5" fillId="0" borderId="0" xfId="0" applyNumberFormat="1" applyFont="1" applyFill="1" applyBorder="1" applyAlignment="1">
      <alignment horizontal="center"/>
    </xf>
    <xf numFmtId="0" fontId="2" fillId="0" borderId="0" xfId="0" applyFont="1" applyAlignment="1">
      <alignment vertical="center"/>
    </xf>
    <xf numFmtId="4" fontId="1" fillId="0" borderId="0" xfId="0" applyNumberFormat="1" applyFont="1" applyFill="1" applyBorder="1" applyAlignment="1">
      <alignment horizontal="right"/>
    </xf>
    <xf numFmtId="190" fontId="13" fillId="0" borderId="0" xfId="0" applyNumberFormat="1" applyFont="1" applyBorder="1" applyAlignment="1">
      <alignment horizontal="left" vertical="center"/>
    </xf>
    <xf numFmtId="4" fontId="13" fillId="0" borderId="0" xfId="0" applyNumberFormat="1" applyFont="1" applyFill="1" applyBorder="1" applyAlignment="1">
      <alignment horizontal="right"/>
    </xf>
    <xf numFmtId="4" fontId="13" fillId="0" borderId="0" xfId="0" applyNumberFormat="1" applyFont="1" applyBorder="1" applyAlignment="1">
      <alignment horizontal="right"/>
    </xf>
    <xf numFmtId="4" fontId="13" fillId="0" borderId="0" xfId="0" applyNumberFormat="1" applyFont="1" applyBorder="1" applyAlignment="1">
      <alignment horizontal="right" vertical="center"/>
    </xf>
    <xf numFmtId="4" fontId="5" fillId="0" borderId="0" xfId="0" applyNumberFormat="1" applyFont="1" applyFill="1" applyBorder="1" applyAlignment="1">
      <alignment/>
    </xf>
    <xf numFmtId="4" fontId="1" fillId="0" borderId="0" xfId="0" applyNumberFormat="1" applyFont="1" applyFill="1" applyBorder="1" applyAlignment="1">
      <alignment horizontal="left"/>
    </xf>
    <xf numFmtId="4" fontId="1" fillId="0" borderId="0" xfId="0" applyNumberFormat="1" applyFont="1" applyBorder="1" applyAlignment="1">
      <alignment horizontal="right"/>
    </xf>
    <xf numFmtId="44" fontId="41" fillId="0" borderId="0" xfId="0" applyNumberFormat="1" applyFont="1" applyFill="1" applyBorder="1" applyAlignment="1">
      <alignment vertical="center"/>
    </xf>
    <xf numFmtId="183" fontId="41" fillId="0" borderId="0" xfId="0" applyNumberFormat="1" applyFont="1" applyFill="1" applyBorder="1" applyAlignment="1">
      <alignment vertical="center"/>
    </xf>
    <xf numFmtId="0" fontId="41" fillId="0" borderId="0" xfId="0" applyFont="1" applyFill="1" applyBorder="1" applyAlignment="1">
      <alignment horizontal="right" vertical="center"/>
    </xf>
    <xf numFmtId="180" fontId="42" fillId="0" borderId="0" xfId="0" applyNumberFormat="1" applyFont="1" applyFill="1" applyBorder="1" applyAlignment="1">
      <alignment/>
    </xf>
    <xf numFmtId="0" fontId="43" fillId="0" borderId="0" xfId="0" applyFont="1" applyFill="1" applyBorder="1" applyAlignment="1">
      <alignment horizontal="left"/>
    </xf>
    <xf numFmtId="0" fontId="42" fillId="0" borderId="0" xfId="0" applyFont="1" applyFill="1" applyBorder="1" applyAlignment="1">
      <alignment/>
    </xf>
    <xf numFmtId="0" fontId="3" fillId="0" borderId="0" xfId="0" applyFont="1" applyFill="1" applyBorder="1" applyAlignment="1">
      <alignment/>
    </xf>
    <xf numFmtId="0" fontId="41" fillId="0" borderId="0" xfId="0" applyFont="1" applyFill="1" applyBorder="1" applyAlignment="1">
      <alignment vertical="center"/>
    </xf>
    <xf numFmtId="44" fontId="6" fillId="0" borderId="0" xfId="0" applyNumberFormat="1" applyFont="1" applyFill="1" applyBorder="1" applyAlignment="1">
      <alignment horizontal="right" vertical="center"/>
    </xf>
    <xf numFmtId="9" fontId="5" fillId="0" borderId="0" xfId="0" applyNumberFormat="1" applyFont="1" applyAlignment="1">
      <alignment/>
    </xf>
    <xf numFmtId="183" fontId="6" fillId="0" borderId="0" xfId="0" applyNumberFormat="1" applyFont="1" applyFill="1" applyBorder="1" applyAlignment="1">
      <alignment horizontal="left" vertical="center"/>
    </xf>
    <xf numFmtId="4" fontId="5" fillId="0" borderId="0" xfId="0" applyNumberFormat="1" applyFont="1" applyFill="1" applyBorder="1" applyAlignment="1">
      <alignment horizontal="right"/>
    </xf>
    <xf numFmtId="9" fontId="5" fillId="0" borderId="0" xfId="0" applyNumberFormat="1" applyFont="1" applyFill="1" applyBorder="1" applyAlignment="1">
      <alignment/>
    </xf>
    <xf numFmtId="9" fontId="1" fillId="0" borderId="0" xfId="0" applyNumberFormat="1" applyFont="1" applyFill="1" applyBorder="1" applyAlignment="1">
      <alignment/>
    </xf>
    <xf numFmtId="4" fontId="5" fillId="0" borderId="0" xfId="0" applyNumberFormat="1" applyFont="1" applyBorder="1" applyAlignment="1">
      <alignment horizontal="right"/>
    </xf>
    <xf numFmtId="9" fontId="5" fillId="0" borderId="0" xfId="0" applyNumberFormat="1" applyFont="1" applyBorder="1" applyAlignment="1">
      <alignment/>
    </xf>
    <xf numFmtId="9" fontId="1" fillId="0" borderId="0" xfId="0" applyNumberFormat="1" applyFont="1" applyBorder="1" applyAlignment="1">
      <alignment/>
    </xf>
    <xf numFmtId="0" fontId="5" fillId="0" borderId="15" xfId="0" applyFont="1" applyFill="1" applyBorder="1" applyAlignment="1">
      <alignment horizontal="right" vertical="center"/>
    </xf>
    <xf numFmtId="0" fontId="5" fillId="0" borderId="13" xfId="0" applyFont="1" applyFill="1" applyBorder="1" applyAlignment="1">
      <alignment horizontal="right" vertical="center"/>
    </xf>
    <xf numFmtId="0" fontId="13" fillId="0" borderId="0" xfId="0" applyFont="1" applyAlignment="1">
      <alignment/>
    </xf>
    <xf numFmtId="183" fontId="6" fillId="0" borderId="0" xfId="0" applyNumberFormat="1" applyFont="1" applyFill="1" applyBorder="1" applyAlignment="1">
      <alignment horizontal="left"/>
    </xf>
    <xf numFmtId="2" fontId="5" fillId="0" borderId="0" xfId="0" applyNumberFormat="1" applyFont="1" applyBorder="1" applyAlignment="1">
      <alignment vertical="center"/>
    </xf>
    <xf numFmtId="2" fontId="5" fillId="0" borderId="0" xfId="0" applyNumberFormat="1" applyFont="1" applyFill="1" applyBorder="1" applyAlignment="1">
      <alignment vertical="center"/>
    </xf>
    <xf numFmtId="2" fontId="1" fillId="0" borderId="0" xfId="0" applyNumberFormat="1" applyFont="1" applyAlignment="1">
      <alignment vertical="center"/>
    </xf>
    <xf numFmtId="2" fontId="1" fillId="0" borderId="0" xfId="0" applyNumberFormat="1" applyFont="1" applyFill="1" applyAlignment="1">
      <alignment horizontal="left" vertical="center"/>
    </xf>
    <xf numFmtId="2" fontId="1" fillId="0" borderId="0" xfId="0" applyNumberFormat="1" applyFont="1" applyBorder="1" applyAlignment="1">
      <alignment vertical="center"/>
    </xf>
    <xf numFmtId="2" fontId="1" fillId="0" borderId="0" xfId="0" applyNumberFormat="1" applyFont="1" applyFill="1" applyAlignment="1">
      <alignment vertical="center"/>
    </xf>
    <xf numFmtId="183" fontId="6" fillId="0" borderId="0" xfId="0" applyNumberFormat="1" applyFont="1" applyFill="1" applyBorder="1" applyAlignment="1">
      <alignment horizontal="center"/>
    </xf>
    <xf numFmtId="0" fontId="101" fillId="0" borderId="0" xfId="0" applyFont="1" applyFill="1" applyBorder="1" applyAlignment="1">
      <alignment/>
    </xf>
    <xf numFmtId="0" fontId="14" fillId="0" borderId="0" xfId="0" applyFont="1" applyFill="1" applyBorder="1" applyAlignment="1">
      <alignment horizontal="left"/>
    </xf>
    <xf numFmtId="0" fontId="102" fillId="0" borderId="0" xfId="0" applyFont="1" applyFill="1" applyBorder="1" applyAlignment="1">
      <alignment/>
    </xf>
    <xf numFmtId="0" fontId="99" fillId="0" borderId="0" xfId="0" applyFont="1" applyFill="1" applyBorder="1" applyAlignment="1">
      <alignment/>
    </xf>
    <xf numFmtId="0" fontId="13" fillId="0" borderId="0" xfId="0" applyFont="1" applyFill="1" applyBorder="1" applyAlignment="1">
      <alignment/>
    </xf>
    <xf numFmtId="0" fontId="6" fillId="0" borderId="0" xfId="0" applyFont="1" applyBorder="1" applyAlignment="1">
      <alignment/>
    </xf>
    <xf numFmtId="183" fontId="5" fillId="35" borderId="0" xfId="0" applyNumberFormat="1" applyFont="1" applyFill="1" applyBorder="1" applyAlignment="1">
      <alignment vertical="center"/>
    </xf>
    <xf numFmtId="183" fontId="6" fillId="0" borderId="0" xfId="0" applyNumberFormat="1" applyFont="1" applyBorder="1" applyAlignment="1">
      <alignment/>
    </xf>
    <xf numFmtId="0" fontId="6" fillId="0" borderId="0" xfId="0" applyFont="1" applyFill="1" applyBorder="1" applyAlignment="1">
      <alignment/>
    </xf>
    <xf numFmtId="0" fontId="6" fillId="0" borderId="0" xfId="0" applyFont="1" applyBorder="1" applyAlignment="1">
      <alignment/>
    </xf>
    <xf numFmtId="180" fontId="6" fillId="0" borderId="0" xfId="0" applyNumberFormat="1" applyFont="1" applyFill="1" applyBorder="1" applyAlignment="1">
      <alignment vertical="center"/>
    </xf>
    <xf numFmtId="180" fontId="6" fillId="0" borderId="0" xfId="0" applyNumberFormat="1" applyFont="1" applyFill="1" applyBorder="1" applyAlignment="1">
      <alignment horizontal="left" vertical="center"/>
    </xf>
    <xf numFmtId="183" fontId="6" fillId="0" borderId="0" xfId="0" applyNumberFormat="1" applyFont="1" applyFill="1" applyBorder="1" applyAlignment="1">
      <alignment horizontal="right"/>
    </xf>
    <xf numFmtId="0" fontId="9" fillId="0" borderId="0" xfId="0" applyFont="1" applyFill="1" applyBorder="1" applyAlignment="1">
      <alignment horizontal="left" vertical="center"/>
    </xf>
    <xf numFmtId="183" fontId="8" fillId="35" borderId="0" xfId="0" applyNumberFormat="1" applyFont="1" applyFill="1" applyBorder="1" applyAlignment="1">
      <alignment vertical="center"/>
    </xf>
    <xf numFmtId="0" fontId="19" fillId="0" borderId="0" xfId="0" applyFont="1" applyAlignment="1">
      <alignment/>
    </xf>
    <xf numFmtId="10" fontId="0" fillId="0" borderId="0" xfId="0" applyNumberFormat="1" applyFont="1" applyFill="1" applyAlignment="1">
      <alignment/>
    </xf>
    <xf numFmtId="184" fontId="9" fillId="0" borderId="0" xfId="0" applyNumberFormat="1" applyFont="1" applyFill="1" applyBorder="1" applyAlignment="1">
      <alignment vertical="center"/>
    </xf>
    <xf numFmtId="4" fontId="2" fillId="0" borderId="0" xfId="0" applyNumberFormat="1" applyFont="1" applyFill="1" applyBorder="1" applyAlignment="1">
      <alignment horizontal="left" vertical="center"/>
    </xf>
    <xf numFmtId="0" fontId="2" fillId="0" borderId="0" xfId="0" applyFont="1" applyFill="1" applyBorder="1" applyAlignment="1">
      <alignment/>
    </xf>
    <xf numFmtId="0" fontId="45" fillId="0" borderId="0" xfId="0" applyFont="1" applyFill="1" applyAlignment="1">
      <alignment horizontal="left"/>
    </xf>
    <xf numFmtId="0" fontId="45" fillId="0" borderId="0" xfId="0" applyFont="1" applyFill="1" applyAlignment="1">
      <alignment horizontal="center"/>
    </xf>
    <xf numFmtId="0" fontId="46" fillId="0" borderId="0" xfId="0" applyFont="1" applyFill="1" applyBorder="1" applyAlignment="1">
      <alignment vertical="center"/>
    </xf>
    <xf numFmtId="183" fontId="46" fillId="0" borderId="0" xfId="0" applyNumberFormat="1" applyFont="1" applyFill="1" applyBorder="1" applyAlignment="1">
      <alignment vertical="center"/>
    </xf>
    <xf numFmtId="183" fontId="46" fillId="0" borderId="0" xfId="0" applyNumberFormat="1" applyFont="1" applyFill="1" applyBorder="1" applyAlignment="1">
      <alignment horizontal="right" vertical="center"/>
    </xf>
    <xf numFmtId="0" fontId="2" fillId="0" borderId="14" xfId="0" applyFont="1" applyFill="1" applyBorder="1" applyAlignment="1">
      <alignment vertical="center"/>
    </xf>
    <xf numFmtId="0" fontId="103" fillId="0" borderId="0" xfId="0" applyFont="1" applyFill="1" applyAlignment="1">
      <alignment horizontal="left"/>
    </xf>
    <xf numFmtId="0" fontId="2" fillId="0" borderId="10" xfId="0" applyFont="1" applyFill="1" applyBorder="1" applyAlignment="1">
      <alignment vertical="center"/>
    </xf>
    <xf numFmtId="0" fontId="2" fillId="0" borderId="0" xfId="0" applyFont="1" applyFill="1" applyBorder="1" applyAlignment="1">
      <alignment vertical="center"/>
    </xf>
    <xf numFmtId="180" fontId="103" fillId="0" borderId="0" xfId="0" applyNumberFormat="1" applyFont="1" applyFill="1" applyAlignment="1">
      <alignment/>
    </xf>
    <xf numFmtId="0" fontId="104" fillId="0" borderId="0" xfId="0" applyFont="1" applyFill="1" applyBorder="1" applyAlignment="1">
      <alignment vertical="center"/>
    </xf>
    <xf numFmtId="4" fontId="104" fillId="0" borderId="0" xfId="0" applyNumberFormat="1" applyFont="1" applyFill="1" applyBorder="1" applyAlignment="1">
      <alignment horizontal="right" vertical="center"/>
    </xf>
    <xf numFmtId="4" fontId="104" fillId="0" borderId="0" xfId="0" applyNumberFormat="1" applyFont="1" applyFill="1" applyBorder="1" applyAlignment="1">
      <alignment horizontal="center" vertical="center"/>
    </xf>
    <xf numFmtId="9" fontId="104" fillId="0" borderId="0" xfId="0" applyNumberFormat="1" applyFont="1" applyFill="1" applyBorder="1" applyAlignment="1">
      <alignment vertical="center"/>
    </xf>
    <xf numFmtId="4" fontId="104" fillId="0" borderId="0" xfId="0" applyNumberFormat="1" applyFont="1" applyFill="1" applyAlignment="1">
      <alignment horizontal="left" vertical="center"/>
    </xf>
    <xf numFmtId="0" fontId="48" fillId="0" borderId="0" xfId="0" applyFont="1" applyFill="1" applyBorder="1" applyAlignment="1">
      <alignment vertical="center"/>
    </xf>
    <xf numFmtId="0" fontId="103" fillId="0" borderId="0" xfId="0" applyFont="1" applyBorder="1" applyAlignment="1">
      <alignment vertical="center"/>
    </xf>
    <xf numFmtId="4" fontId="104" fillId="0" borderId="0" xfId="0" applyNumberFormat="1" applyFont="1" applyBorder="1" applyAlignment="1">
      <alignment horizontal="right" vertical="center"/>
    </xf>
    <xf numFmtId="171" fontId="1" fillId="0" borderId="0" xfId="49" applyFont="1" applyFill="1" applyBorder="1" applyAlignment="1">
      <alignment vertical="center"/>
    </xf>
    <xf numFmtId="171" fontId="5" fillId="0" borderId="0" xfId="49" applyFont="1" applyFill="1" applyBorder="1" applyAlignment="1">
      <alignment horizontal="left" vertical="center"/>
    </xf>
    <xf numFmtId="183" fontId="105" fillId="0" borderId="0" xfId="0" applyNumberFormat="1" applyFont="1" applyFill="1" applyAlignment="1">
      <alignment vertical="center"/>
    </xf>
    <xf numFmtId="183" fontId="104" fillId="0" borderId="0" xfId="0" applyNumberFormat="1" applyFont="1" applyBorder="1" applyAlignment="1">
      <alignment vertical="center"/>
    </xf>
    <xf numFmtId="171" fontId="5" fillId="0" borderId="0" xfId="49" applyFont="1" applyBorder="1" applyAlignment="1">
      <alignment vertical="center"/>
    </xf>
    <xf numFmtId="0" fontId="101" fillId="0" borderId="0" xfId="0" applyFont="1" applyFill="1" applyAlignment="1">
      <alignment vertical="center"/>
    </xf>
    <xf numFmtId="183" fontId="104" fillId="0" borderId="0" xfId="0" applyNumberFormat="1" applyFont="1" applyFill="1" applyBorder="1" applyAlignment="1">
      <alignment vertical="center"/>
    </xf>
    <xf numFmtId="0" fontId="105" fillId="0" borderId="0" xfId="0" applyFont="1" applyBorder="1" applyAlignment="1">
      <alignment vertical="center"/>
    </xf>
    <xf numFmtId="4" fontId="2" fillId="0" borderId="0" xfId="0" applyNumberFormat="1" applyFont="1" applyFill="1" applyBorder="1" applyAlignment="1">
      <alignment horizontal="center" vertical="center"/>
    </xf>
    <xf numFmtId="4" fontId="2" fillId="0" borderId="0" xfId="0" applyNumberFormat="1" applyFont="1" applyFill="1" applyBorder="1" applyAlignment="1">
      <alignment vertical="center"/>
    </xf>
    <xf numFmtId="0" fontId="5" fillId="36" borderId="0" xfId="0" applyFont="1" applyFill="1" applyBorder="1" applyAlignment="1">
      <alignment/>
    </xf>
    <xf numFmtId="0" fontId="103" fillId="0" borderId="0" xfId="0" applyFont="1" applyFill="1" applyBorder="1" applyAlignment="1">
      <alignment vertical="center"/>
    </xf>
    <xf numFmtId="183" fontId="103" fillId="0" borderId="0" xfId="0" applyNumberFormat="1" applyFont="1" applyFill="1" applyBorder="1" applyAlignment="1">
      <alignment horizontal="left" vertical="center"/>
    </xf>
    <xf numFmtId="0" fontId="103" fillId="0" borderId="0" xfId="0" applyNumberFormat="1" applyFont="1" applyFill="1" applyBorder="1" applyAlignment="1">
      <alignment vertical="center"/>
    </xf>
    <xf numFmtId="183" fontId="103" fillId="0" borderId="0" xfId="0" applyNumberFormat="1" applyFont="1" applyFill="1" applyAlignment="1">
      <alignment horizontal="left" vertical="center"/>
    </xf>
    <xf numFmtId="171" fontId="1" fillId="0" borderId="0" xfId="0" applyNumberFormat="1" applyFont="1" applyAlignment="1">
      <alignment horizontal="left" vertical="center"/>
    </xf>
    <xf numFmtId="0" fontId="0" fillId="0" borderId="0" xfId="0" applyFont="1" applyFill="1" applyBorder="1" applyAlignment="1">
      <alignment vertical="center"/>
    </xf>
    <xf numFmtId="3" fontId="0" fillId="0" borderId="0" xfId="0" applyNumberFormat="1" applyFill="1" applyBorder="1" applyAlignment="1">
      <alignment vertical="center"/>
    </xf>
    <xf numFmtId="180" fontId="103" fillId="0" borderId="0" xfId="0" applyNumberFormat="1" applyFont="1" applyFill="1" applyBorder="1" applyAlignment="1">
      <alignment vertical="center"/>
    </xf>
    <xf numFmtId="180" fontId="103" fillId="0" borderId="0" xfId="0" applyNumberFormat="1" applyFont="1" applyFill="1" applyBorder="1" applyAlignment="1">
      <alignment/>
    </xf>
    <xf numFmtId="0" fontId="5" fillId="0" borderId="0" xfId="0" applyFont="1" applyFill="1" applyAlignment="1">
      <alignment horizontal="center"/>
    </xf>
    <xf numFmtId="0" fontId="106" fillId="0" borderId="0" xfId="0" applyFont="1" applyFill="1" applyBorder="1" applyAlignment="1">
      <alignment vertical="center"/>
    </xf>
    <xf numFmtId="0" fontId="8" fillId="0" borderId="13" xfId="0" applyFont="1" applyFill="1" applyBorder="1" applyAlignment="1">
      <alignment vertical="center"/>
    </xf>
    <xf numFmtId="44" fontId="8" fillId="0" borderId="16" xfId="0" applyNumberFormat="1" applyFont="1" applyFill="1" applyBorder="1" applyAlignment="1">
      <alignment vertical="center"/>
    </xf>
    <xf numFmtId="171" fontId="1" fillId="0" borderId="0" xfId="49" applyFont="1" applyBorder="1" applyAlignment="1">
      <alignment vertical="center"/>
    </xf>
    <xf numFmtId="0" fontId="2" fillId="0" borderId="0" xfId="0" applyFont="1" applyAlignment="1">
      <alignment/>
    </xf>
    <xf numFmtId="171" fontId="1" fillId="0" borderId="0" xfId="49" applyFont="1" applyBorder="1" applyAlignment="1">
      <alignment horizontal="left" vertical="center"/>
    </xf>
    <xf numFmtId="171" fontId="1" fillId="0" borderId="0" xfId="49" applyFont="1" applyFill="1" applyBorder="1" applyAlignment="1">
      <alignment horizontal="left" vertical="center"/>
    </xf>
    <xf numFmtId="180" fontId="6" fillId="0" borderId="0" xfId="0" applyNumberFormat="1" applyFont="1" applyBorder="1" applyAlignment="1">
      <alignment/>
    </xf>
    <xf numFmtId="0" fontId="19" fillId="0" borderId="0" xfId="0" applyFont="1" applyBorder="1" applyAlignment="1">
      <alignment/>
    </xf>
    <xf numFmtId="180" fontId="1" fillId="0" borderId="0" xfId="0" applyNumberFormat="1" applyFont="1" applyBorder="1" applyAlignment="1">
      <alignment vertical="center"/>
    </xf>
    <xf numFmtId="44" fontId="8" fillId="0" borderId="13" xfId="0" applyNumberFormat="1" applyFont="1" applyFill="1" applyBorder="1" applyAlignment="1">
      <alignment vertical="center"/>
    </xf>
    <xf numFmtId="44" fontId="8" fillId="0" borderId="13" xfId="0" applyNumberFormat="1" applyFont="1" applyFill="1" applyBorder="1" applyAlignment="1">
      <alignment horizontal="center" vertical="center"/>
    </xf>
    <xf numFmtId="183" fontId="6" fillId="0" borderId="0" xfId="0" applyNumberFormat="1" applyFont="1" applyFill="1" applyAlignment="1">
      <alignment vertical="center"/>
    </xf>
    <xf numFmtId="183" fontId="8" fillId="0" borderId="0" xfId="0" applyNumberFormat="1" applyFont="1" applyFill="1" applyBorder="1" applyAlignment="1">
      <alignment horizontal="right" vertical="center"/>
    </xf>
    <xf numFmtId="0" fontId="1" fillId="0" borderId="0" xfId="0" applyNumberFormat="1" applyFont="1" applyFill="1" applyBorder="1" applyAlignment="1">
      <alignment/>
    </xf>
    <xf numFmtId="182" fontId="1" fillId="0" borderId="0" xfId="49" applyNumberFormat="1" applyFont="1" applyFill="1" applyBorder="1" applyAlignment="1">
      <alignment/>
    </xf>
    <xf numFmtId="182" fontId="2" fillId="0" borderId="0" xfId="49" applyNumberFormat="1" applyFont="1" applyFill="1" applyBorder="1" applyAlignment="1">
      <alignment/>
    </xf>
    <xf numFmtId="171" fontId="1" fillId="0" borderId="0" xfId="49" applyFont="1" applyFill="1" applyBorder="1" applyAlignment="1">
      <alignment/>
    </xf>
    <xf numFmtId="0" fontId="1" fillId="0" borderId="0" xfId="0" applyFont="1" applyBorder="1" applyAlignment="1">
      <alignment horizontal="left"/>
    </xf>
    <xf numFmtId="0" fontId="1" fillId="0" borderId="0" xfId="0" applyFont="1" applyBorder="1" applyAlignment="1">
      <alignment horizontal="center"/>
    </xf>
    <xf numFmtId="4" fontId="1" fillId="0" borderId="0" xfId="0" applyNumberFormat="1" applyFont="1" applyAlignment="1">
      <alignment horizontal="left" vertical="center"/>
    </xf>
    <xf numFmtId="0" fontId="1" fillId="0" borderId="0" xfId="55" applyFont="1" applyBorder="1" applyAlignment="1">
      <alignment/>
      <protection/>
    </xf>
    <xf numFmtId="0" fontId="107" fillId="0" borderId="0" xfId="0" applyFont="1" applyFill="1" applyBorder="1" applyAlignment="1">
      <alignment/>
    </xf>
    <xf numFmtId="180" fontId="0" fillId="0" borderId="0" xfId="0" applyNumberFormat="1" applyFont="1" applyFill="1" applyAlignment="1">
      <alignment/>
    </xf>
    <xf numFmtId="0" fontId="2" fillId="0" borderId="0" xfId="0" applyFont="1" applyFill="1" applyAlignment="1">
      <alignment horizontal="left" vertical="center"/>
    </xf>
    <xf numFmtId="49" fontId="2" fillId="0" borderId="0" xfId="0" applyNumberFormat="1" applyFont="1" applyFill="1" applyBorder="1" applyAlignment="1">
      <alignment vertical="center"/>
    </xf>
    <xf numFmtId="10" fontId="0" fillId="0" borderId="0" xfId="0" applyNumberFormat="1" applyFont="1" applyFill="1" applyBorder="1" applyAlignment="1">
      <alignment/>
    </xf>
    <xf numFmtId="0" fontId="101" fillId="37" borderId="14" xfId="0" applyFont="1" applyFill="1" applyBorder="1" applyAlignment="1">
      <alignment vertical="center"/>
    </xf>
    <xf numFmtId="0" fontId="101" fillId="37" borderId="15" xfId="0" applyFont="1" applyFill="1" applyBorder="1" applyAlignment="1">
      <alignment vertical="center"/>
    </xf>
    <xf numFmtId="44" fontId="101" fillId="37" borderId="15" xfId="0" applyNumberFormat="1" applyFont="1" applyFill="1" applyBorder="1" applyAlignment="1">
      <alignment vertical="center"/>
    </xf>
    <xf numFmtId="44" fontId="101" fillId="37" borderId="21" xfId="0" applyNumberFormat="1" applyFont="1" applyFill="1" applyBorder="1" applyAlignment="1">
      <alignment horizontal="right" vertical="center"/>
    </xf>
    <xf numFmtId="0" fontId="101" fillId="37" borderId="12" xfId="0" applyFont="1" applyFill="1" applyBorder="1" applyAlignment="1">
      <alignment vertical="center"/>
    </xf>
    <xf numFmtId="0" fontId="101" fillId="37" borderId="13" xfId="0" applyFont="1" applyFill="1" applyBorder="1" applyAlignment="1">
      <alignment vertical="center"/>
    </xf>
    <xf numFmtId="44" fontId="101" fillId="37" borderId="13" xfId="0" applyNumberFormat="1" applyFont="1" applyFill="1" applyBorder="1" applyAlignment="1">
      <alignment vertical="center"/>
    </xf>
    <xf numFmtId="44" fontId="101" fillId="37" borderId="22" xfId="0" applyNumberFormat="1" applyFont="1" applyFill="1" applyBorder="1" applyAlignment="1">
      <alignment horizontal="right"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44" fontId="8" fillId="0" borderId="15" xfId="0" applyNumberFormat="1" applyFont="1" applyFill="1" applyBorder="1" applyAlignment="1">
      <alignment vertical="center"/>
    </xf>
    <xf numFmtId="44" fontId="8" fillId="0" borderId="15" xfId="0" applyNumberFormat="1" applyFont="1" applyFill="1" applyBorder="1" applyAlignment="1">
      <alignment horizontal="center" vertical="center"/>
    </xf>
    <xf numFmtId="44" fontId="8" fillId="0" borderId="17" xfId="0" applyNumberFormat="1" applyFont="1" applyFill="1" applyBorder="1" applyAlignment="1">
      <alignment vertical="center"/>
    </xf>
    <xf numFmtId="0" fontId="108" fillId="37" borderId="12" xfId="0" applyFont="1" applyFill="1" applyBorder="1" applyAlignment="1">
      <alignment vertical="center"/>
    </xf>
    <xf numFmtId="0" fontId="108" fillId="37" borderId="13" xfId="0" applyFont="1" applyFill="1" applyBorder="1" applyAlignment="1">
      <alignment vertical="center"/>
    </xf>
    <xf numFmtId="183" fontId="108" fillId="37" borderId="13" xfId="0" applyNumberFormat="1" applyFont="1" applyFill="1" applyBorder="1" applyAlignment="1">
      <alignment vertical="center"/>
    </xf>
    <xf numFmtId="183" fontId="108" fillId="37" borderId="16" xfId="0" applyNumberFormat="1" applyFont="1" applyFill="1" applyBorder="1" applyAlignment="1">
      <alignment horizontal="center" vertical="center"/>
    </xf>
    <xf numFmtId="183" fontId="108" fillId="37" borderId="16" xfId="0" applyNumberFormat="1" applyFont="1" applyFill="1" applyBorder="1" applyAlignment="1">
      <alignment vertical="center"/>
    </xf>
    <xf numFmtId="183" fontId="108" fillId="38" borderId="20" xfId="0" applyNumberFormat="1" applyFont="1" applyFill="1" applyBorder="1" applyAlignment="1">
      <alignment vertical="center"/>
    </xf>
    <xf numFmtId="183" fontId="108" fillId="39" borderId="20" xfId="0" applyNumberFormat="1" applyFont="1" applyFill="1" applyBorder="1" applyAlignment="1">
      <alignment vertical="center"/>
    </xf>
    <xf numFmtId="183" fontId="108" fillId="40" borderId="20" xfId="0" applyNumberFormat="1" applyFont="1" applyFill="1" applyBorder="1" applyAlignment="1">
      <alignment vertical="center"/>
    </xf>
    <xf numFmtId="183" fontId="108" fillId="41" borderId="20" xfId="0" applyNumberFormat="1" applyFont="1" applyFill="1" applyBorder="1" applyAlignment="1">
      <alignment vertical="center"/>
    </xf>
    <xf numFmtId="183" fontId="108" fillId="42" borderId="20" xfId="0" applyNumberFormat="1" applyFont="1" applyFill="1" applyBorder="1" applyAlignment="1">
      <alignment vertical="center"/>
    </xf>
    <xf numFmtId="0" fontId="109" fillId="0" borderId="15" xfId="0" applyFont="1" applyFill="1" applyBorder="1" applyAlignment="1">
      <alignment vertical="center"/>
    </xf>
    <xf numFmtId="0" fontId="109" fillId="0" borderId="0" xfId="0" applyFont="1" applyFill="1" applyBorder="1" applyAlignment="1">
      <alignment vertical="center"/>
    </xf>
    <xf numFmtId="183" fontId="109" fillId="0" borderId="0" xfId="0" applyNumberFormat="1" applyFont="1" applyFill="1" applyBorder="1" applyAlignment="1">
      <alignment vertical="center"/>
    </xf>
    <xf numFmtId="0" fontId="109" fillId="0" borderId="13" xfId="0" applyFont="1" applyFill="1" applyBorder="1" applyAlignment="1">
      <alignment vertical="center"/>
    </xf>
    <xf numFmtId="183" fontId="8" fillId="0" borderId="15" xfId="0" applyNumberFormat="1" applyFont="1" applyFill="1" applyBorder="1" applyAlignment="1">
      <alignment vertical="center"/>
    </xf>
    <xf numFmtId="183" fontId="8" fillId="0" borderId="17" xfId="0" applyNumberFormat="1" applyFont="1" applyFill="1" applyBorder="1" applyAlignment="1">
      <alignment horizontal="center" vertical="center"/>
    </xf>
    <xf numFmtId="183" fontId="8" fillId="0" borderId="11" xfId="0" applyNumberFormat="1" applyFont="1" applyFill="1" applyBorder="1" applyAlignment="1">
      <alignment horizontal="center" vertical="center"/>
    </xf>
    <xf numFmtId="183" fontId="8" fillId="0" borderId="16" xfId="0" applyNumberFormat="1" applyFont="1" applyFill="1" applyBorder="1" applyAlignment="1">
      <alignment horizontal="center" vertical="center"/>
    </xf>
    <xf numFmtId="183" fontId="101" fillId="0" borderId="0" xfId="0" applyNumberFormat="1" applyFont="1" applyFill="1" applyBorder="1" applyAlignment="1">
      <alignment vertical="center"/>
    </xf>
    <xf numFmtId="183" fontId="101" fillId="0" borderId="11" xfId="0" applyNumberFormat="1" applyFont="1" applyFill="1" applyBorder="1" applyAlignment="1">
      <alignment horizontal="right" vertical="center"/>
    </xf>
    <xf numFmtId="0" fontId="109" fillId="0" borderId="10" xfId="0" applyFont="1" applyFill="1" applyBorder="1" applyAlignment="1">
      <alignment horizontal="left" vertical="center"/>
    </xf>
    <xf numFmtId="183" fontId="109" fillId="0" borderId="11" xfId="0" applyNumberFormat="1" applyFont="1" applyFill="1" applyBorder="1" applyAlignment="1">
      <alignment horizontal="right" vertical="center"/>
    </xf>
    <xf numFmtId="0" fontId="109" fillId="0" borderId="10" xfId="0" applyFont="1" applyFill="1" applyBorder="1" applyAlignment="1">
      <alignment vertical="center"/>
    </xf>
    <xf numFmtId="0" fontId="110" fillId="0" borderId="0" xfId="0" applyFont="1" applyFill="1" applyBorder="1" applyAlignment="1">
      <alignment horizontal="left" vertical="center"/>
    </xf>
    <xf numFmtId="183" fontId="110" fillId="0" borderId="0" xfId="0" applyNumberFormat="1" applyFont="1" applyFill="1" applyBorder="1" applyAlignment="1">
      <alignment vertical="center"/>
    </xf>
    <xf numFmtId="0" fontId="107" fillId="0" borderId="0" xfId="0" applyFont="1" applyFill="1" applyBorder="1" applyAlignment="1">
      <alignment horizontal="left" vertical="center"/>
    </xf>
    <xf numFmtId="183" fontId="107" fillId="0" borderId="0" xfId="0" applyNumberFormat="1" applyFont="1" applyFill="1" applyBorder="1" applyAlignment="1">
      <alignment vertical="center"/>
    </xf>
    <xf numFmtId="0" fontId="111" fillId="43" borderId="0" xfId="0" applyFont="1" applyFill="1" applyBorder="1" applyAlignment="1">
      <alignment vertical="center"/>
    </xf>
    <xf numFmtId="171" fontId="6" fillId="0" borderId="0" xfId="49" applyFont="1" applyBorder="1" applyAlignment="1">
      <alignment vertical="center"/>
    </xf>
    <xf numFmtId="183" fontId="101" fillId="37" borderId="15" xfId="0" applyNumberFormat="1" applyFont="1" applyFill="1" applyBorder="1" applyAlignment="1">
      <alignment vertical="center"/>
    </xf>
    <xf numFmtId="183" fontId="101" fillId="37" borderId="17" xfId="0" applyNumberFormat="1" applyFont="1" applyFill="1" applyBorder="1" applyAlignment="1">
      <alignment horizontal="right" vertical="center"/>
    </xf>
    <xf numFmtId="183" fontId="101" fillId="37" borderId="21" xfId="0" applyNumberFormat="1" applyFont="1" applyFill="1" applyBorder="1" applyAlignment="1">
      <alignment horizontal="right" vertical="center"/>
    </xf>
    <xf numFmtId="183" fontId="101" fillId="37" borderId="13" xfId="0" applyNumberFormat="1" applyFont="1" applyFill="1" applyBorder="1" applyAlignment="1">
      <alignment vertical="center"/>
    </xf>
    <xf numFmtId="183" fontId="101" fillId="37" borderId="16" xfId="0" applyNumberFormat="1" applyFont="1" applyFill="1" applyBorder="1" applyAlignment="1">
      <alignment horizontal="right" vertical="center"/>
    </xf>
    <xf numFmtId="183" fontId="101" fillId="37" borderId="22" xfId="0" applyNumberFormat="1" applyFont="1" applyFill="1" applyBorder="1" applyAlignment="1">
      <alignment horizontal="right" vertical="center"/>
    </xf>
    <xf numFmtId="0" fontId="101" fillId="37" borderId="16" xfId="0" applyNumberFormat="1" applyFont="1" applyFill="1" applyBorder="1" applyAlignment="1">
      <alignment horizontal="left" vertical="center"/>
    </xf>
    <xf numFmtId="0" fontId="14" fillId="0" borderId="0" xfId="0" applyFont="1" applyFill="1" applyBorder="1" applyAlignment="1">
      <alignment vertical="center"/>
    </xf>
    <xf numFmtId="183" fontId="0" fillId="0" borderId="0" xfId="49" applyNumberFormat="1" applyFont="1" applyAlignment="1">
      <alignment/>
    </xf>
    <xf numFmtId="183" fontId="108" fillId="39" borderId="20" xfId="0" applyNumberFormat="1" applyFont="1" applyFill="1" applyBorder="1" applyAlignment="1">
      <alignment/>
    </xf>
    <xf numFmtId="183" fontId="108" fillId="40" borderId="20" xfId="0" applyNumberFormat="1" applyFont="1" applyFill="1" applyBorder="1" applyAlignment="1">
      <alignment/>
    </xf>
    <xf numFmtId="184" fontId="108" fillId="40" borderId="20" xfId="0" applyNumberFormat="1" applyFont="1" applyFill="1" applyBorder="1" applyAlignment="1">
      <alignment vertical="center"/>
    </xf>
    <xf numFmtId="183" fontId="108" fillId="42" borderId="20" xfId="0" applyNumberFormat="1" applyFont="1" applyFill="1" applyBorder="1" applyAlignment="1">
      <alignment/>
    </xf>
    <xf numFmtId="0" fontId="101" fillId="37" borderId="15" xfId="0" applyFont="1" applyFill="1" applyBorder="1" applyAlignment="1">
      <alignment/>
    </xf>
    <xf numFmtId="183" fontId="101" fillId="37" borderId="21" xfId="0" applyNumberFormat="1" applyFont="1" applyFill="1" applyBorder="1" applyAlignment="1">
      <alignment horizontal="right"/>
    </xf>
    <xf numFmtId="183" fontId="101" fillId="37" borderId="22" xfId="0" applyNumberFormat="1" applyFont="1" applyFill="1" applyBorder="1" applyAlignment="1">
      <alignment horizontal="right"/>
    </xf>
    <xf numFmtId="49" fontId="101" fillId="37" borderId="16" xfId="0" applyNumberFormat="1" applyFont="1" applyFill="1" applyBorder="1" applyAlignment="1">
      <alignment/>
    </xf>
    <xf numFmtId="0" fontId="101" fillId="37" borderId="10" xfId="0" applyFont="1" applyFill="1" applyBorder="1" applyAlignment="1">
      <alignment vertical="center"/>
    </xf>
    <xf numFmtId="183" fontId="101" fillId="37" borderId="23" xfId="0" applyNumberFormat="1" applyFont="1" applyFill="1" applyBorder="1" applyAlignment="1">
      <alignment horizontal="right"/>
    </xf>
    <xf numFmtId="49" fontId="101" fillId="37" borderId="11" xfId="0" applyNumberFormat="1" applyFont="1" applyFill="1" applyBorder="1" applyAlignment="1">
      <alignment/>
    </xf>
    <xf numFmtId="0" fontId="101" fillId="37" borderId="13" xfId="0" applyFont="1" applyFill="1" applyBorder="1" applyAlignment="1">
      <alignment/>
    </xf>
    <xf numFmtId="0" fontId="101" fillId="37" borderId="0" xfId="0" applyFont="1" applyFill="1" applyBorder="1" applyAlignment="1">
      <alignment/>
    </xf>
    <xf numFmtId="183" fontId="101" fillId="37" borderId="15" xfId="0" applyNumberFormat="1" applyFont="1" applyFill="1" applyBorder="1" applyAlignment="1">
      <alignment/>
    </xf>
    <xf numFmtId="183" fontId="101" fillId="37" borderId="13" xfId="0" applyNumberFormat="1" applyFont="1" applyFill="1" applyBorder="1" applyAlignment="1">
      <alignment/>
    </xf>
    <xf numFmtId="183" fontId="101" fillId="37" borderId="0" xfId="0" applyNumberFormat="1" applyFont="1" applyFill="1" applyBorder="1" applyAlignment="1">
      <alignment/>
    </xf>
    <xf numFmtId="0" fontId="101" fillId="37" borderId="14" xfId="0" applyFont="1" applyFill="1" applyBorder="1" applyAlignment="1">
      <alignment/>
    </xf>
    <xf numFmtId="0" fontId="101" fillId="37" borderId="12" xfId="0" applyFont="1" applyFill="1" applyBorder="1" applyAlignment="1">
      <alignment/>
    </xf>
    <xf numFmtId="0" fontId="101" fillId="37" borderId="10" xfId="0" applyFont="1" applyFill="1" applyBorder="1" applyAlignment="1">
      <alignment/>
    </xf>
    <xf numFmtId="49" fontId="101" fillId="37" borderId="16" xfId="0" applyNumberFormat="1" applyFont="1" applyFill="1" applyBorder="1" applyAlignment="1">
      <alignment vertical="center"/>
    </xf>
    <xf numFmtId="0" fontId="101" fillId="37" borderId="21" xfId="0" applyFont="1" applyFill="1" applyBorder="1" applyAlignment="1">
      <alignment horizontal="right" vertical="center"/>
    </xf>
    <xf numFmtId="0" fontId="101" fillId="37" borderId="22" xfId="0" applyFont="1" applyFill="1" applyBorder="1" applyAlignment="1">
      <alignment horizontal="right" vertical="center"/>
    </xf>
    <xf numFmtId="0" fontId="101" fillId="37" borderId="16" xfId="0" applyFont="1" applyFill="1" applyBorder="1" applyAlignment="1">
      <alignment horizontal="left" vertical="center"/>
    </xf>
    <xf numFmtId="183" fontId="108" fillId="38" borderId="20" xfId="0" applyNumberFormat="1" applyFont="1" applyFill="1" applyBorder="1" applyAlignment="1">
      <alignment/>
    </xf>
    <xf numFmtId="183" fontId="108" fillId="39" borderId="24" xfId="0" applyNumberFormat="1" applyFont="1" applyFill="1" applyBorder="1" applyAlignment="1">
      <alignment vertical="center"/>
    </xf>
    <xf numFmtId="183" fontId="108" fillId="40" borderId="24" xfId="0" applyNumberFormat="1" applyFont="1" applyFill="1" applyBorder="1" applyAlignment="1">
      <alignment vertical="center"/>
    </xf>
    <xf numFmtId="183" fontId="108" fillId="42" borderId="24" xfId="0" applyNumberFormat="1" applyFont="1" applyFill="1" applyBorder="1" applyAlignment="1">
      <alignment vertical="center"/>
    </xf>
    <xf numFmtId="183" fontId="108" fillId="41" borderId="20" xfId="0" applyNumberFormat="1" applyFont="1" applyFill="1" applyBorder="1" applyAlignment="1">
      <alignment/>
    </xf>
    <xf numFmtId="44" fontId="112" fillId="37" borderId="13" xfId="0" applyNumberFormat="1" applyFont="1" applyFill="1" applyBorder="1" applyAlignment="1">
      <alignment vertical="center"/>
    </xf>
    <xf numFmtId="0" fontId="101" fillId="37" borderId="0" xfId="0" applyFont="1" applyFill="1" applyBorder="1" applyAlignment="1">
      <alignment vertical="center"/>
    </xf>
    <xf numFmtId="181" fontId="101" fillId="37" borderId="23" xfId="0" applyNumberFormat="1" applyFont="1" applyFill="1" applyBorder="1" applyAlignment="1">
      <alignment horizontal="right" vertical="center"/>
    </xf>
    <xf numFmtId="0" fontId="101" fillId="37" borderId="11" xfId="0" applyFont="1" applyFill="1" applyBorder="1" applyAlignment="1">
      <alignment vertical="center"/>
    </xf>
    <xf numFmtId="0" fontId="101" fillId="37" borderId="17" xfId="0" applyFont="1" applyFill="1" applyBorder="1" applyAlignment="1">
      <alignment horizontal="right" vertical="center"/>
    </xf>
    <xf numFmtId="0" fontId="101" fillId="37" borderId="16" xfId="0" applyFont="1" applyFill="1" applyBorder="1" applyAlignment="1">
      <alignment horizontal="right" vertical="center"/>
    </xf>
    <xf numFmtId="183" fontId="101" fillId="37" borderId="0" xfId="0" applyNumberFormat="1" applyFont="1" applyFill="1" applyBorder="1" applyAlignment="1">
      <alignment vertical="center"/>
    </xf>
    <xf numFmtId="183" fontId="101" fillId="37" borderId="23" xfId="0" applyNumberFormat="1" applyFont="1" applyFill="1" applyBorder="1" applyAlignment="1">
      <alignment horizontal="right" vertical="center"/>
    </xf>
    <xf numFmtId="49" fontId="101" fillId="37" borderId="11" xfId="0" applyNumberFormat="1" applyFont="1" applyFill="1" applyBorder="1" applyAlignment="1">
      <alignment vertical="center"/>
    </xf>
    <xf numFmtId="0" fontId="101" fillId="37" borderId="23" xfId="0" applyFont="1" applyFill="1" applyBorder="1" applyAlignment="1">
      <alignment horizontal="right" vertical="center"/>
    </xf>
    <xf numFmtId="0" fontId="101" fillId="37" borderId="11" xfId="0" applyFont="1" applyFill="1" applyBorder="1" applyAlignment="1">
      <alignment horizontal="left" vertical="center"/>
    </xf>
    <xf numFmtId="0" fontId="101" fillId="37" borderId="11" xfId="0" applyNumberFormat="1" applyFont="1" applyFill="1" applyBorder="1" applyAlignment="1">
      <alignment horizontal="left" vertical="center"/>
    </xf>
    <xf numFmtId="183" fontId="108" fillId="38" borderId="24" xfId="0" applyNumberFormat="1" applyFont="1" applyFill="1" applyBorder="1" applyAlignment="1">
      <alignment vertical="center"/>
    </xf>
    <xf numFmtId="0" fontId="101" fillId="37" borderId="0" xfId="0" applyFont="1" applyFill="1" applyBorder="1" applyAlignment="1">
      <alignment horizontal="center" vertical="center"/>
    </xf>
    <xf numFmtId="183" fontId="1" fillId="37" borderId="22" xfId="0" applyNumberFormat="1" applyFont="1" applyFill="1" applyBorder="1" applyAlignment="1">
      <alignment horizontal="right"/>
    </xf>
    <xf numFmtId="49" fontId="1" fillId="37" borderId="16" xfId="0" applyNumberFormat="1" applyFont="1" applyFill="1" applyBorder="1" applyAlignment="1">
      <alignment/>
    </xf>
    <xf numFmtId="0" fontId="108" fillId="37" borderId="18" xfId="0" applyFont="1" applyFill="1" applyBorder="1" applyAlignment="1">
      <alignment/>
    </xf>
    <xf numFmtId="0" fontId="108" fillId="37" borderId="19" xfId="0" applyFont="1" applyFill="1" applyBorder="1" applyAlignment="1">
      <alignment/>
    </xf>
    <xf numFmtId="183" fontId="6" fillId="37" borderId="19" xfId="0" applyNumberFormat="1" applyFont="1" applyFill="1" applyBorder="1" applyAlignment="1">
      <alignment/>
    </xf>
    <xf numFmtId="183" fontId="6" fillId="37" borderId="24" xfId="0" applyNumberFormat="1" applyFont="1" applyFill="1" applyBorder="1" applyAlignment="1">
      <alignment/>
    </xf>
    <xf numFmtId="183" fontId="108" fillId="37" borderId="20" xfId="0" applyNumberFormat="1" applyFont="1" applyFill="1" applyBorder="1" applyAlignment="1">
      <alignment/>
    </xf>
    <xf numFmtId="183" fontId="108" fillId="44" borderId="20" xfId="0" applyNumberFormat="1" applyFont="1" applyFill="1" applyBorder="1" applyAlignment="1">
      <alignment/>
    </xf>
    <xf numFmtId="0" fontId="108" fillId="37" borderId="19" xfId="0" applyFont="1" applyFill="1" applyBorder="1" applyAlignment="1">
      <alignment horizontal="center"/>
    </xf>
    <xf numFmtId="183" fontId="108" fillId="37" borderId="19" xfId="0" applyNumberFormat="1" applyFont="1" applyFill="1" applyBorder="1" applyAlignment="1">
      <alignment/>
    </xf>
    <xf numFmtId="183" fontId="108" fillId="37" borderId="24" xfId="0" applyNumberFormat="1" applyFont="1" applyFill="1" applyBorder="1" applyAlignment="1">
      <alignment/>
    </xf>
    <xf numFmtId="0" fontId="6" fillId="0" borderId="0" xfId="0" applyFont="1" applyFill="1" applyBorder="1" applyAlignment="1">
      <alignment horizontal="center"/>
    </xf>
    <xf numFmtId="183" fontId="113" fillId="37" borderId="22" xfId="0" applyNumberFormat="1" applyFont="1" applyFill="1" applyBorder="1" applyAlignment="1">
      <alignment horizontal="right"/>
    </xf>
    <xf numFmtId="49" fontId="113" fillId="37" borderId="16" xfId="0" applyNumberFormat="1" applyFont="1" applyFill="1" applyBorder="1" applyAlignment="1">
      <alignment/>
    </xf>
    <xf numFmtId="183" fontId="108" fillId="37" borderId="16" xfId="0" applyNumberFormat="1" applyFont="1" applyFill="1" applyBorder="1" applyAlignment="1">
      <alignment horizontal="right" vertical="center"/>
    </xf>
    <xf numFmtId="0" fontId="2" fillId="0" borderId="0" xfId="0" applyNumberFormat="1" applyFont="1" applyFill="1" applyBorder="1" applyAlignment="1">
      <alignment horizontal="left" vertical="center"/>
    </xf>
    <xf numFmtId="49" fontId="2" fillId="0" borderId="0" xfId="0" applyNumberFormat="1" applyFont="1" applyFill="1" applyBorder="1" applyAlignment="1">
      <alignment/>
    </xf>
    <xf numFmtId="183" fontId="2" fillId="0" borderId="0" xfId="0" applyNumberFormat="1" applyFont="1" applyFill="1" applyBorder="1" applyAlignment="1">
      <alignment horizontal="right"/>
    </xf>
    <xf numFmtId="0" fontId="24" fillId="0" borderId="0" xfId="0" applyFont="1" applyFill="1" applyBorder="1" applyAlignment="1">
      <alignment/>
    </xf>
    <xf numFmtId="9" fontId="1" fillId="0" borderId="0" xfId="57" applyFont="1" applyFill="1" applyBorder="1" applyAlignment="1">
      <alignment/>
    </xf>
    <xf numFmtId="0" fontId="48" fillId="37" borderId="16" xfId="0" applyNumberFormat="1" applyFont="1" applyFill="1" applyBorder="1" applyAlignment="1">
      <alignment horizontal="left" vertical="center"/>
    </xf>
    <xf numFmtId="0" fontId="108" fillId="37" borderId="18" xfId="0" applyFont="1" applyFill="1" applyBorder="1" applyAlignment="1">
      <alignment vertical="center"/>
    </xf>
    <xf numFmtId="0" fontId="108" fillId="37" borderId="19" xfId="0" applyFont="1" applyFill="1" applyBorder="1" applyAlignment="1">
      <alignment vertical="center"/>
    </xf>
    <xf numFmtId="183" fontId="108" fillId="37" borderId="19" xfId="0" applyNumberFormat="1" applyFont="1" applyFill="1" applyBorder="1" applyAlignment="1">
      <alignment vertical="center"/>
    </xf>
    <xf numFmtId="183" fontId="108" fillId="37" borderId="24" xfId="0" applyNumberFormat="1" applyFont="1" applyFill="1" applyBorder="1" applyAlignment="1">
      <alignment horizontal="center" vertical="center"/>
    </xf>
    <xf numFmtId="183" fontId="108" fillId="37" borderId="24" xfId="0" applyNumberFormat="1" applyFont="1" applyFill="1" applyBorder="1" applyAlignment="1">
      <alignment vertical="center"/>
    </xf>
    <xf numFmtId="183" fontId="101" fillId="37" borderId="11" xfId="0" applyNumberFormat="1" applyFont="1" applyFill="1" applyBorder="1" applyAlignment="1">
      <alignment horizontal="right" vertical="center"/>
    </xf>
    <xf numFmtId="0" fontId="48" fillId="37" borderId="11" xfId="0" applyNumberFormat="1" applyFont="1" applyFill="1" applyBorder="1" applyAlignment="1">
      <alignment horizontal="left" vertical="center"/>
    </xf>
    <xf numFmtId="0" fontId="101" fillId="37" borderId="15" xfId="0" applyFont="1" applyFill="1" applyBorder="1" applyAlignment="1">
      <alignment vertical="center" wrapText="1"/>
    </xf>
    <xf numFmtId="183" fontId="101" fillId="37" borderId="23" xfId="0" applyNumberFormat="1" applyFont="1" applyFill="1" applyBorder="1" applyAlignment="1">
      <alignment vertical="center"/>
    </xf>
    <xf numFmtId="183" fontId="108" fillId="37" borderId="20" xfId="0" applyNumberFormat="1" applyFont="1" applyFill="1" applyBorder="1" applyAlignment="1">
      <alignment horizontal="center" vertical="center"/>
    </xf>
    <xf numFmtId="183" fontId="108" fillId="37" borderId="20" xfId="0" applyNumberFormat="1" applyFont="1" applyFill="1" applyBorder="1" applyAlignment="1">
      <alignment vertical="center"/>
    </xf>
    <xf numFmtId="183" fontId="101" fillId="37" borderId="22" xfId="0" applyNumberFormat="1" applyFont="1" applyFill="1" applyBorder="1" applyAlignment="1">
      <alignment vertical="center"/>
    </xf>
    <xf numFmtId="0" fontId="114" fillId="37" borderId="12" xfId="0" applyFont="1" applyFill="1" applyBorder="1" applyAlignment="1">
      <alignment vertical="center"/>
    </xf>
    <xf numFmtId="183" fontId="108" fillId="45" borderId="20" xfId="0" applyNumberFormat="1" applyFont="1" applyFill="1" applyBorder="1" applyAlignment="1">
      <alignment vertical="center"/>
    </xf>
    <xf numFmtId="183" fontId="101" fillId="37" borderId="0" xfId="0" applyNumberFormat="1" applyFont="1" applyFill="1" applyBorder="1" applyAlignment="1">
      <alignment horizontal="right" vertical="center"/>
    </xf>
    <xf numFmtId="183" fontId="101" fillId="37" borderId="13" xfId="0" applyNumberFormat="1" applyFont="1" applyFill="1" applyBorder="1" applyAlignment="1">
      <alignment horizontal="right" vertical="center"/>
    </xf>
    <xf numFmtId="0" fontId="101" fillId="37" borderId="25" xfId="0" applyFont="1" applyFill="1" applyBorder="1" applyAlignment="1">
      <alignment/>
    </xf>
    <xf numFmtId="0" fontId="101" fillId="37" borderId="16" xfId="0" applyNumberFormat="1" applyFont="1" applyFill="1" applyBorder="1" applyAlignment="1">
      <alignment horizontal="center" vertical="center"/>
    </xf>
    <xf numFmtId="183" fontId="108" fillId="37" borderId="24" xfId="0" applyNumberFormat="1" applyFont="1" applyFill="1" applyBorder="1" applyAlignment="1">
      <alignment horizontal="right" vertical="center"/>
    </xf>
    <xf numFmtId="44" fontId="108" fillId="37" borderId="19" xfId="0" applyNumberFormat="1" applyFont="1" applyFill="1" applyBorder="1" applyAlignment="1">
      <alignment vertical="center"/>
    </xf>
    <xf numFmtId="44" fontId="108" fillId="37" borderId="19" xfId="0" applyNumberFormat="1" applyFont="1" applyFill="1" applyBorder="1" applyAlignment="1">
      <alignment horizontal="right" vertical="center"/>
    </xf>
    <xf numFmtId="183" fontId="108" fillId="37" borderId="18" xfId="0" applyNumberFormat="1" applyFont="1" applyFill="1" applyBorder="1" applyAlignment="1">
      <alignment vertical="center"/>
    </xf>
    <xf numFmtId="183" fontId="108" fillId="37" borderId="19" xfId="0" applyNumberFormat="1" applyFont="1" applyFill="1" applyBorder="1" applyAlignment="1">
      <alignment/>
    </xf>
    <xf numFmtId="183" fontId="108" fillId="37" borderId="19" xfId="0" applyNumberFormat="1" applyFont="1" applyFill="1" applyBorder="1" applyAlignment="1">
      <alignment horizontal="right" vertical="center"/>
    </xf>
    <xf numFmtId="44" fontId="115" fillId="37" borderId="19" xfId="0" applyNumberFormat="1" applyFont="1" applyFill="1" applyBorder="1" applyAlignment="1">
      <alignment vertical="center"/>
    </xf>
    <xf numFmtId="180" fontId="115" fillId="37" borderId="24" xfId="0" applyNumberFormat="1" applyFont="1" applyFill="1" applyBorder="1" applyAlignment="1">
      <alignment vertical="center"/>
    </xf>
    <xf numFmtId="180" fontId="108" fillId="37" borderId="20" xfId="0" applyNumberFormat="1" applyFont="1" applyFill="1" applyBorder="1" applyAlignment="1">
      <alignment vertical="center"/>
    </xf>
    <xf numFmtId="180" fontId="108" fillId="37" borderId="18" xfId="0" applyNumberFormat="1" applyFont="1" applyFill="1" applyBorder="1" applyAlignment="1">
      <alignment vertical="center"/>
    </xf>
    <xf numFmtId="180" fontId="108" fillId="37" borderId="19" xfId="0" applyNumberFormat="1" applyFont="1" applyFill="1" applyBorder="1" applyAlignment="1">
      <alignment vertical="center"/>
    </xf>
    <xf numFmtId="0" fontId="101" fillId="37" borderId="18" xfId="0" applyFont="1" applyFill="1" applyBorder="1" applyAlignment="1">
      <alignment vertical="center"/>
    </xf>
    <xf numFmtId="44" fontId="101" fillId="37" borderId="19" xfId="0" applyNumberFormat="1" applyFont="1" applyFill="1" applyBorder="1" applyAlignment="1">
      <alignment vertical="center"/>
    </xf>
    <xf numFmtId="183" fontId="101" fillId="37" borderId="19" xfId="0" applyNumberFormat="1" applyFont="1" applyFill="1" applyBorder="1" applyAlignment="1">
      <alignment vertical="center"/>
    </xf>
    <xf numFmtId="180" fontId="101" fillId="37" borderId="24" xfId="0" applyNumberFormat="1" applyFont="1" applyFill="1" applyBorder="1" applyAlignment="1">
      <alignment horizontal="right" vertical="center"/>
    </xf>
    <xf numFmtId="180" fontId="101" fillId="37" borderId="16" xfId="0" applyNumberFormat="1" applyFont="1" applyFill="1" applyBorder="1" applyAlignment="1">
      <alignment vertical="center"/>
    </xf>
    <xf numFmtId="0" fontId="108" fillId="37" borderId="19" xfId="0" applyFont="1" applyFill="1" applyBorder="1" applyAlignment="1">
      <alignment horizontal="center" vertical="center"/>
    </xf>
    <xf numFmtId="183" fontId="109" fillId="0" borderId="0" xfId="0" applyNumberFormat="1" applyFont="1" applyFill="1" applyBorder="1" applyAlignment="1">
      <alignment horizontal="right" vertical="center"/>
    </xf>
    <xf numFmtId="183" fontId="8" fillId="0" borderId="15" xfId="0" applyNumberFormat="1" applyFont="1" applyFill="1" applyBorder="1" applyAlignment="1">
      <alignment horizontal="right" vertical="center"/>
    </xf>
    <xf numFmtId="183" fontId="8" fillId="0" borderId="13" xfId="0" applyNumberFormat="1" applyFont="1" applyFill="1" applyBorder="1" applyAlignment="1">
      <alignment horizontal="right" vertical="center"/>
    </xf>
    <xf numFmtId="183" fontId="115" fillId="37" borderId="13" xfId="0" applyNumberFormat="1" applyFont="1" applyFill="1" applyBorder="1" applyAlignment="1">
      <alignment vertical="center"/>
    </xf>
    <xf numFmtId="183" fontId="101" fillId="0" borderId="15" xfId="0" applyNumberFormat="1" applyFont="1" applyFill="1" applyBorder="1" applyAlignment="1">
      <alignment horizontal="right" vertical="center"/>
    </xf>
    <xf numFmtId="183" fontId="101" fillId="0" borderId="17" xfId="0" applyNumberFormat="1" applyFont="1" applyFill="1" applyBorder="1" applyAlignment="1">
      <alignment horizontal="right" vertical="center"/>
    </xf>
    <xf numFmtId="0" fontId="109" fillId="0" borderId="12" xfId="0" applyFont="1" applyFill="1" applyBorder="1" applyAlignment="1">
      <alignment vertical="center"/>
    </xf>
    <xf numFmtId="183" fontId="109" fillId="0" borderId="13" xfId="0" applyNumberFormat="1" applyFont="1" applyFill="1" applyBorder="1" applyAlignment="1">
      <alignment horizontal="right" vertical="center"/>
    </xf>
    <xf numFmtId="183" fontId="109" fillId="0" borderId="16" xfId="0" applyNumberFormat="1" applyFont="1" applyFill="1" applyBorder="1" applyAlignment="1">
      <alignment horizontal="right" vertical="center"/>
    </xf>
    <xf numFmtId="183" fontId="108" fillId="46" borderId="24" xfId="0" applyNumberFormat="1" applyFont="1" applyFill="1" applyBorder="1" applyAlignment="1">
      <alignment vertical="center"/>
    </xf>
    <xf numFmtId="49" fontId="46" fillId="0" borderId="0" xfId="0" applyNumberFormat="1" applyFont="1" applyFill="1" applyBorder="1" applyAlignment="1">
      <alignment vertical="center"/>
    </xf>
    <xf numFmtId="0" fontId="47" fillId="0" borderId="0" xfId="0" applyFont="1" applyFill="1" applyBorder="1" applyAlignment="1">
      <alignment vertical="center"/>
    </xf>
    <xf numFmtId="183" fontId="113" fillId="37" borderId="22" xfId="0" applyNumberFormat="1" applyFont="1" applyFill="1" applyBorder="1" applyAlignment="1">
      <alignment horizontal="right" vertical="center"/>
    </xf>
    <xf numFmtId="49" fontId="2" fillId="37" borderId="16" xfId="0" applyNumberFormat="1" applyFont="1" applyFill="1" applyBorder="1" applyAlignment="1">
      <alignment vertical="center"/>
    </xf>
    <xf numFmtId="49" fontId="1" fillId="0" borderId="10" xfId="0" applyNumberFormat="1" applyFont="1" applyFill="1" applyBorder="1" applyAlignment="1">
      <alignment vertical="center"/>
    </xf>
    <xf numFmtId="49" fontId="1" fillId="0" borderId="12" xfId="0" applyNumberFormat="1" applyFont="1" applyFill="1" applyBorder="1" applyAlignment="1">
      <alignment vertical="center"/>
    </xf>
    <xf numFmtId="0" fontId="108" fillId="39" borderId="18" xfId="0" applyFont="1" applyFill="1" applyBorder="1" applyAlignment="1">
      <alignment/>
    </xf>
    <xf numFmtId="0" fontId="108" fillId="39" borderId="24" xfId="0" applyFont="1" applyFill="1" applyBorder="1" applyAlignment="1">
      <alignment/>
    </xf>
    <xf numFmtId="183" fontId="108" fillId="37" borderId="20" xfId="49" applyNumberFormat="1" applyFont="1" applyFill="1" applyBorder="1" applyAlignment="1">
      <alignment/>
    </xf>
    <xf numFmtId="0" fontId="107" fillId="0" borderId="0" xfId="0" applyFont="1" applyBorder="1" applyAlignment="1">
      <alignment vertical="center"/>
    </xf>
    <xf numFmtId="183" fontId="108" fillId="47" borderId="20" xfId="0" applyNumberFormat="1" applyFont="1" applyFill="1" applyBorder="1" applyAlignment="1">
      <alignment vertical="center"/>
    </xf>
    <xf numFmtId="0" fontId="101" fillId="37" borderId="22" xfId="0" applyNumberFormat="1" applyFont="1" applyFill="1" applyBorder="1" applyAlignment="1">
      <alignment horizontal="left" vertical="center"/>
    </xf>
    <xf numFmtId="49" fontId="101" fillId="37" borderId="17" xfId="0" applyNumberFormat="1" applyFont="1" applyFill="1" applyBorder="1" applyAlignment="1">
      <alignment horizontal="center"/>
    </xf>
    <xf numFmtId="0" fontId="101" fillId="37" borderId="17" xfId="0" applyNumberFormat="1" applyFont="1" applyFill="1" applyBorder="1" applyAlignment="1">
      <alignment horizontal="center" vertical="center"/>
    </xf>
    <xf numFmtId="0" fontId="5" fillId="0" borderId="0" xfId="55" applyFont="1" applyFill="1" applyBorder="1">
      <alignment/>
      <protection/>
    </xf>
    <xf numFmtId="49" fontId="101" fillId="37" borderId="17" xfId="0" applyNumberFormat="1" applyFont="1" applyFill="1" applyBorder="1" applyAlignment="1">
      <alignment horizontal="center" vertical="center"/>
    </xf>
    <xf numFmtId="49" fontId="101" fillId="37" borderId="11" xfId="0" applyNumberFormat="1" applyFont="1" applyFill="1" applyBorder="1" applyAlignment="1">
      <alignment horizontal="center" vertical="center"/>
    </xf>
    <xf numFmtId="49" fontId="101" fillId="37" borderId="21" xfId="0" applyNumberFormat="1" applyFont="1" applyFill="1" applyBorder="1" applyAlignment="1">
      <alignment horizontal="center" vertical="center"/>
    </xf>
    <xf numFmtId="180" fontId="5" fillId="0" borderId="15" xfId="0" applyNumberFormat="1" applyFont="1" applyFill="1" applyBorder="1" applyAlignment="1">
      <alignment vertical="center"/>
    </xf>
    <xf numFmtId="0" fontId="101" fillId="37" borderId="17" xfId="0" applyFont="1" applyFill="1" applyBorder="1" applyAlignment="1">
      <alignment horizontal="center" vertical="center"/>
    </xf>
    <xf numFmtId="0" fontId="44" fillId="0" borderId="0" xfId="0" applyFont="1" applyAlignment="1">
      <alignment vertical="center"/>
    </xf>
    <xf numFmtId="171" fontId="6" fillId="0" borderId="0" xfId="49" applyFont="1" applyFill="1" applyBorder="1" applyAlignment="1">
      <alignment vertical="center"/>
    </xf>
    <xf numFmtId="171" fontId="10" fillId="0" borderId="0" xfId="49" applyFont="1" applyFill="1" applyBorder="1" applyAlignment="1">
      <alignment vertical="center"/>
    </xf>
    <xf numFmtId="171" fontId="103" fillId="0" borderId="0" xfId="49" applyFont="1" applyFill="1" applyBorder="1" applyAlignment="1">
      <alignment vertical="center"/>
    </xf>
    <xf numFmtId="171" fontId="5" fillId="0" borderId="0" xfId="49" applyFont="1" applyFill="1" applyAlignment="1">
      <alignment vertical="center"/>
    </xf>
    <xf numFmtId="171" fontId="5" fillId="0" borderId="0" xfId="49" applyFont="1" applyBorder="1" applyAlignment="1">
      <alignment horizontal="left" vertical="center"/>
    </xf>
    <xf numFmtId="171" fontId="5" fillId="0" borderId="0" xfId="49" applyFont="1" applyFill="1" applyBorder="1" applyAlignment="1">
      <alignment vertical="center"/>
    </xf>
    <xf numFmtId="171" fontId="9" fillId="0" borderId="0" xfId="49" applyFont="1" applyBorder="1" applyAlignment="1">
      <alignment vertical="center"/>
    </xf>
    <xf numFmtId="171" fontId="6" fillId="0" borderId="0" xfId="49" applyFont="1" applyFill="1" applyBorder="1" applyAlignment="1">
      <alignment horizontal="left" vertical="center"/>
    </xf>
    <xf numFmtId="171" fontId="103" fillId="0" borderId="0" xfId="49" applyFont="1" applyFill="1" applyBorder="1" applyAlignment="1">
      <alignment horizontal="left" vertical="center"/>
    </xf>
    <xf numFmtId="183" fontId="0" fillId="0" borderId="0" xfId="0" applyNumberFormat="1" applyFont="1" applyBorder="1" applyAlignment="1">
      <alignment vertical="center"/>
    </xf>
    <xf numFmtId="171" fontId="110" fillId="0" borderId="0" xfId="49" applyFont="1" applyBorder="1" applyAlignment="1">
      <alignment vertical="center"/>
    </xf>
    <xf numFmtId="171" fontId="103" fillId="0" borderId="0" xfId="49" applyFont="1" applyBorder="1" applyAlignment="1">
      <alignment vertical="center"/>
    </xf>
    <xf numFmtId="171" fontId="0" fillId="0" borderId="0" xfId="49" applyFont="1" applyBorder="1" applyAlignment="1">
      <alignment vertical="center"/>
    </xf>
    <xf numFmtId="171" fontId="0" fillId="0" borderId="0" xfId="49" applyFont="1" applyFill="1" applyBorder="1" applyAlignment="1">
      <alignment horizontal="left" vertical="center"/>
    </xf>
    <xf numFmtId="0" fontId="0" fillId="0" borderId="0" xfId="0" applyFont="1" applyBorder="1" applyAlignment="1">
      <alignment vertical="center"/>
    </xf>
    <xf numFmtId="171" fontId="110" fillId="0" borderId="0" xfId="49" applyFont="1" applyFill="1" applyBorder="1" applyAlignment="1">
      <alignment vertical="center"/>
    </xf>
    <xf numFmtId="183" fontId="107" fillId="0" borderId="0" xfId="0" applyNumberFormat="1" applyFont="1" applyFill="1" applyAlignment="1">
      <alignment vertical="center"/>
    </xf>
    <xf numFmtId="171" fontId="6" fillId="0" borderId="0" xfId="49" applyFont="1" applyAlignment="1">
      <alignment vertical="center"/>
    </xf>
    <xf numFmtId="0" fontId="101" fillId="37" borderId="14" xfId="0" applyFont="1" applyFill="1" applyBorder="1" applyAlignment="1">
      <alignment horizontal="left" vertical="center"/>
    </xf>
    <xf numFmtId="0" fontId="50" fillId="0" borderId="0" xfId="0" applyFont="1" applyAlignment="1">
      <alignment horizontal="center" vertical="center"/>
    </xf>
    <xf numFmtId="183" fontId="22" fillId="0" borderId="0" xfId="0" applyNumberFormat="1" applyFont="1" applyBorder="1" applyAlignment="1">
      <alignment vertical="center"/>
    </xf>
    <xf numFmtId="182" fontId="1" fillId="0" borderId="0" xfId="0" applyNumberFormat="1" applyFont="1" applyAlignment="1">
      <alignment/>
    </xf>
    <xf numFmtId="0" fontId="101" fillId="37" borderId="17" xfId="0" applyNumberFormat="1" applyFont="1" applyFill="1" applyBorder="1" applyAlignment="1">
      <alignment horizontal="center"/>
    </xf>
    <xf numFmtId="183" fontId="101" fillId="37" borderId="17" xfId="0" applyNumberFormat="1" applyFont="1" applyFill="1" applyBorder="1" applyAlignment="1">
      <alignment horizontal="center" vertical="center"/>
    </xf>
    <xf numFmtId="0" fontId="50" fillId="0" borderId="0" xfId="0" applyFont="1" applyAlignment="1">
      <alignment horizontal="left" vertical="center"/>
    </xf>
    <xf numFmtId="0" fontId="50" fillId="0" borderId="0" xfId="0" applyFont="1" applyAlignment="1">
      <alignment vertical="center"/>
    </xf>
    <xf numFmtId="182" fontId="1" fillId="0" borderId="0" xfId="0" applyNumberFormat="1" applyFont="1" applyAlignment="1">
      <alignment horizontal="left" vertical="center"/>
    </xf>
    <xf numFmtId="183" fontId="6" fillId="0" borderId="0" xfId="0" applyNumberFormat="1" applyFont="1" applyFill="1" applyAlignment="1">
      <alignment/>
    </xf>
    <xf numFmtId="182" fontId="1" fillId="0" borderId="0" xfId="0" applyNumberFormat="1" applyFont="1" applyFill="1" applyAlignment="1">
      <alignment vertical="center"/>
    </xf>
    <xf numFmtId="0" fontId="22" fillId="0" borderId="0" xfId="0" applyFont="1" applyFill="1" applyBorder="1" applyAlignment="1">
      <alignment vertical="center"/>
    </xf>
    <xf numFmtId="183" fontId="0" fillId="0" borderId="0" xfId="0" applyNumberFormat="1" applyFont="1" applyFill="1" applyBorder="1" applyAlignment="1">
      <alignment vertical="center"/>
    </xf>
    <xf numFmtId="171" fontId="1" fillId="0" borderId="0" xfId="49" applyFont="1" applyAlignment="1">
      <alignment/>
    </xf>
    <xf numFmtId="171" fontId="5" fillId="0" borderId="0" xfId="49" applyFont="1" applyFill="1" applyBorder="1" applyAlignment="1">
      <alignment horizontal="right" vertical="center"/>
    </xf>
    <xf numFmtId="171" fontId="5" fillId="0" borderId="0" xfId="49" applyFont="1" applyFill="1" applyBorder="1" applyAlignment="1">
      <alignment/>
    </xf>
    <xf numFmtId="171" fontId="1" fillId="0" borderId="0" xfId="49" applyFont="1" applyAlignment="1">
      <alignment vertical="center"/>
    </xf>
    <xf numFmtId="171" fontId="1" fillId="0" borderId="0" xfId="49" applyFont="1" applyFill="1" applyAlignment="1">
      <alignment horizontal="left"/>
    </xf>
    <xf numFmtId="0" fontId="101" fillId="37" borderId="14" xfId="0" applyFont="1" applyFill="1" applyBorder="1" applyAlignment="1">
      <alignment horizontal="left" vertical="center"/>
    </xf>
    <xf numFmtId="171" fontId="5" fillId="0" borderId="0" xfId="0" applyNumberFormat="1" applyFont="1" applyAlignment="1">
      <alignment horizontal="right" vertical="center"/>
    </xf>
    <xf numFmtId="0" fontId="101" fillId="0" borderId="0" xfId="0" applyFont="1" applyFill="1" applyBorder="1" applyAlignment="1">
      <alignment vertical="center"/>
    </xf>
    <xf numFmtId="0" fontId="101" fillId="0" borderId="0" xfId="0" applyFont="1" applyFill="1" applyBorder="1" applyAlignment="1">
      <alignment horizontal="center" vertical="center"/>
    </xf>
    <xf numFmtId="9" fontId="5" fillId="0" borderId="0" xfId="58" applyNumberFormat="1" applyFont="1" applyFill="1" applyBorder="1" applyAlignment="1">
      <alignment vertical="center"/>
    </xf>
    <xf numFmtId="185" fontId="5" fillId="0" borderId="0" xfId="58" applyNumberFormat="1" applyFont="1" applyFill="1" applyBorder="1" applyAlignment="1">
      <alignment vertical="center"/>
    </xf>
    <xf numFmtId="9" fontId="1" fillId="0" borderId="0" xfId="58" applyFont="1" applyAlignment="1">
      <alignment/>
    </xf>
    <xf numFmtId="9" fontId="13" fillId="0" borderId="0" xfId="0" applyNumberFormat="1" applyFont="1" applyBorder="1" applyAlignment="1">
      <alignment vertical="center"/>
    </xf>
    <xf numFmtId="4" fontId="1" fillId="0" borderId="0" xfId="0" applyNumberFormat="1" applyFont="1" applyBorder="1" applyAlignment="1">
      <alignment horizontal="left" vertical="center"/>
    </xf>
    <xf numFmtId="183" fontId="101" fillId="48" borderId="20" xfId="0" applyNumberFormat="1" applyFont="1" applyFill="1" applyBorder="1" applyAlignment="1">
      <alignment horizontal="right" vertical="center"/>
    </xf>
    <xf numFmtId="0" fontId="101" fillId="48" borderId="20" xfId="0" applyNumberFormat="1" applyFont="1" applyFill="1" applyBorder="1" applyAlignment="1">
      <alignment horizontal="center" vertical="center"/>
    </xf>
    <xf numFmtId="183" fontId="101" fillId="48" borderId="21" xfId="0" applyNumberFormat="1" applyFont="1" applyFill="1" applyBorder="1" applyAlignment="1">
      <alignment horizontal="right" vertical="center"/>
    </xf>
    <xf numFmtId="183" fontId="101" fillId="48" borderId="14" xfId="0" applyNumberFormat="1" applyFont="1" applyFill="1" applyBorder="1" applyAlignment="1">
      <alignment horizontal="right" vertical="center"/>
    </xf>
    <xf numFmtId="183" fontId="101" fillId="37" borderId="10" xfId="0" applyNumberFormat="1" applyFont="1" applyFill="1" applyBorder="1" applyAlignment="1">
      <alignment horizontal="right" vertical="center"/>
    </xf>
    <xf numFmtId="183" fontId="101" fillId="37" borderId="12" xfId="0" applyNumberFormat="1" applyFont="1" applyFill="1" applyBorder="1" applyAlignment="1">
      <alignment horizontal="right" vertical="center"/>
    </xf>
    <xf numFmtId="0" fontId="101" fillId="48" borderId="21" xfId="0" applyNumberFormat="1" applyFont="1" applyFill="1" applyBorder="1" applyAlignment="1">
      <alignment horizontal="center" vertical="center"/>
    </xf>
    <xf numFmtId="0" fontId="101" fillId="37" borderId="23" xfId="0" applyNumberFormat="1" applyFont="1" applyFill="1" applyBorder="1" applyAlignment="1">
      <alignment horizontal="left" vertical="center"/>
    </xf>
    <xf numFmtId="0" fontId="101" fillId="48" borderId="17" xfId="0" applyNumberFormat="1" applyFont="1" applyFill="1" applyBorder="1" applyAlignment="1">
      <alignment horizontal="center" vertical="center"/>
    </xf>
    <xf numFmtId="0" fontId="101" fillId="48" borderId="16" xfId="0" applyNumberFormat="1" applyFont="1" applyFill="1" applyBorder="1" applyAlignment="1">
      <alignment horizontal="left" vertical="center"/>
    </xf>
    <xf numFmtId="44" fontId="101" fillId="0" borderId="0" xfId="0" applyNumberFormat="1" applyFont="1" applyFill="1" applyBorder="1" applyAlignment="1">
      <alignment vertical="center"/>
    </xf>
    <xf numFmtId="0" fontId="4" fillId="0" borderId="0" xfId="0" applyFont="1" applyFill="1" applyBorder="1" applyAlignment="1">
      <alignment/>
    </xf>
    <xf numFmtId="0" fontId="101" fillId="0" borderId="0" xfId="0" applyFont="1" applyFill="1" applyBorder="1" applyAlignment="1">
      <alignment horizontal="right" vertical="center"/>
    </xf>
    <xf numFmtId="9" fontId="5" fillId="0" borderId="0" xfId="58" applyFont="1" applyFill="1" applyBorder="1" applyAlignment="1">
      <alignment/>
    </xf>
    <xf numFmtId="9" fontId="5" fillId="0" borderId="0" xfId="58" applyFont="1" applyFill="1" applyBorder="1" applyAlignment="1">
      <alignment vertical="center"/>
    </xf>
    <xf numFmtId="9" fontId="1" fillId="0" borderId="0" xfId="58" applyFont="1" applyFill="1" applyAlignment="1">
      <alignment horizontal="left"/>
    </xf>
    <xf numFmtId="9" fontId="1" fillId="0" borderId="0" xfId="58" applyFont="1" applyFill="1" applyBorder="1" applyAlignment="1">
      <alignment horizontal="left"/>
    </xf>
    <xf numFmtId="183" fontId="101" fillId="48" borderId="22" xfId="0" applyNumberFormat="1" applyFont="1" applyFill="1" applyBorder="1" applyAlignment="1">
      <alignment horizontal="right" vertical="center"/>
    </xf>
    <xf numFmtId="0" fontId="101" fillId="48" borderId="22" xfId="0" applyNumberFormat="1" applyFont="1" applyFill="1" applyBorder="1" applyAlignment="1">
      <alignment horizontal="left" vertical="center"/>
    </xf>
    <xf numFmtId="10" fontId="8" fillId="0" borderId="0" xfId="58" applyNumberFormat="1" applyFont="1" applyFill="1" applyBorder="1" applyAlignment="1">
      <alignment vertical="center"/>
    </xf>
    <xf numFmtId="10" fontId="5" fillId="0" borderId="0" xfId="58" applyNumberFormat="1" applyFont="1" applyFill="1" applyBorder="1" applyAlignment="1">
      <alignment vertical="center"/>
    </xf>
    <xf numFmtId="10" fontId="103" fillId="0" borderId="0" xfId="58" applyNumberFormat="1" applyFont="1" applyFill="1" applyBorder="1" applyAlignment="1">
      <alignment vertical="center"/>
    </xf>
    <xf numFmtId="10" fontId="103" fillId="0" borderId="0" xfId="58" applyNumberFormat="1" applyFont="1" applyFill="1" applyBorder="1" applyAlignment="1">
      <alignment horizontal="left" vertical="center"/>
    </xf>
    <xf numFmtId="0" fontId="48" fillId="37" borderId="16" xfId="0" applyNumberFormat="1" applyFont="1" applyFill="1" applyBorder="1" applyAlignment="1">
      <alignment horizontal="center" vertical="center"/>
    </xf>
    <xf numFmtId="0" fontId="101" fillId="48" borderId="16" xfId="0" applyNumberFormat="1" applyFont="1" applyFill="1" applyBorder="1" applyAlignment="1">
      <alignment vertical="center"/>
    </xf>
    <xf numFmtId="183" fontId="101" fillId="48" borderId="17" xfId="0" applyNumberFormat="1" applyFont="1" applyFill="1" applyBorder="1" applyAlignment="1">
      <alignment horizontal="center" vertical="center"/>
    </xf>
    <xf numFmtId="183" fontId="101" fillId="48" borderId="11" xfId="0" applyNumberFormat="1" applyFont="1" applyFill="1" applyBorder="1" applyAlignment="1">
      <alignment horizontal="center" vertical="center"/>
    </xf>
    <xf numFmtId="183" fontId="101" fillId="48" borderId="23" xfId="0" applyNumberFormat="1" applyFont="1" applyFill="1" applyBorder="1" applyAlignment="1">
      <alignment vertical="center"/>
    </xf>
    <xf numFmtId="183" fontId="101" fillId="48" borderId="22" xfId="0" applyNumberFormat="1" applyFont="1" applyFill="1" applyBorder="1" applyAlignment="1">
      <alignment vertical="center"/>
    </xf>
    <xf numFmtId="183" fontId="101" fillId="48" borderId="23" xfId="0" applyNumberFormat="1" applyFont="1" applyFill="1" applyBorder="1" applyAlignment="1">
      <alignment horizontal="right" vertical="center"/>
    </xf>
    <xf numFmtId="183" fontId="101" fillId="48" borderId="21" xfId="0" applyNumberFormat="1" applyFont="1" applyFill="1" applyBorder="1" applyAlignment="1">
      <alignment horizontal="center" vertical="center"/>
    </xf>
    <xf numFmtId="183" fontId="101" fillId="48" borderId="23" xfId="0" applyNumberFormat="1" applyFont="1" applyFill="1" applyBorder="1" applyAlignment="1">
      <alignment horizontal="center" vertical="center"/>
    </xf>
    <xf numFmtId="183" fontId="101" fillId="48" borderId="22" xfId="0" applyNumberFormat="1" applyFont="1" applyFill="1" applyBorder="1" applyAlignment="1">
      <alignment horizontal="center" vertical="center"/>
    </xf>
    <xf numFmtId="170" fontId="22" fillId="0" borderId="0" xfId="52" applyFont="1" applyFill="1" applyBorder="1" applyAlignment="1">
      <alignment vertical="center"/>
    </xf>
    <xf numFmtId="0" fontId="101" fillId="48" borderId="23" xfId="0" applyNumberFormat="1" applyFont="1" applyFill="1" applyBorder="1" applyAlignment="1">
      <alignment horizontal="left" vertical="center"/>
    </xf>
    <xf numFmtId="183" fontId="101" fillId="48" borderId="10" xfId="0" applyNumberFormat="1" applyFont="1" applyFill="1" applyBorder="1" applyAlignment="1">
      <alignment horizontal="right" vertical="center"/>
    </xf>
    <xf numFmtId="183" fontId="101" fillId="48" borderId="12" xfId="0" applyNumberFormat="1" applyFont="1" applyFill="1" applyBorder="1" applyAlignment="1">
      <alignment horizontal="right" vertical="center"/>
    </xf>
    <xf numFmtId="49" fontId="101" fillId="37" borderId="22" xfId="0" applyNumberFormat="1" applyFont="1" applyFill="1" applyBorder="1" applyAlignment="1">
      <alignment vertical="center"/>
    </xf>
    <xf numFmtId="9" fontId="1" fillId="0" borderId="0" xfId="58" applyFont="1" applyAlignment="1">
      <alignment vertical="center"/>
    </xf>
    <xf numFmtId="9" fontId="1" fillId="0" borderId="0" xfId="58" applyFont="1" applyFill="1" applyAlignment="1">
      <alignment vertical="center"/>
    </xf>
    <xf numFmtId="9" fontId="5" fillId="0" borderId="0" xfId="58" applyFont="1" applyBorder="1" applyAlignment="1">
      <alignment vertical="center"/>
    </xf>
    <xf numFmtId="9" fontId="5" fillId="0" borderId="0" xfId="58" applyNumberFormat="1" applyFont="1" applyFill="1" applyBorder="1" applyAlignment="1">
      <alignment horizontal="left" vertical="center"/>
    </xf>
    <xf numFmtId="9" fontId="5" fillId="0" borderId="0" xfId="58" applyFont="1" applyFill="1" applyBorder="1" applyAlignment="1">
      <alignment horizontal="left" vertical="center"/>
    </xf>
    <xf numFmtId="9" fontId="1" fillId="0" borderId="0" xfId="58" applyFont="1" applyBorder="1" applyAlignment="1">
      <alignment/>
    </xf>
    <xf numFmtId="180" fontId="5" fillId="0" borderId="0" xfId="0" applyNumberFormat="1" applyFont="1" applyBorder="1" applyAlignment="1">
      <alignment vertical="center" wrapText="1"/>
    </xf>
    <xf numFmtId="0" fontId="15" fillId="0" borderId="0" xfId="0" applyFont="1" applyBorder="1" applyAlignment="1">
      <alignment vertical="center" wrapText="1"/>
    </xf>
    <xf numFmtId="0" fontId="0" fillId="0" borderId="0" xfId="0" applyBorder="1" applyAlignment="1">
      <alignment vertical="center" wrapText="1"/>
    </xf>
    <xf numFmtId="0" fontId="104" fillId="0" borderId="0" xfId="0" applyFont="1" applyBorder="1" applyAlignment="1">
      <alignment vertical="center"/>
    </xf>
    <xf numFmtId="0" fontId="104" fillId="0" borderId="0" xfId="0" applyFont="1" applyBorder="1" applyAlignment="1">
      <alignment horizontal="left" vertical="center"/>
    </xf>
    <xf numFmtId="0" fontId="115" fillId="0" borderId="0" xfId="0" applyFont="1" applyAlignment="1">
      <alignment/>
    </xf>
    <xf numFmtId="10" fontId="5" fillId="0" borderId="0" xfId="58" applyNumberFormat="1" applyFont="1" applyFill="1" applyBorder="1" applyAlignment="1">
      <alignment/>
    </xf>
    <xf numFmtId="183" fontId="15" fillId="0" borderId="0" xfId="0" applyNumberFormat="1" applyFont="1" applyAlignment="1">
      <alignment/>
    </xf>
    <xf numFmtId="180" fontId="1" fillId="0" borderId="0" xfId="0" applyNumberFormat="1" applyFont="1" applyFill="1" applyAlignment="1">
      <alignment/>
    </xf>
    <xf numFmtId="9" fontId="5" fillId="0" borderId="0" xfId="58" applyFont="1" applyAlignment="1">
      <alignment/>
    </xf>
    <xf numFmtId="9" fontId="5" fillId="0" borderId="0" xfId="58" applyFont="1" applyFill="1" applyAlignment="1">
      <alignment horizontal="left"/>
    </xf>
    <xf numFmtId="183" fontId="5" fillId="0" borderId="0" xfId="0" applyNumberFormat="1" applyFont="1" applyFill="1" applyAlignment="1">
      <alignment horizontal="right"/>
    </xf>
    <xf numFmtId="183" fontId="3" fillId="0" borderId="0" xfId="0" applyNumberFormat="1" applyFont="1" applyFill="1" applyAlignment="1">
      <alignment/>
    </xf>
    <xf numFmtId="183" fontId="2" fillId="0" borderId="0" xfId="0" applyNumberFormat="1" applyFont="1" applyFill="1" applyAlignment="1">
      <alignment/>
    </xf>
    <xf numFmtId="183" fontId="1" fillId="0" borderId="0" xfId="0" applyNumberFormat="1" applyFont="1" applyFill="1" applyAlignment="1">
      <alignment/>
    </xf>
    <xf numFmtId="0" fontId="108" fillId="49" borderId="14" xfId="0" applyFont="1" applyFill="1" applyBorder="1" applyAlignment="1">
      <alignment/>
    </xf>
    <xf numFmtId="0" fontId="108" fillId="49" borderId="15" xfId="0" applyFont="1" applyFill="1" applyBorder="1" applyAlignment="1">
      <alignment/>
    </xf>
    <xf numFmtId="183" fontId="108" fillId="49" borderId="15" xfId="0" applyNumberFormat="1" applyFont="1" applyFill="1" applyBorder="1" applyAlignment="1">
      <alignment/>
    </xf>
    <xf numFmtId="183" fontId="108" fillId="49" borderId="21" xfId="0" applyNumberFormat="1" applyFont="1" applyFill="1" applyBorder="1" applyAlignment="1">
      <alignment horizontal="right"/>
    </xf>
    <xf numFmtId="49" fontId="101" fillId="49" borderId="17" xfId="0" applyNumberFormat="1" applyFont="1" applyFill="1" applyBorder="1" applyAlignment="1">
      <alignment horizontal="center"/>
    </xf>
    <xf numFmtId="0" fontId="108" fillId="49" borderId="12" xfId="0" applyFont="1" applyFill="1" applyBorder="1" applyAlignment="1">
      <alignment/>
    </xf>
    <xf numFmtId="0" fontId="108" fillId="49" borderId="13" xfId="0" applyFont="1" applyFill="1" applyBorder="1" applyAlignment="1">
      <alignment/>
    </xf>
    <xf numFmtId="183" fontId="108" fillId="49" borderId="13" xfId="0" applyNumberFormat="1" applyFont="1" applyFill="1" applyBorder="1" applyAlignment="1">
      <alignment/>
    </xf>
    <xf numFmtId="183" fontId="108" fillId="49" borderId="22" xfId="0" applyNumberFormat="1" applyFont="1" applyFill="1" applyBorder="1" applyAlignment="1">
      <alignment horizontal="right"/>
    </xf>
    <xf numFmtId="49" fontId="101" fillId="49" borderId="16" xfId="0" applyNumberFormat="1" applyFont="1" applyFill="1" applyBorder="1" applyAlignment="1">
      <alignment/>
    </xf>
    <xf numFmtId="0" fontId="108" fillId="49" borderId="18" xfId="0" applyFont="1" applyFill="1" applyBorder="1" applyAlignment="1">
      <alignment/>
    </xf>
    <xf numFmtId="0" fontId="108" fillId="49" borderId="19" xfId="0" applyFont="1" applyFill="1" applyBorder="1" applyAlignment="1">
      <alignment/>
    </xf>
    <xf numFmtId="183" fontId="108" fillId="49" borderId="19" xfId="0" applyNumberFormat="1" applyFont="1" applyFill="1" applyBorder="1" applyAlignment="1">
      <alignment/>
    </xf>
    <xf numFmtId="183" fontId="108" fillId="49" borderId="20" xfId="0" applyNumberFormat="1" applyFont="1" applyFill="1" applyBorder="1" applyAlignment="1">
      <alignment/>
    </xf>
    <xf numFmtId="9" fontId="5" fillId="0" borderId="0" xfId="58" applyFont="1" applyAlignment="1">
      <alignment/>
    </xf>
    <xf numFmtId="183" fontId="108" fillId="46" borderId="20" xfId="0" applyNumberFormat="1" applyFont="1" applyFill="1" applyBorder="1" applyAlignment="1">
      <alignment/>
    </xf>
    <xf numFmtId="185" fontId="2" fillId="0" borderId="0" xfId="58" applyNumberFormat="1" applyFont="1" applyBorder="1" applyAlignment="1">
      <alignment/>
    </xf>
    <xf numFmtId="185" fontId="6" fillId="0" borderId="0" xfId="58" applyNumberFormat="1" applyFont="1" applyBorder="1" applyAlignment="1">
      <alignment vertical="center"/>
    </xf>
    <xf numFmtId="185" fontId="1" fillId="0" borderId="0" xfId="58" applyNumberFormat="1" applyFont="1" applyBorder="1" applyAlignment="1">
      <alignment/>
    </xf>
    <xf numFmtId="185" fontId="1" fillId="0" borderId="0" xfId="58" applyNumberFormat="1" applyFont="1" applyFill="1" applyBorder="1" applyAlignment="1">
      <alignment/>
    </xf>
    <xf numFmtId="185" fontId="6" fillId="0" borderId="0" xfId="58" applyNumberFormat="1" applyFont="1" applyFill="1" applyBorder="1" applyAlignment="1">
      <alignment vertical="center"/>
    </xf>
    <xf numFmtId="185" fontId="2" fillId="0" borderId="0" xfId="58" applyNumberFormat="1" applyFont="1" applyFill="1" applyBorder="1" applyAlignment="1">
      <alignment/>
    </xf>
    <xf numFmtId="49" fontId="1" fillId="0" borderId="0" xfId="0" applyNumberFormat="1" applyFont="1" applyFill="1" applyBorder="1" applyAlignment="1">
      <alignment vertical="center"/>
    </xf>
    <xf numFmtId="44" fontId="43" fillId="0" borderId="0" xfId="0" applyNumberFormat="1" applyFont="1" applyFill="1" applyBorder="1" applyAlignment="1">
      <alignment vertical="center"/>
    </xf>
    <xf numFmtId="0" fontId="101" fillId="49" borderId="14" xfId="0" applyFont="1" applyFill="1" applyBorder="1" applyAlignment="1">
      <alignment vertical="center"/>
    </xf>
    <xf numFmtId="44" fontId="2" fillId="49" borderId="15" xfId="0" applyNumberFormat="1" applyFont="1" applyFill="1" applyBorder="1" applyAlignment="1">
      <alignment vertical="center"/>
    </xf>
    <xf numFmtId="183" fontId="2" fillId="49" borderId="15" xfId="0" applyNumberFormat="1" applyFont="1" applyFill="1" applyBorder="1" applyAlignment="1">
      <alignment vertical="center"/>
    </xf>
    <xf numFmtId="0" fontId="101" fillId="49" borderId="21" xfId="0" applyFont="1" applyFill="1" applyBorder="1" applyAlignment="1">
      <alignment horizontal="right" vertical="center"/>
    </xf>
    <xf numFmtId="0" fontId="101" fillId="49" borderId="17" xfId="0" applyFont="1" applyFill="1" applyBorder="1" applyAlignment="1">
      <alignment horizontal="center" vertical="center"/>
    </xf>
    <xf numFmtId="0" fontId="2" fillId="49" borderId="12" xfId="0" applyFont="1" applyFill="1" applyBorder="1" applyAlignment="1">
      <alignment vertical="center"/>
    </xf>
    <xf numFmtId="44" fontId="2" fillId="49" borderId="13" xfId="0" applyNumberFormat="1" applyFont="1" applyFill="1" applyBorder="1" applyAlignment="1">
      <alignment vertical="center"/>
    </xf>
    <xf numFmtId="183" fontId="2" fillId="49" borderId="13" xfId="0" applyNumberFormat="1" applyFont="1" applyFill="1" applyBorder="1" applyAlignment="1">
      <alignment vertical="center"/>
    </xf>
    <xf numFmtId="0" fontId="2" fillId="49" borderId="22" xfId="0" applyFont="1" applyFill="1" applyBorder="1" applyAlignment="1">
      <alignment horizontal="right" vertical="center"/>
    </xf>
    <xf numFmtId="0" fontId="2" fillId="49" borderId="16" xfId="0" applyFont="1" applyFill="1" applyBorder="1" applyAlignment="1">
      <alignment horizontal="left" vertical="center"/>
    </xf>
    <xf numFmtId="0" fontId="108" fillId="49" borderId="12" xfId="0" applyFont="1" applyFill="1" applyBorder="1" applyAlignment="1">
      <alignment vertical="center"/>
    </xf>
    <xf numFmtId="44" fontId="6" fillId="49" borderId="13" xfId="0" applyNumberFormat="1" applyFont="1" applyFill="1" applyBorder="1" applyAlignment="1">
      <alignment vertical="center"/>
    </xf>
    <xf numFmtId="183" fontId="6" fillId="49" borderId="13" xfId="0" applyNumberFormat="1" applyFont="1" applyFill="1" applyBorder="1" applyAlignment="1">
      <alignment vertical="center"/>
    </xf>
    <xf numFmtId="44" fontId="6" fillId="49" borderId="16" xfId="0" applyNumberFormat="1" applyFont="1" applyFill="1" applyBorder="1" applyAlignment="1">
      <alignment horizontal="right" vertical="center"/>
    </xf>
    <xf numFmtId="183" fontId="108" fillId="49" borderId="16" xfId="0" applyNumberFormat="1" applyFont="1" applyFill="1" applyBorder="1" applyAlignment="1">
      <alignment vertical="center"/>
    </xf>
    <xf numFmtId="0" fontId="5" fillId="0" borderId="0" xfId="0" applyNumberFormat="1" applyFont="1" applyFill="1" applyAlignment="1">
      <alignment horizontal="right"/>
    </xf>
    <xf numFmtId="9" fontId="5" fillId="0" borderId="0" xfId="0" applyNumberFormat="1" applyFont="1" applyFill="1" applyBorder="1" applyAlignment="1">
      <alignment horizontal="left"/>
    </xf>
    <xf numFmtId="0" fontId="13" fillId="0" borderId="0" xfId="0" applyFont="1" applyAlignment="1">
      <alignment vertical="center"/>
    </xf>
    <xf numFmtId="44" fontId="13" fillId="0" borderId="0" xfId="0" applyNumberFormat="1" applyFont="1" applyBorder="1" applyAlignment="1">
      <alignment vertical="center"/>
    </xf>
    <xf numFmtId="0" fontId="44" fillId="0" borderId="0" xfId="0" applyFont="1" applyBorder="1" applyAlignment="1">
      <alignment horizontal="right" vertical="center"/>
    </xf>
    <xf numFmtId="180" fontId="13" fillId="0" borderId="0" xfId="0" applyNumberFormat="1" applyFont="1" applyAlignment="1">
      <alignment/>
    </xf>
    <xf numFmtId="4" fontId="13" fillId="0" borderId="0" xfId="0" applyNumberFormat="1" applyFont="1" applyAlignment="1">
      <alignment horizontal="left"/>
    </xf>
    <xf numFmtId="44" fontId="13" fillId="0" borderId="0" xfId="0" applyNumberFormat="1" applyFont="1" applyAlignment="1">
      <alignment vertical="center"/>
    </xf>
    <xf numFmtId="0" fontId="44" fillId="0" borderId="0" xfId="0" applyFont="1" applyAlignment="1">
      <alignment horizontal="right" vertical="center"/>
    </xf>
    <xf numFmtId="0" fontId="13" fillId="0" borderId="0" xfId="0" applyFont="1" applyAlignment="1">
      <alignment horizontal="left"/>
    </xf>
    <xf numFmtId="44" fontId="5" fillId="0" borderId="0" xfId="0" applyNumberFormat="1" applyFont="1" applyAlignment="1">
      <alignment vertical="center"/>
    </xf>
    <xf numFmtId="0" fontId="51" fillId="0" borderId="0" xfId="0" applyFont="1" applyAlignment="1">
      <alignment horizontal="right" vertical="center"/>
    </xf>
    <xf numFmtId="183" fontId="13" fillId="0" borderId="0" xfId="0" applyNumberFormat="1" applyFont="1" applyAlignment="1">
      <alignment/>
    </xf>
    <xf numFmtId="0" fontId="101" fillId="49" borderId="15" xfId="0" applyFont="1" applyFill="1" applyBorder="1" applyAlignment="1">
      <alignment vertical="center"/>
    </xf>
    <xf numFmtId="183" fontId="101" fillId="49" borderId="15" xfId="0" applyNumberFormat="1" applyFont="1" applyFill="1" applyBorder="1" applyAlignment="1">
      <alignment vertical="center"/>
    </xf>
    <xf numFmtId="183" fontId="101" fillId="49" borderId="21" xfId="0" applyNumberFormat="1" applyFont="1" applyFill="1" applyBorder="1" applyAlignment="1">
      <alignment horizontal="right" vertical="center"/>
    </xf>
    <xf numFmtId="49" fontId="101" fillId="49" borderId="17" xfId="0" applyNumberFormat="1" applyFont="1" applyFill="1" applyBorder="1" applyAlignment="1">
      <alignment horizontal="center" vertical="center"/>
    </xf>
    <xf numFmtId="0" fontId="101" fillId="49" borderId="12" xfId="0" applyFont="1" applyFill="1" applyBorder="1" applyAlignment="1">
      <alignment vertical="center"/>
    </xf>
    <xf numFmtId="0" fontId="101" fillId="49" borderId="13" xfId="0" applyFont="1" applyFill="1" applyBorder="1" applyAlignment="1">
      <alignment vertical="center"/>
    </xf>
    <xf numFmtId="183" fontId="101" fillId="49" borderId="13" xfId="0" applyNumberFormat="1" applyFont="1" applyFill="1" applyBorder="1" applyAlignment="1">
      <alignment vertical="center"/>
    </xf>
    <xf numFmtId="183" fontId="101" fillId="49" borderId="22" xfId="0" applyNumberFormat="1" applyFont="1" applyFill="1" applyBorder="1" applyAlignment="1">
      <alignment horizontal="right" vertical="center"/>
    </xf>
    <xf numFmtId="49" fontId="101" fillId="49" borderId="16" xfId="0" applyNumberFormat="1" applyFont="1" applyFill="1" applyBorder="1" applyAlignment="1">
      <alignment vertical="center"/>
    </xf>
    <xf numFmtId="0" fontId="108" fillId="49" borderId="18" xfId="0" applyFont="1" applyFill="1" applyBorder="1" applyAlignment="1">
      <alignment vertical="center"/>
    </xf>
    <xf numFmtId="0" fontId="108" fillId="49" borderId="19" xfId="0" applyFont="1" applyFill="1" applyBorder="1" applyAlignment="1">
      <alignment vertical="center"/>
    </xf>
    <xf numFmtId="183" fontId="108" fillId="49" borderId="19" xfId="0" applyNumberFormat="1" applyFont="1" applyFill="1" applyBorder="1" applyAlignment="1">
      <alignment vertical="center"/>
    </xf>
    <xf numFmtId="183" fontId="108" fillId="49" borderId="24" xfId="0" applyNumberFormat="1" applyFont="1" applyFill="1" applyBorder="1" applyAlignment="1">
      <alignment vertical="center"/>
    </xf>
    <xf numFmtId="183" fontId="108" fillId="49" borderId="20" xfId="0" applyNumberFormat="1" applyFont="1" applyFill="1" applyBorder="1" applyAlignment="1">
      <alignment vertical="center"/>
    </xf>
    <xf numFmtId="0" fontId="5" fillId="0" borderId="0" xfId="0" applyNumberFormat="1" applyFont="1" applyFill="1" applyAlignment="1">
      <alignment/>
    </xf>
    <xf numFmtId="183" fontId="108" fillId="46" borderId="20" xfId="0" applyNumberFormat="1" applyFont="1" applyFill="1" applyBorder="1" applyAlignment="1">
      <alignment vertical="center"/>
    </xf>
    <xf numFmtId="10" fontId="6" fillId="0" borderId="0" xfId="58" applyNumberFormat="1" applyFont="1" applyFill="1" applyBorder="1" applyAlignment="1">
      <alignment vertical="center"/>
    </xf>
    <xf numFmtId="183" fontId="43" fillId="0" borderId="0" xfId="0" applyNumberFormat="1" applyFont="1" applyBorder="1" applyAlignment="1">
      <alignment vertical="center"/>
    </xf>
    <xf numFmtId="10" fontId="1" fillId="0" borderId="0" xfId="58" applyNumberFormat="1" applyFont="1" applyAlignment="1">
      <alignment vertical="center"/>
    </xf>
    <xf numFmtId="10" fontId="1" fillId="0" borderId="0" xfId="58" applyNumberFormat="1" applyFont="1" applyFill="1" applyAlignment="1">
      <alignment horizontal="right" vertical="center"/>
    </xf>
    <xf numFmtId="0" fontId="101" fillId="49" borderId="14" xfId="0" applyFont="1" applyFill="1" applyBorder="1" applyAlignment="1">
      <alignment/>
    </xf>
    <xf numFmtId="0" fontId="101" fillId="49" borderId="15" xfId="0" applyFont="1" applyFill="1" applyBorder="1" applyAlignment="1">
      <alignment/>
    </xf>
    <xf numFmtId="183" fontId="101" fillId="49" borderId="15" xfId="0" applyNumberFormat="1" applyFont="1" applyFill="1" applyBorder="1" applyAlignment="1">
      <alignment/>
    </xf>
    <xf numFmtId="183" fontId="101" fillId="49" borderId="21" xfId="0" applyNumberFormat="1" applyFont="1" applyFill="1" applyBorder="1" applyAlignment="1">
      <alignment horizontal="right"/>
    </xf>
    <xf numFmtId="0" fontId="101" fillId="49" borderId="12" xfId="0" applyFont="1" applyFill="1" applyBorder="1" applyAlignment="1">
      <alignment/>
    </xf>
    <xf numFmtId="0" fontId="101" fillId="49" borderId="13" xfId="0" applyFont="1" applyFill="1" applyBorder="1" applyAlignment="1">
      <alignment/>
    </xf>
    <xf numFmtId="183" fontId="101" fillId="49" borderId="13" xfId="0" applyNumberFormat="1" applyFont="1" applyFill="1" applyBorder="1" applyAlignment="1">
      <alignment/>
    </xf>
    <xf numFmtId="183" fontId="101" fillId="49" borderId="22" xfId="0" applyNumberFormat="1" applyFont="1" applyFill="1" applyBorder="1" applyAlignment="1">
      <alignment horizontal="right"/>
    </xf>
    <xf numFmtId="183" fontId="108" fillId="49" borderId="24" xfId="0" applyNumberFormat="1" applyFont="1" applyFill="1" applyBorder="1" applyAlignment="1">
      <alignment/>
    </xf>
    <xf numFmtId="0" fontId="5" fillId="0" borderId="0" xfId="58" applyNumberFormat="1" applyFont="1" applyAlignment="1">
      <alignment/>
    </xf>
    <xf numFmtId="0" fontId="2" fillId="0" borderId="0" xfId="0" applyFont="1" applyFill="1" applyBorder="1" applyAlignment="1">
      <alignment/>
    </xf>
    <xf numFmtId="0" fontId="5" fillId="0" borderId="0" xfId="0" applyNumberFormat="1" applyFont="1" applyAlignment="1">
      <alignment vertical="center"/>
    </xf>
    <xf numFmtId="9" fontId="1" fillId="0" borderId="0" xfId="58" applyFont="1" applyFill="1" applyAlignment="1">
      <alignment horizontal="left" vertical="center"/>
    </xf>
    <xf numFmtId="0" fontId="108" fillId="49" borderId="13" xfId="0" applyFont="1" applyFill="1" applyBorder="1" applyAlignment="1">
      <alignment vertical="center"/>
    </xf>
    <xf numFmtId="183" fontId="108" fillId="49" borderId="13" xfId="0" applyNumberFormat="1" applyFont="1" applyFill="1" applyBorder="1" applyAlignment="1">
      <alignment vertical="center"/>
    </xf>
    <xf numFmtId="183" fontId="108" fillId="49" borderId="22" xfId="0" applyNumberFormat="1" applyFont="1" applyFill="1" applyBorder="1" applyAlignment="1">
      <alignment vertical="center"/>
    </xf>
    <xf numFmtId="10" fontId="1" fillId="0" borderId="0" xfId="58" applyNumberFormat="1" applyFont="1" applyAlignment="1">
      <alignment/>
    </xf>
    <xf numFmtId="183" fontId="1" fillId="0" borderId="0" xfId="58" applyNumberFormat="1" applyFont="1" applyFill="1" applyAlignment="1">
      <alignment horizontal="left"/>
    </xf>
    <xf numFmtId="0" fontId="2" fillId="0" borderId="0" xfId="0" applyFont="1" applyAlignment="1">
      <alignment horizontal="center"/>
    </xf>
    <xf numFmtId="183" fontId="1" fillId="0" borderId="0" xfId="0" applyNumberFormat="1" applyFont="1" applyAlignment="1">
      <alignment horizontal="center"/>
    </xf>
    <xf numFmtId="183" fontId="5" fillId="0" borderId="0" xfId="0" applyNumberFormat="1" applyFont="1" applyAlignment="1">
      <alignment horizontal="center"/>
    </xf>
    <xf numFmtId="0" fontId="1" fillId="0" borderId="0" xfId="0" applyFont="1" applyAlignment="1">
      <alignment horizontal="center"/>
    </xf>
    <xf numFmtId="0" fontId="101" fillId="37" borderId="15" xfId="0" applyFont="1" applyFill="1" applyBorder="1" applyAlignment="1">
      <alignment horizontal="center"/>
    </xf>
    <xf numFmtId="183" fontId="101" fillId="37" borderId="15" xfId="0" applyNumberFormat="1" applyFont="1" applyFill="1" applyBorder="1" applyAlignment="1">
      <alignment horizontal="center"/>
    </xf>
    <xf numFmtId="183" fontId="101" fillId="37" borderId="21" xfId="0" applyNumberFormat="1" applyFont="1" applyFill="1" applyBorder="1" applyAlignment="1">
      <alignment horizontal="center"/>
    </xf>
    <xf numFmtId="0" fontId="113" fillId="37" borderId="12" xfId="0" applyFont="1" applyFill="1" applyBorder="1" applyAlignment="1">
      <alignment/>
    </xf>
    <xf numFmtId="0" fontId="113" fillId="37" borderId="13" xfId="0" applyFont="1" applyFill="1" applyBorder="1" applyAlignment="1">
      <alignment/>
    </xf>
    <xf numFmtId="183" fontId="113" fillId="37" borderId="13" xfId="0" applyNumberFormat="1" applyFont="1" applyFill="1" applyBorder="1" applyAlignment="1">
      <alignment/>
    </xf>
    <xf numFmtId="49" fontId="113" fillId="37" borderId="16" xfId="0" applyNumberFormat="1" applyFont="1" applyFill="1" applyBorder="1" applyAlignment="1">
      <alignment horizontal="left"/>
    </xf>
    <xf numFmtId="183" fontId="5" fillId="0" borderId="11" xfId="0" applyNumberFormat="1" applyFont="1" applyFill="1" applyBorder="1" applyAlignment="1">
      <alignment horizontal="left"/>
    </xf>
    <xf numFmtId="183" fontId="108" fillId="37" borderId="20" xfId="0" applyNumberFormat="1" applyFont="1" applyFill="1" applyBorder="1" applyAlignment="1">
      <alignment horizontal="right"/>
    </xf>
    <xf numFmtId="183" fontId="5" fillId="0" borderId="0" xfId="0" applyNumberFormat="1" applyFont="1" applyAlignment="1">
      <alignment horizontal="left"/>
    </xf>
    <xf numFmtId="0" fontId="101" fillId="37" borderId="0" xfId="0" applyFont="1" applyFill="1" applyBorder="1" applyAlignment="1">
      <alignment horizontal="left"/>
    </xf>
    <xf numFmtId="0" fontId="6" fillId="0" borderId="0" xfId="0" applyFont="1" applyAlignment="1">
      <alignment/>
    </xf>
    <xf numFmtId="0" fontId="5" fillId="0" borderId="0" xfId="0" applyNumberFormat="1" applyFont="1" applyAlignment="1">
      <alignment horizontal="right"/>
    </xf>
    <xf numFmtId="9" fontId="2" fillId="0" borderId="0" xfId="0" applyNumberFormat="1" applyFont="1" applyAlignment="1">
      <alignment horizontal="center"/>
    </xf>
    <xf numFmtId="9" fontId="5" fillId="0" borderId="0" xfId="58" applyFont="1" applyAlignment="1">
      <alignment horizontal="right"/>
    </xf>
    <xf numFmtId="9" fontId="5" fillId="0" borderId="0" xfId="58" applyFont="1" applyAlignment="1">
      <alignment horizontal="left"/>
    </xf>
    <xf numFmtId="49" fontId="101" fillId="37" borderId="16" xfId="0" applyNumberFormat="1" applyFont="1" applyFill="1" applyBorder="1" applyAlignment="1">
      <alignment horizontal="left"/>
    </xf>
    <xf numFmtId="9" fontId="5" fillId="0" borderId="0" xfId="58" applyFont="1" applyBorder="1" applyAlignment="1">
      <alignment horizontal="left"/>
    </xf>
    <xf numFmtId="0" fontId="1" fillId="0" borderId="14"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0" borderId="17"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6" xfId="0" applyFont="1" applyFill="1" applyBorder="1" applyAlignment="1">
      <alignment horizontal="left" vertical="top" wrapText="1"/>
    </xf>
    <xf numFmtId="0" fontId="101" fillId="37" borderId="14" xfId="0" applyFont="1" applyFill="1" applyBorder="1" applyAlignment="1">
      <alignment horizontal="left" vertical="top" wrapText="1"/>
    </xf>
    <xf numFmtId="0" fontId="101" fillId="37" borderId="17" xfId="0" applyFont="1" applyFill="1" applyBorder="1" applyAlignment="1">
      <alignment horizontal="left" vertical="top" wrapText="1"/>
    </xf>
    <xf numFmtId="0" fontId="101" fillId="37" borderId="12" xfId="0" applyFont="1" applyFill="1" applyBorder="1" applyAlignment="1">
      <alignment horizontal="left" vertical="top" wrapText="1"/>
    </xf>
    <xf numFmtId="0" fontId="101" fillId="37" borderId="16" xfId="0" applyFont="1" applyFill="1" applyBorder="1" applyAlignment="1">
      <alignment horizontal="left" vertical="top" wrapText="1"/>
    </xf>
    <xf numFmtId="0" fontId="108" fillId="39" borderId="18" xfId="0" applyFont="1" applyFill="1" applyBorder="1" applyAlignment="1">
      <alignment horizontal="center" vertical="center"/>
    </xf>
    <xf numFmtId="0" fontId="108" fillId="39" borderId="24" xfId="0" applyFont="1" applyFill="1" applyBorder="1" applyAlignment="1">
      <alignment horizontal="center" vertical="center"/>
    </xf>
    <xf numFmtId="0" fontId="108" fillId="40" borderId="18" xfId="0" applyFont="1" applyFill="1" applyBorder="1" applyAlignment="1">
      <alignment horizontal="center" vertical="center"/>
    </xf>
    <xf numFmtId="0" fontId="108" fillId="40" borderId="24" xfId="0" applyFont="1" applyFill="1" applyBorder="1" applyAlignment="1">
      <alignment horizontal="center" vertical="center"/>
    </xf>
    <xf numFmtId="0" fontId="108" fillId="42" borderId="18" xfId="0" applyFont="1" applyFill="1" applyBorder="1" applyAlignment="1">
      <alignment horizontal="center" vertical="center"/>
    </xf>
    <xf numFmtId="0" fontId="108" fillId="42" borderId="24" xfId="0" applyFont="1" applyFill="1" applyBorder="1" applyAlignment="1">
      <alignment horizontal="center" vertical="center"/>
    </xf>
    <xf numFmtId="0" fontId="46" fillId="0" borderId="14" xfId="0" applyFont="1" applyFill="1" applyBorder="1" applyAlignment="1">
      <alignment horizontal="left" vertical="top" wrapText="1"/>
    </xf>
    <xf numFmtId="0" fontId="46" fillId="0" borderId="15" xfId="0" applyFont="1" applyFill="1" applyBorder="1" applyAlignment="1">
      <alignment horizontal="left" vertical="top" wrapText="1"/>
    </xf>
    <xf numFmtId="0" fontId="46" fillId="0" borderId="17" xfId="0" applyFont="1" applyFill="1" applyBorder="1" applyAlignment="1">
      <alignment horizontal="left" vertical="top" wrapText="1"/>
    </xf>
    <xf numFmtId="0" fontId="46" fillId="0" borderId="10" xfId="0" applyFont="1" applyFill="1" applyBorder="1" applyAlignment="1">
      <alignment horizontal="left" vertical="top" wrapText="1"/>
    </xf>
    <xf numFmtId="0" fontId="46" fillId="0" borderId="0" xfId="0" applyFont="1" applyFill="1" applyBorder="1" applyAlignment="1">
      <alignment horizontal="left" vertical="top" wrapText="1"/>
    </xf>
    <xf numFmtId="0" fontId="46" fillId="0" borderId="11" xfId="0" applyFont="1" applyFill="1" applyBorder="1" applyAlignment="1">
      <alignment horizontal="left" vertical="top" wrapText="1"/>
    </xf>
    <xf numFmtId="0" fontId="46" fillId="0" borderId="12" xfId="0" applyFont="1" applyFill="1" applyBorder="1" applyAlignment="1">
      <alignment horizontal="left" vertical="top" wrapText="1"/>
    </xf>
    <xf numFmtId="0" fontId="46" fillId="0" borderId="13" xfId="0" applyFont="1" applyFill="1" applyBorder="1" applyAlignment="1">
      <alignment horizontal="left" vertical="top" wrapText="1"/>
    </xf>
    <xf numFmtId="0" fontId="46" fillId="0" borderId="16" xfId="0" applyFont="1" applyFill="1" applyBorder="1" applyAlignment="1">
      <alignment horizontal="left" vertical="top" wrapText="1"/>
    </xf>
    <xf numFmtId="0" fontId="108" fillId="41" borderId="18" xfId="0" applyFont="1" applyFill="1" applyBorder="1" applyAlignment="1">
      <alignment horizontal="center" vertical="center"/>
    </xf>
    <xf numFmtId="0" fontId="108" fillId="41" borderId="24" xfId="0" applyFont="1" applyFill="1" applyBorder="1" applyAlignment="1">
      <alignment horizontal="center" vertical="center"/>
    </xf>
    <xf numFmtId="0" fontId="101" fillId="37" borderId="15" xfId="0" applyFont="1" applyFill="1" applyBorder="1" applyAlignment="1">
      <alignment horizontal="left" vertical="top" wrapText="1"/>
    </xf>
    <xf numFmtId="0" fontId="101" fillId="37" borderId="13" xfId="0" applyFont="1" applyFill="1" applyBorder="1" applyAlignment="1">
      <alignment horizontal="left" vertical="top" wrapText="1"/>
    </xf>
    <xf numFmtId="0" fontId="108" fillId="45" borderId="18" xfId="0" applyFont="1" applyFill="1" applyBorder="1" applyAlignment="1">
      <alignment horizontal="center" vertical="center"/>
    </xf>
    <xf numFmtId="0" fontId="108" fillId="45" borderId="24" xfId="0" applyFont="1" applyFill="1" applyBorder="1" applyAlignment="1">
      <alignment horizontal="center" vertical="center"/>
    </xf>
    <xf numFmtId="0" fontId="108" fillId="39" borderId="18" xfId="0" applyFont="1" applyFill="1" applyBorder="1" applyAlignment="1">
      <alignment horizontal="center"/>
    </xf>
    <xf numFmtId="0" fontId="108" fillId="39" borderId="24" xfId="0" applyFont="1" applyFill="1" applyBorder="1" applyAlignment="1">
      <alignment horizontal="center"/>
    </xf>
    <xf numFmtId="0" fontId="108" fillId="40" borderId="18" xfId="0" applyFont="1" applyFill="1" applyBorder="1" applyAlignment="1">
      <alignment horizontal="center"/>
    </xf>
    <xf numFmtId="0" fontId="108" fillId="40" borderId="24" xfId="0" applyFont="1" applyFill="1" applyBorder="1" applyAlignment="1">
      <alignment horizontal="center"/>
    </xf>
    <xf numFmtId="0" fontId="108" fillId="42" borderId="18" xfId="0" applyFont="1" applyFill="1" applyBorder="1" applyAlignment="1">
      <alignment horizontal="center"/>
    </xf>
    <xf numFmtId="0" fontId="108" fillId="42" borderId="24" xfId="0" applyFont="1" applyFill="1" applyBorder="1" applyAlignment="1">
      <alignment horizontal="center"/>
    </xf>
    <xf numFmtId="0" fontId="108" fillId="46" borderId="18" xfId="0" applyFont="1" applyFill="1" applyBorder="1" applyAlignment="1">
      <alignment horizontal="center" vertical="center"/>
    </xf>
    <xf numFmtId="0" fontId="108" fillId="46" borderId="24" xfId="0" applyFont="1" applyFill="1" applyBorder="1" applyAlignment="1">
      <alignment horizontal="center" vertical="center"/>
    </xf>
    <xf numFmtId="0" fontId="2" fillId="0" borderId="14"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6" xfId="0" applyFont="1" applyFill="1" applyBorder="1" applyAlignment="1">
      <alignment horizontal="left" vertical="top" wrapText="1"/>
    </xf>
    <xf numFmtId="0" fontId="108" fillId="41" borderId="18" xfId="0" applyFont="1" applyFill="1" applyBorder="1" applyAlignment="1">
      <alignment horizontal="center"/>
    </xf>
    <xf numFmtId="0" fontId="108" fillId="41" borderId="19" xfId="0" applyFont="1" applyFill="1" applyBorder="1" applyAlignment="1">
      <alignment horizontal="center"/>
    </xf>
    <xf numFmtId="0" fontId="108" fillId="39" borderId="19" xfId="0" applyFont="1" applyFill="1" applyBorder="1" applyAlignment="1">
      <alignment horizontal="center"/>
    </xf>
    <xf numFmtId="0" fontId="108" fillId="42" borderId="19" xfId="0" applyFont="1" applyFill="1" applyBorder="1" applyAlignment="1">
      <alignment horizontal="center"/>
    </xf>
    <xf numFmtId="180" fontId="6" fillId="0" borderId="0" xfId="0" applyNumberFormat="1" applyFont="1" applyFill="1" applyBorder="1" applyAlignment="1">
      <alignment horizontal="center" vertical="center"/>
    </xf>
    <xf numFmtId="0" fontId="6" fillId="0" borderId="0" xfId="0" applyFont="1" applyFill="1" applyBorder="1" applyAlignment="1">
      <alignment horizontal="center"/>
    </xf>
    <xf numFmtId="0" fontId="6" fillId="0" borderId="0" xfId="0" applyFont="1" applyFill="1" applyBorder="1" applyAlignment="1">
      <alignment horizontal="center" vertical="center"/>
    </xf>
    <xf numFmtId="0" fontId="108" fillId="41" borderId="24" xfId="0" applyFont="1" applyFill="1" applyBorder="1" applyAlignment="1">
      <alignment horizontal="center"/>
    </xf>
    <xf numFmtId="180" fontId="108" fillId="42" borderId="18" xfId="0" applyNumberFormat="1" applyFont="1" applyFill="1" applyBorder="1" applyAlignment="1">
      <alignment horizontal="center" vertical="center"/>
    </xf>
    <xf numFmtId="180" fontId="108" fillId="42" borderId="24" xfId="0" applyNumberFormat="1" applyFont="1" applyFill="1" applyBorder="1" applyAlignment="1">
      <alignment horizontal="center" vertical="center"/>
    </xf>
    <xf numFmtId="0" fontId="101" fillId="37" borderId="14" xfId="0" applyFont="1" applyFill="1" applyBorder="1" applyAlignment="1">
      <alignment horizontal="center" wrapText="1"/>
    </xf>
    <xf numFmtId="0" fontId="101" fillId="37" borderId="15" xfId="0" applyFont="1" applyFill="1" applyBorder="1" applyAlignment="1">
      <alignment horizontal="center" wrapText="1"/>
    </xf>
    <xf numFmtId="0" fontId="101" fillId="37" borderId="17" xfId="0" applyFont="1" applyFill="1" applyBorder="1" applyAlignment="1">
      <alignment horizontal="center" wrapText="1"/>
    </xf>
    <xf numFmtId="0" fontId="101" fillId="37" borderId="12" xfId="0" applyFont="1" applyFill="1" applyBorder="1" applyAlignment="1">
      <alignment horizontal="center" wrapText="1"/>
    </xf>
    <xf numFmtId="0" fontId="101" fillId="37" borderId="13" xfId="0" applyFont="1" applyFill="1" applyBorder="1" applyAlignment="1">
      <alignment horizontal="center" wrapText="1"/>
    </xf>
    <xf numFmtId="0" fontId="101" fillId="37" borderId="16" xfId="0" applyFont="1" applyFill="1" applyBorder="1" applyAlignment="1">
      <alignment horizontal="center" wrapText="1"/>
    </xf>
    <xf numFmtId="0" fontId="108" fillId="44" borderId="18" xfId="0" applyFont="1" applyFill="1" applyBorder="1" applyAlignment="1">
      <alignment horizontal="center"/>
    </xf>
    <xf numFmtId="0" fontId="108" fillId="44" borderId="24" xfId="0" applyFont="1" applyFill="1" applyBorder="1" applyAlignment="1">
      <alignment horizontal="center"/>
    </xf>
    <xf numFmtId="0" fontId="108" fillId="40" borderId="19" xfId="0" applyFont="1" applyFill="1" applyBorder="1" applyAlignment="1">
      <alignment horizontal="center"/>
    </xf>
    <xf numFmtId="0" fontId="17" fillId="0" borderId="14" xfId="0" applyFont="1" applyFill="1" applyBorder="1" applyAlignment="1">
      <alignment horizontal="left" vertical="top" wrapText="1"/>
    </xf>
    <xf numFmtId="0" fontId="17" fillId="0" borderId="15" xfId="0" applyFont="1" applyFill="1" applyBorder="1" applyAlignment="1">
      <alignment horizontal="left" vertical="top" wrapText="1"/>
    </xf>
    <xf numFmtId="0" fontId="17" fillId="0" borderId="17" xfId="0" applyFont="1" applyFill="1" applyBorder="1" applyAlignment="1">
      <alignment horizontal="left" vertical="top" wrapText="1"/>
    </xf>
    <xf numFmtId="0" fontId="17" fillId="0" borderId="10"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11" xfId="0" applyFont="1" applyFill="1" applyBorder="1" applyAlignment="1">
      <alignment horizontal="left" vertical="top" wrapText="1"/>
    </xf>
    <xf numFmtId="0" fontId="17" fillId="0" borderId="12" xfId="0" applyFont="1" applyFill="1" applyBorder="1" applyAlignment="1">
      <alignment horizontal="left" vertical="top" wrapText="1"/>
    </xf>
    <xf numFmtId="0" fontId="17" fillId="0" borderId="13" xfId="0" applyFont="1" applyFill="1" applyBorder="1" applyAlignment="1">
      <alignment horizontal="left" vertical="top" wrapText="1"/>
    </xf>
    <xf numFmtId="0" fontId="17" fillId="0" borderId="16" xfId="0" applyFont="1" applyFill="1" applyBorder="1" applyAlignment="1">
      <alignment horizontal="left" vertical="top" wrapText="1"/>
    </xf>
    <xf numFmtId="0" fontId="116" fillId="0" borderId="14" xfId="0" applyFont="1" applyFill="1" applyBorder="1" applyAlignment="1">
      <alignment horizontal="left" vertical="top" wrapText="1"/>
    </xf>
    <xf numFmtId="0" fontId="116" fillId="0" borderId="15" xfId="0" applyFont="1" applyFill="1" applyBorder="1" applyAlignment="1">
      <alignment horizontal="left" vertical="top" wrapText="1"/>
    </xf>
    <xf numFmtId="0" fontId="116" fillId="0" borderId="17" xfId="0" applyFont="1" applyFill="1" applyBorder="1" applyAlignment="1">
      <alignment horizontal="left" vertical="top" wrapText="1"/>
    </xf>
    <xf numFmtId="0" fontId="116" fillId="0" borderId="12" xfId="0" applyFont="1" applyFill="1" applyBorder="1" applyAlignment="1">
      <alignment horizontal="left" vertical="top" wrapText="1"/>
    </xf>
    <xf numFmtId="0" fontId="116" fillId="0" borderId="13" xfId="0" applyFont="1" applyFill="1" applyBorder="1" applyAlignment="1">
      <alignment horizontal="left" vertical="top" wrapText="1"/>
    </xf>
    <xf numFmtId="0" fontId="116" fillId="0" borderId="16" xfId="0" applyFont="1" applyFill="1" applyBorder="1" applyAlignment="1">
      <alignment horizontal="left" vertical="top" wrapText="1"/>
    </xf>
    <xf numFmtId="0" fontId="9" fillId="32" borderId="18" xfId="0" applyFont="1" applyFill="1" applyBorder="1" applyAlignment="1">
      <alignment horizontal="center" vertical="center"/>
    </xf>
    <xf numFmtId="0" fontId="9" fillId="32" borderId="24" xfId="0" applyFont="1" applyFill="1" applyBorder="1" applyAlignment="1">
      <alignment horizontal="center" vertical="center"/>
    </xf>
    <xf numFmtId="0" fontId="116" fillId="0" borderId="14" xfId="0" applyFont="1" applyFill="1" applyBorder="1" applyAlignment="1">
      <alignment vertical="top" wrapText="1"/>
    </xf>
    <xf numFmtId="0" fontId="116" fillId="0" borderId="15" xfId="0" applyFont="1" applyFill="1" applyBorder="1" applyAlignment="1">
      <alignment vertical="top" wrapText="1"/>
    </xf>
    <xf numFmtId="0" fontId="116" fillId="0" borderId="17" xfId="0" applyFont="1" applyFill="1" applyBorder="1" applyAlignment="1">
      <alignment vertical="top" wrapText="1"/>
    </xf>
    <xf numFmtId="0" fontId="116" fillId="0" borderId="10" xfId="0" applyFont="1" applyFill="1" applyBorder="1" applyAlignment="1">
      <alignment vertical="top" wrapText="1"/>
    </xf>
    <xf numFmtId="0" fontId="116" fillId="0" borderId="0" xfId="0" applyFont="1" applyFill="1" applyBorder="1" applyAlignment="1">
      <alignment vertical="top" wrapText="1"/>
    </xf>
    <xf numFmtId="0" fontId="116" fillId="0" borderId="11" xfId="0" applyFont="1" applyFill="1" applyBorder="1" applyAlignment="1">
      <alignment vertical="top" wrapText="1"/>
    </xf>
    <xf numFmtId="0" fontId="116" fillId="0" borderId="12" xfId="0" applyFont="1" applyFill="1" applyBorder="1" applyAlignment="1">
      <alignment vertical="top" wrapText="1"/>
    </xf>
    <xf numFmtId="0" fontId="116" fillId="0" borderId="13" xfId="0" applyFont="1" applyFill="1" applyBorder="1" applyAlignment="1">
      <alignment vertical="top" wrapText="1"/>
    </xf>
    <xf numFmtId="0" fontId="116" fillId="0" borderId="16" xfId="0" applyFont="1" applyFill="1" applyBorder="1" applyAlignment="1">
      <alignment vertical="top" wrapText="1"/>
    </xf>
    <xf numFmtId="0" fontId="48" fillId="0" borderId="14" xfId="0" applyFont="1" applyFill="1" applyBorder="1" applyAlignment="1">
      <alignment horizontal="left" vertical="top" wrapText="1"/>
    </xf>
    <xf numFmtId="0" fontId="48" fillId="0" borderId="15" xfId="0" applyFont="1" applyFill="1" applyBorder="1" applyAlignment="1">
      <alignment horizontal="left" vertical="top" wrapText="1"/>
    </xf>
    <xf numFmtId="0" fontId="48" fillId="0" borderId="17" xfId="0" applyFont="1" applyFill="1" applyBorder="1" applyAlignment="1">
      <alignment horizontal="left" vertical="top" wrapText="1"/>
    </xf>
    <xf numFmtId="0" fontId="48" fillId="0" borderId="10" xfId="0" applyFont="1" applyFill="1" applyBorder="1" applyAlignment="1">
      <alignment horizontal="left" vertical="top" wrapText="1"/>
    </xf>
    <xf numFmtId="0" fontId="48" fillId="0" borderId="0" xfId="0" applyFont="1" applyFill="1" applyBorder="1" applyAlignment="1">
      <alignment horizontal="left" vertical="top" wrapText="1"/>
    </xf>
    <xf numFmtId="0" fontId="48" fillId="0" borderId="11" xfId="0" applyFont="1" applyFill="1" applyBorder="1" applyAlignment="1">
      <alignment horizontal="left" vertical="top" wrapText="1"/>
    </xf>
    <xf numFmtId="0" fontId="48" fillId="0" borderId="12" xfId="0" applyFont="1" applyFill="1" applyBorder="1" applyAlignment="1">
      <alignment horizontal="left" vertical="top" wrapText="1"/>
    </xf>
    <xf numFmtId="0" fontId="48" fillId="0" borderId="13" xfId="0" applyFont="1" applyFill="1" applyBorder="1" applyAlignment="1">
      <alignment horizontal="left" vertical="top" wrapText="1"/>
    </xf>
    <xf numFmtId="0" fontId="48" fillId="0" borderId="16" xfId="0" applyFont="1" applyFill="1" applyBorder="1" applyAlignment="1">
      <alignment horizontal="left" vertical="top" wrapText="1"/>
    </xf>
    <xf numFmtId="0" fontId="9" fillId="33" borderId="18" xfId="0" applyFont="1" applyFill="1" applyBorder="1" applyAlignment="1">
      <alignment horizontal="center" vertical="center"/>
    </xf>
    <xf numFmtId="0" fontId="9" fillId="33" borderId="24" xfId="0" applyFont="1" applyFill="1" applyBorder="1" applyAlignment="1">
      <alignment horizontal="center" vertical="center"/>
    </xf>
    <xf numFmtId="49" fontId="1" fillId="0" borderId="14" xfId="0" applyNumberFormat="1" applyFont="1" applyBorder="1" applyAlignment="1">
      <alignment horizontal="left" vertical="top" wrapText="1"/>
    </xf>
    <xf numFmtId="49" fontId="1" fillId="0" borderId="15" xfId="0" applyNumberFormat="1" applyFont="1" applyBorder="1" applyAlignment="1">
      <alignment horizontal="left" vertical="top" wrapText="1"/>
    </xf>
    <xf numFmtId="49" fontId="1" fillId="0" borderId="17" xfId="0" applyNumberFormat="1" applyFont="1" applyBorder="1" applyAlignment="1">
      <alignment horizontal="left" vertical="top" wrapText="1"/>
    </xf>
    <xf numFmtId="49" fontId="1" fillId="0" borderId="10" xfId="0" applyNumberFormat="1" applyFont="1" applyBorder="1" applyAlignment="1">
      <alignment horizontal="left" vertical="top" wrapText="1"/>
    </xf>
    <xf numFmtId="49" fontId="1" fillId="0" borderId="0"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49" fontId="1" fillId="0" borderId="13" xfId="0" applyNumberFormat="1" applyFont="1" applyBorder="1" applyAlignment="1">
      <alignment horizontal="left" vertical="top" wrapText="1"/>
    </xf>
    <xf numFmtId="49" fontId="1" fillId="0" borderId="16" xfId="0" applyNumberFormat="1" applyFont="1" applyBorder="1" applyAlignment="1">
      <alignment horizontal="left" vertical="top" wrapText="1"/>
    </xf>
    <xf numFmtId="0" fontId="108" fillId="38" borderId="18" xfId="0" applyFont="1" applyFill="1" applyBorder="1" applyAlignment="1">
      <alignment horizontal="center" vertical="center"/>
    </xf>
    <xf numFmtId="0" fontId="108" fillId="38" borderId="24" xfId="0" applyFont="1" applyFill="1" applyBorder="1" applyAlignment="1">
      <alignment horizontal="center" vertical="center"/>
    </xf>
    <xf numFmtId="0" fontId="101" fillId="37" borderId="10" xfId="0" applyFont="1" applyFill="1" applyBorder="1" applyAlignment="1">
      <alignment horizontal="left" vertical="top" wrapText="1"/>
    </xf>
    <xf numFmtId="0" fontId="101" fillId="37" borderId="0" xfId="0" applyFont="1" applyFill="1" applyBorder="1" applyAlignment="1">
      <alignment horizontal="left" vertical="top" wrapText="1"/>
    </xf>
    <xf numFmtId="0" fontId="101" fillId="37" borderId="11" xfId="0" applyFont="1" applyFill="1" applyBorder="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1" fillId="0" borderId="17" xfId="0" applyFont="1" applyBorder="1" applyAlignment="1">
      <alignment horizontal="left" vertical="top" wrapText="1"/>
    </xf>
    <xf numFmtId="0" fontId="1" fillId="0" borderId="10" xfId="0" applyFont="1" applyBorder="1" applyAlignment="1">
      <alignment horizontal="left" vertical="top" wrapText="1"/>
    </xf>
    <xf numFmtId="0" fontId="1" fillId="0" borderId="0"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16" xfId="0" applyFont="1" applyBorder="1" applyAlignment="1">
      <alignment horizontal="left" vertical="top" wrapText="1"/>
    </xf>
    <xf numFmtId="0" fontId="101" fillId="37" borderId="14" xfId="0" applyFont="1" applyFill="1" applyBorder="1" applyAlignment="1">
      <alignment horizontal="left" vertical="top"/>
    </xf>
    <xf numFmtId="0" fontId="101" fillId="37" borderId="15" xfId="0" applyFont="1" applyFill="1" applyBorder="1" applyAlignment="1">
      <alignment horizontal="left" vertical="top"/>
    </xf>
    <xf numFmtId="0" fontId="101" fillId="37" borderId="17" xfId="0" applyFont="1" applyFill="1" applyBorder="1" applyAlignment="1">
      <alignment horizontal="left" vertical="top"/>
    </xf>
    <xf numFmtId="0" fontId="101" fillId="37" borderId="12" xfId="0" applyFont="1" applyFill="1" applyBorder="1" applyAlignment="1">
      <alignment horizontal="left" vertical="top"/>
    </xf>
    <xf numFmtId="0" fontId="101" fillId="37" borderId="13" xfId="0" applyFont="1" applyFill="1" applyBorder="1" applyAlignment="1">
      <alignment horizontal="left" vertical="top"/>
    </xf>
    <xf numFmtId="0" fontId="101" fillId="37" borderId="16" xfId="0" applyFont="1" applyFill="1" applyBorder="1" applyAlignment="1">
      <alignment horizontal="left" vertical="top"/>
    </xf>
    <xf numFmtId="180" fontId="1" fillId="0" borderId="14" xfId="0" applyNumberFormat="1" applyFont="1" applyFill="1" applyBorder="1" applyAlignment="1">
      <alignment horizontal="left" vertical="top" wrapText="1"/>
    </xf>
    <xf numFmtId="180" fontId="1" fillId="0" borderId="15" xfId="0" applyNumberFormat="1" applyFont="1" applyFill="1" applyBorder="1" applyAlignment="1">
      <alignment horizontal="left" vertical="top" wrapText="1"/>
    </xf>
    <xf numFmtId="180" fontId="1" fillId="0" borderId="17" xfId="0" applyNumberFormat="1" applyFont="1" applyFill="1" applyBorder="1" applyAlignment="1">
      <alignment horizontal="left" vertical="top" wrapText="1"/>
    </xf>
    <xf numFmtId="180" fontId="1" fillId="0" borderId="10" xfId="0" applyNumberFormat="1" applyFont="1" applyFill="1" applyBorder="1" applyAlignment="1">
      <alignment horizontal="left" vertical="top" wrapText="1"/>
    </xf>
    <xf numFmtId="180" fontId="1" fillId="0" borderId="0" xfId="0" applyNumberFormat="1" applyFont="1" applyFill="1" applyBorder="1" applyAlignment="1">
      <alignment horizontal="left" vertical="top" wrapText="1"/>
    </xf>
    <xf numFmtId="180" fontId="1" fillId="0" borderId="11" xfId="0" applyNumberFormat="1" applyFont="1" applyFill="1" applyBorder="1" applyAlignment="1">
      <alignment horizontal="left" vertical="top" wrapText="1"/>
    </xf>
    <xf numFmtId="180" fontId="1" fillId="0" borderId="12" xfId="0" applyNumberFormat="1" applyFont="1" applyFill="1" applyBorder="1" applyAlignment="1">
      <alignment horizontal="left" vertical="top" wrapText="1"/>
    </xf>
    <xf numFmtId="180" fontId="1" fillId="0" borderId="13" xfId="0" applyNumberFormat="1" applyFont="1" applyFill="1" applyBorder="1" applyAlignment="1">
      <alignment horizontal="left" vertical="top" wrapText="1"/>
    </xf>
    <xf numFmtId="180" fontId="1" fillId="0" borderId="16" xfId="0" applyNumberFormat="1" applyFont="1" applyFill="1" applyBorder="1" applyAlignment="1">
      <alignment horizontal="left" vertical="top" wrapText="1"/>
    </xf>
    <xf numFmtId="0" fontId="101" fillId="37" borderId="14" xfId="0" applyFont="1" applyFill="1" applyBorder="1" applyAlignment="1">
      <alignment horizontal="left" vertical="center" wrapText="1"/>
    </xf>
    <xf numFmtId="0" fontId="101" fillId="37" borderId="15" xfId="0" applyFont="1" applyFill="1" applyBorder="1" applyAlignment="1">
      <alignment horizontal="left" vertical="center" wrapText="1"/>
    </xf>
    <xf numFmtId="0" fontId="101" fillId="37" borderId="17" xfId="0" applyFont="1" applyFill="1" applyBorder="1" applyAlignment="1">
      <alignment horizontal="left" vertical="center" wrapText="1"/>
    </xf>
    <xf numFmtId="0" fontId="101" fillId="37" borderId="12" xfId="0" applyFont="1" applyFill="1" applyBorder="1" applyAlignment="1">
      <alignment horizontal="left" vertical="center" wrapText="1"/>
    </xf>
    <xf numFmtId="0" fontId="101" fillId="37" borderId="13" xfId="0" applyFont="1" applyFill="1" applyBorder="1" applyAlignment="1">
      <alignment horizontal="left" vertical="center" wrapText="1"/>
    </xf>
    <xf numFmtId="0" fontId="101" fillId="37" borderId="16" xfId="0" applyFont="1" applyFill="1" applyBorder="1" applyAlignment="1">
      <alignment horizontal="left" vertical="center" wrapText="1"/>
    </xf>
    <xf numFmtId="0" fontId="6" fillId="5" borderId="18" xfId="0" applyFont="1" applyFill="1" applyBorder="1" applyAlignment="1">
      <alignment horizontal="center" vertical="center"/>
    </xf>
    <xf numFmtId="0" fontId="6" fillId="5" borderId="24" xfId="0" applyFont="1" applyFill="1" applyBorder="1" applyAlignment="1">
      <alignment horizontal="center" vertical="center"/>
    </xf>
    <xf numFmtId="0" fontId="6" fillId="34" borderId="18" xfId="0" applyFont="1" applyFill="1" applyBorder="1" applyAlignment="1">
      <alignment horizontal="center" vertical="center"/>
    </xf>
    <xf numFmtId="0" fontId="6" fillId="34" borderId="24" xfId="0" applyFont="1" applyFill="1" applyBorder="1" applyAlignment="1">
      <alignment horizontal="center" vertical="center"/>
    </xf>
    <xf numFmtId="0" fontId="108" fillId="47" borderId="18" xfId="0" applyFont="1" applyFill="1" applyBorder="1" applyAlignment="1">
      <alignment horizontal="center" vertical="center"/>
    </xf>
    <xf numFmtId="0" fontId="108" fillId="47" borderId="24" xfId="0" applyFont="1" applyFill="1" applyBorder="1" applyAlignment="1">
      <alignment horizontal="center" vertical="center"/>
    </xf>
    <xf numFmtId="44" fontId="108" fillId="38" borderId="18" xfId="0" applyNumberFormat="1" applyFont="1" applyFill="1" applyBorder="1" applyAlignment="1">
      <alignment horizontal="center" vertical="center"/>
    </xf>
    <xf numFmtId="44" fontId="108" fillId="38" borderId="24" xfId="0" applyNumberFormat="1" applyFont="1" applyFill="1" applyBorder="1" applyAlignment="1">
      <alignment horizontal="center" vertical="center"/>
    </xf>
    <xf numFmtId="0" fontId="108" fillId="38" borderId="18" xfId="0" applyFont="1" applyFill="1" applyBorder="1" applyAlignment="1">
      <alignment horizontal="center"/>
    </xf>
    <xf numFmtId="0" fontId="108" fillId="38" borderId="24" xfId="0" applyFont="1" applyFill="1" applyBorder="1" applyAlignment="1">
      <alignment horizontal="center"/>
    </xf>
    <xf numFmtId="0" fontId="108" fillId="46" borderId="18" xfId="0" applyFont="1" applyFill="1" applyBorder="1" applyAlignment="1">
      <alignment horizontal="center"/>
    </xf>
    <xf numFmtId="0" fontId="108" fillId="46" borderId="24" xfId="0" applyFont="1" applyFill="1" applyBorder="1" applyAlignment="1">
      <alignment horizontal="center"/>
    </xf>
    <xf numFmtId="0" fontId="1" fillId="0" borderId="14" xfId="0" applyFont="1" applyFill="1" applyBorder="1" applyAlignment="1">
      <alignment horizontal="left" wrapText="1"/>
    </xf>
    <xf numFmtId="0" fontId="1" fillId="0" borderId="15" xfId="0" applyFont="1" applyFill="1" applyBorder="1" applyAlignment="1">
      <alignment horizontal="left" wrapText="1"/>
    </xf>
    <xf numFmtId="0" fontId="1" fillId="0" borderId="17" xfId="0" applyFont="1" applyFill="1" applyBorder="1" applyAlignment="1">
      <alignment horizontal="left" wrapText="1"/>
    </xf>
    <xf numFmtId="0" fontId="1" fillId="0" borderId="12" xfId="0" applyFont="1" applyFill="1" applyBorder="1" applyAlignment="1">
      <alignment horizontal="left" wrapText="1"/>
    </xf>
    <xf numFmtId="0" fontId="1" fillId="0" borderId="13" xfId="0" applyFont="1" applyFill="1" applyBorder="1" applyAlignment="1">
      <alignment horizontal="left" wrapText="1"/>
    </xf>
    <xf numFmtId="0" fontId="1" fillId="0" borderId="16" xfId="0" applyFont="1" applyFill="1" applyBorder="1" applyAlignment="1">
      <alignment horizontal="left" wrapText="1"/>
    </xf>
    <xf numFmtId="0" fontId="108" fillId="39" borderId="19" xfId="0" applyFont="1" applyFill="1" applyBorder="1" applyAlignment="1">
      <alignment horizontal="center" vertical="center"/>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tas" xfId="56"/>
    <cellStyle name="Percent" xfId="57"/>
    <cellStyle name="Porcentaje 2"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2266950</xdr:colOff>
      <xdr:row>10</xdr:row>
      <xdr:rowOff>66675</xdr:rowOff>
    </xdr:from>
    <xdr:ext cx="180975" cy="266700"/>
    <xdr:sp fLocksText="0">
      <xdr:nvSpPr>
        <xdr:cNvPr id="1" name="1 CuadroTexto"/>
        <xdr:cNvSpPr txBox="1">
          <a:spLocks noChangeArrowheads="1"/>
        </xdr:cNvSpPr>
      </xdr:nvSpPr>
      <xdr:spPr>
        <a:xfrm>
          <a:off x="2914650" y="176212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1:IV1047"/>
  <sheetViews>
    <sheetView tabSelected="1" zoomScale="120" zoomScaleNormal="120" zoomScalePageLayoutView="0" workbookViewId="0" topLeftCell="A1">
      <selection activeCell="A952" sqref="A952"/>
    </sheetView>
  </sheetViews>
  <sheetFormatPr defaultColWidth="11.421875" defaultRowHeight="12.75"/>
  <cols>
    <col min="1" max="1" width="9.7109375" style="3" customWidth="1"/>
    <col min="2" max="2" width="46.7109375" style="3" customWidth="1"/>
    <col min="3" max="3" width="12.7109375" style="18" customWidth="1"/>
    <col min="4" max="4" width="16.28125" style="18" customWidth="1"/>
    <col min="5" max="5" width="13.7109375" style="18" customWidth="1"/>
    <col min="6" max="6" width="22.7109375" style="451" customWidth="1"/>
    <col min="7" max="7" width="7.8515625" style="3" customWidth="1"/>
    <col min="8" max="8" width="17.00390625" style="3" customWidth="1"/>
    <col min="9" max="16384" width="11.421875" style="3" customWidth="1"/>
  </cols>
  <sheetData>
    <row r="1" spans="1:8" ht="15.75">
      <c r="A1" s="460"/>
      <c r="B1" s="782" t="s">
        <v>1030</v>
      </c>
      <c r="C1" s="446"/>
      <c r="D1" s="14"/>
      <c r="E1" s="14"/>
      <c r="F1" s="447"/>
      <c r="G1" s="1"/>
      <c r="H1" s="791"/>
    </row>
    <row r="2" spans="1:8" ht="12.75">
      <c r="A2" s="74"/>
      <c r="B2" s="448"/>
      <c r="C2" s="16"/>
      <c r="D2" s="16"/>
      <c r="E2" s="14"/>
      <c r="F2" s="447"/>
      <c r="G2" s="1"/>
      <c r="H2" s="1"/>
    </row>
    <row r="3" spans="1:8" ht="13.5" thickBot="1">
      <c r="A3" s="74"/>
      <c r="B3" s="1"/>
      <c r="C3" s="14"/>
      <c r="D3" s="14"/>
      <c r="E3" s="14"/>
      <c r="F3" s="447"/>
      <c r="G3" s="1"/>
      <c r="H3" s="1"/>
    </row>
    <row r="4" spans="1:6" s="1" customFormat="1" ht="12.75">
      <c r="A4" s="583" t="s">
        <v>568</v>
      </c>
      <c r="B4" s="584"/>
      <c r="C4" s="625"/>
      <c r="D4" s="627" t="s">
        <v>6</v>
      </c>
      <c r="E4" s="757" t="s">
        <v>989</v>
      </c>
      <c r="F4" s="447"/>
    </row>
    <row r="5" spans="1:6" s="1" customFormat="1" ht="13.5" thickBot="1">
      <c r="A5" s="587"/>
      <c r="B5" s="588"/>
      <c r="C5" s="628"/>
      <c r="D5" s="630"/>
      <c r="E5" s="653"/>
      <c r="F5" s="447"/>
    </row>
    <row r="6" spans="1:6" s="1" customFormat="1" ht="12.75">
      <c r="A6" s="979" t="s">
        <v>808</v>
      </c>
      <c r="B6" s="980"/>
      <c r="C6" s="980"/>
      <c r="D6" s="980"/>
      <c r="E6" s="981"/>
      <c r="F6" s="447"/>
    </row>
    <row r="7" spans="1:6" s="1" customFormat="1" ht="12.75">
      <c r="A7" s="982"/>
      <c r="B7" s="983"/>
      <c r="C7" s="983"/>
      <c r="D7" s="983"/>
      <c r="E7" s="984"/>
      <c r="F7" s="447"/>
    </row>
    <row r="8" spans="1:6" s="1" customFormat="1" ht="12.75">
      <c r="A8" s="982"/>
      <c r="B8" s="983"/>
      <c r="C8" s="983"/>
      <c r="D8" s="983"/>
      <c r="E8" s="984"/>
      <c r="F8" s="447"/>
    </row>
    <row r="9" spans="1:6" s="1" customFormat="1" ht="12.75">
      <c r="A9" s="982"/>
      <c r="B9" s="983"/>
      <c r="C9" s="983"/>
      <c r="D9" s="983"/>
      <c r="E9" s="984"/>
      <c r="F9" s="447"/>
    </row>
    <row r="10" spans="1:6" s="1" customFormat="1" ht="12.75">
      <c r="A10" s="982"/>
      <c r="B10" s="983"/>
      <c r="C10" s="983"/>
      <c r="D10" s="983"/>
      <c r="E10" s="984"/>
      <c r="F10" s="447"/>
    </row>
    <row r="11" spans="1:6" s="1" customFormat="1" ht="12.75">
      <c r="A11" s="982"/>
      <c r="B11" s="983"/>
      <c r="C11" s="983"/>
      <c r="D11" s="983"/>
      <c r="E11" s="984"/>
      <c r="F11" s="447"/>
    </row>
    <row r="12" spans="1:6" s="1" customFormat="1" ht="12.75">
      <c r="A12" s="982"/>
      <c r="B12" s="983"/>
      <c r="C12" s="983"/>
      <c r="D12" s="983"/>
      <c r="E12" s="984"/>
      <c r="F12" s="447"/>
    </row>
    <row r="13" spans="1:6" s="1" customFormat="1" ht="12.75">
      <c r="A13" s="982"/>
      <c r="B13" s="983"/>
      <c r="C13" s="983"/>
      <c r="D13" s="983"/>
      <c r="E13" s="984"/>
      <c r="F13" s="447"/>
    </row>
    <row r="14" spans="1:6" s="1" customFormat="1" ht="30" customHeight="1" thickBot="1">
      <c r="A14" s="982"/>
      <c r="B14" s="983"/>
      <c r="C14" s="983"/>
      <c r="D14" s="983"/>
      <c r="E14" s="984"/>
      <c r="F14" s="447"/>
    </row>
    <row r="15" spans="1:6" s="1" customFormat="1" ht="13.5">
      <c r="A15" s="116" t="s">
        <v>809</v>
      </c>
      <c r="B15" s="167"/>
      <c r="C15" s="400"/>
      <c r="D15" s="400"/>
      <c r="E15" s="402"/>
      <c r="F15" s="447"/>
    </row>
    <row r="16" spans="1:6" s="1" customFormat="1" ht="13.5">
      <c r="A16" s="40" t="s">
        <v>569</v>
      </c>
      <c r="B16" s="12"/>
      <c r="C16" s="24"/>
      <c r="D16" s="24"/>
      <c r="E16" s="303"/>
      <c r="F16" s="447"/>
    </row>
    <row r="17" spans="1:6" s="1" customFormat="1" ht="13.5">
      <c r="A17" s="40" t="s">
        <v>570</v>
      </c>
      <c r="B17" s="12"/>
      <c r="C17" s="24"/>
      <c r="D17" s="24"/>
      <c r="E17" s="303"/>
      <c r="F17" s="447"/>
    </row>
    <row r="18" spans="1:6" s="1" customFormat="1" ht="14.25" thickBot="1">
      <c r="A18" s="75" t="s">
        <v>13</v>
      </c>
      <c r="B18" s="135"/>
      <c r="C18" s="360"/>
      <c r="D18" s="360"/>
      <c r="E18" s="361"/>
      <c r="F18" s="447"/>
    </row>
    <row r="19" spans="1:7" s="1" customFormat="1" ht="14.25" thickBot="1">
      <c r="A19" s="697" t="s">
        <v>14</v>
      </c>
      <c r="B19" s="698"/>
      <c r="C19" s="699"/>
      <c r="D19" s="701"/>
      <c r="E19" s="707">
        <f>C21+C44+C68+C88+C93+D112</f>
        <v>44953762</v>
      </c>
      <c r="F19" s="447"/>
      <c r="G19" s="14"/>
    </row>
    <row r="20" spans="1:6" ht="14.25" thickBot="1">
      <c r="A20" s="11"/>
      <c r="B20" s="11"/>
      <c r="C20" s="31"/>
      <c r="D20" s="31"/>
      <c r="F20" s="351"/>
    </row>
    <row r="21" spans="1:6" ht="14.25" thickBot="1">
      <c r="A21" s="1019" t="s">
        <v>1</v>
      </c>
      <c r="B21" s="1020"/>
      <c r="C21" s="741">
        <f>C22+C29+C36</f>
        <v>35016602</v>
      </c>
      <c r="D21" s="31"/>
      <c r="F21" s="803"/>
    </row>
    <row r="22" spans="1:6" s="1" customFormat="1" ht="13.5">
      <c r="A22" s="11" t="s">
        <v>97</v>
      </c>
      <c r="B22" s="281" t="s">
        <v>98</v>
      </c>
      <c r="C22" s="31">
        <f>SUM(C23:C28)</f>
        <v>19635063</v>
      </c>
      <c r="D22" s="31"/>
      <c r="F22" s="351"/>
    </row>
    <row r="23" spans="1:6" s="1" customFormat="1" ht="13.5">
      <c r="A23" s="12" t="s">
        <v>23</v>
      </c>
      <c r="B23" s="24" t="s">
        <v>20</v>
      </c>
      <c r="C23" s="24">
        <f>2860115.05+971636.51+16350303.32+0.12-5000000</f>
        <v>15182055</v>
      </c>
      <c r="D23" s="31"/>
      <c r="E23" s="803"/>
      <c r="F23" s="447"/>
    </row>
    <row r="24" spans="1:6" s="1" customFormat="1" ht="13.5">
      <c r="A24" s="12" t="s">
        <v>24</v>
      </c>
      <c r="B24" s="24" t="s">
        <v>22</v>
      </c>
      <c r="C24" s="24">
        <f>1271+715029+2613098</f>
        <v>3329398</v>
      </c>
      <c r="D24" s="31"/>
      <c r="E24" s="804"/>
      <c r="F24" s="447"/>
    </row>
    <row r="25" spans="1:7" s="71" customFormat="1" ht="12.75" customHeight="1">
      <c r="A25" s="12" t="s">
        <v>25</v>
      </c>
      <c r="B25" s="24" t="s">
        <v>76</v>
      </c>
      <c r="C25" s="24">
        <f>55000+488089</f>
        <v>543089</v>
      </c>
      <c r="D25" s="378"/>
      <c r="E25" s="380"/>
      <c r="F25" s="449"/>
      <c r="G25" s="346"/>
    </row>
    <row r="26" spans="1:7" s="71" customFormat="1" ht="12.75" customHeight="1">
      <c r="A26" s="12" t="s">
        <v>26</v>
      </c>
      <c r="B26" s="24" t="s">
        <v>77</v>
      </c>
      <c r="C26" s="24">
        <v>1</v>
      </c>
      <c r="D26" s="378"/>
      <c r="E26" s="380"/>
      <c r="F26" s="449"/>
      <c r="G26" s="346"/>
    </row>
    <row r="27" spans="1:7" s="127" customFormat="1" ht="12.75" customHeight="1">
      <c r="A27" s="12" t="s">
        <v>27</v>
      </c>
      <c r="B27" s="24" t="s">
        <v>21</v>
      </c>
      <c r="C27" s="24">
        <f>447720+43741</f>
        <v>491461</v>
      </c>
      <c r="D27" s="378"/>
      <c r="E27" s="380"/>
      <c r="F27" s="449"/>
      <c r="G27" s="346"/>
    </row>
    <row r="28" spans="1:7" s="127" customFormat="1" ht="12.75" customHeight="1">
      <c r="A28" s="12" t="s">
        <v>28</v>
      </c>
      <c r="B28" s="24" t="s">
        <v>19</v>
      </c>
      <c r="C28" s="24">
        <f>34829+54230</f>
        <v>89059</v>
      </c>
      <c r="D28" s="378"/>
      <c r="E28" s="380"/>
      <c r="F28" s="449"/>
      <c r="G28" s="346"/>
    </row>
    <row r="29" spans="1:7" s="127" customFormat="1" ht="12.75" customHeight="1">
      <c r="A29" s="11" t="s">
        <v>99</v>
      </c>
      <c r="B29" s="31" t="s">
        <v>100</v>
      </c>
      <c r="C29" s="31">
        <f>SUM(C30:C35)</f>
        <v>12290967</v>
      </c>
      <c r="D29" s="378"/>
      <c r="E29" s="380"/>
      <c r="F29" s="449"/>
      <c r="G29" s="346"/>
    </row>
    <row r="30" spans="1:7" s="127" customFormat="1" ht="12.75" customHeight="1">
      <c r="A30" s="12" t="s">
        <v>30</v>
      </c>
      <c r="B30" s="24" t="s">
        <v>78</v>
      </c>
      <c r="C30" s="24">
        <f>1458349.62+484987.75+8260883.93-0.3</f>
        <v>10204221</v>
      </c>
      <c r="D30" s="378"/>
      <c r="E30" s="380"/>
      <c r="F30" s="449"/>
      <c r="G30" s="346"/>
    </row>
    <row r="31" spans="1:7" s="127" customFormat="1" ht="12.75" customHeight="1">
      <c r="A31" s="12" t="s">
        <v>31</v>
      </c>
      <c r="B31" s="24" t="s">
        <v>79</v>
      </c>
      <c r="C31" s="24">
        <f>1271+415407+1304658</f>
        <v>1721336</v>
      </c>
      <c r="D31" s="378"/>
      <c r="E31" s="380"/>
      <c r="F31" s="449"/>
      <c r="G31" s="346"/>
    </row>
    <row r="32" spans="1:8" s="71" customFormat="1" ht="12.75" customHeight="1">
      <c r="A32" s="12" t="s">
        <v>32</v>
      </c>
      <c r="B32" s="24" t="s">
        <v>80</v>
      </c>
      <c r="C32" s="24">
        <v>248181</v>
      </c>
      <c r="D32" s="378"/>
      <c r="E32" s="380"/>
      <c r="F32" s="450"/>
      <c r="G32" s="344"/>
      <c r="H32" s="12"/>
    </row>
    <row r="33" spans="1:7" s="71" customFormat="1" ht="12.75" customHeight="1">
      <c r="A33" s="12" t="s">
        <v>33</v>
      </c>
      <c r="B33" s="24" t="s">
        <v>81</v>
      </c>
      <c r="C33" s="24">
        <v>1</v>
      </c>
      <c r="D33" s="378"/>
      <c r="E33" s="380"/>
      <c r="F33" s="449"/>
      <c r="G33" s="346"/>
    </row>
    <row r="34" spans="1:7" s="127" customFormat="1" ht="12.75" customHeight="1">
      <c r="A34" s="12" t="s">
        <v>34</v>
      </c>
      <c r="B34" s="24" t="s">
        <v>258</v>
      </c>
      <c r="C34" s="24">
        <f>7055+110172</f>
        <v>117227</v>
      </c>
      <c r="D34" s="378"/>
      <c r="E34" s="380"/>
      <c r="F34" s="449"/>
      <c r="G34" s="346"/>
    </row>
    <row r="35" spans="1:7" s="127" customFormat="1" ht="12.75" customHeight="1">
      <c r="A35" s="12" t="s">
        <v>83</v>
      </c>
      <c r="B35" s="24" t="s">
        <v>82</v>
      </c>
      <c r="C35" s="24">
        <v>1</v>
      </c>
      <c r="D35" s="378"/>
      <c r="E35" s="380"/>
      <c r="F35" s="449"/>
      <c r="G35" s="346"/>
    </row>
    <row r="36" spans="1:7" s="127" customFormat="1" ht="12.75" customHeight="1">
      <c r="A36" s="11" t="s">
        <v>101</v>
      </c>
      <c r="B36" s="31" t="s">
        <v>102</v>
      </c>
      <c r="C36" s="31">
        <f>SUM(C37:C42)</f>
        <v>3090572</v>
      </c>
      <c r="D36" s="378"/>
      <c r="E36" s="380"/>
      <c r="F36" s="449"/>
      <c r="G36" s="346"/>
    </row>
    <row r="37" spans="1:7" s="71" customFormat="1" ht="12.75" customHeight="1">
      <c r="A37" s="12" t="s">
        <v>39</v>
      </c>
      <c r="B37" s="24" t="s">
        <v>35</v>
      </c>
      <c r="C37" s="24">
        <f>368708+97763+2048376</f>
        <v>2514847</v>
      </c>
      <c r="D37" s="378"/>
      <c r="E37" s="380"/>
      <c r="F37" s="449"/>
      <c r="G37" s="346"/>
    </row>
    <row r="38" spans="1:7" s="71" customFormat="1" ht="12.75" customHeight="1">
      <c r="A38" s="12" t="s">
        <v>40</v>
      </c>
      <c r="B38" s="24" t="s">
        <v>37</v>
      </c>
      <c r="C38" s="24">
        <f>335005+92178</f>
        <v>427183</v>
      </c>
      <c r="D38" s="378"/>
      <c r="E38" s="380"/>
      <c r="F38" s="449"/>
      <c r="G38" s="346"/>
    </row>
    <row r="39" spans="1:7" s="127" customFormat="1" ht="12.75" customHeight="1">
      <c r="A39" s="12" t="s">
        <v>41</v>
      </c>
      <c r="B39" s="24" t="s">
        <v>84</v>
      </c>
      <c r="C39" s="24">
        <v>40037</v>
      </c>
      <c r="D39" s="378"/>
      <c r="E39" s="380"/>
      <c r="F39" s="449"/>
      <c r="G39" s="346"/>
    </row>
    <row r="40" spans="1:7" s="127" customFormat="1" ht="12.75" customHeight="1">
      <c r="A40" s="12" t="s">
        <v>42</v>
      </c>
      <c r="B40" s="24" t="s">
        <v>85</v>
      </c>
      <c r="C40" s="24">
        <v>1</v>
      </c>
      <c r="D40" s="378"/>
      <c r="E40" s="380"/>
      <c r="F40" s="449"/>
      <c r="G40" s="346"/>
    </row>
    <row r="41" spans="1:7" s="127" customFormat="1" ht="12.75" customHeight="1">
      <c r="A41" s="12" t="s">
        <v>43</v>
      </c>
      <c r="B41" s="24" t="s">
        <v>36</v>
      </c>
      <c r="C41" s="24">
        <f>7055+101448</f>
        <v>108503</v>
      </c>
      <c r="D41" s="378"/>
      <c r="E41" s="380"/>
      <c r="F41" s="449"/>
      <c r="G41" s="346"/>
    </row>
    <row r="42" spans="1:7" s="127" customFormat="1" ht="12.75" customHeight="1">
      <c r="A42" s="12" t="s">
        <v>44</v>
      </c>
      <c r="B42" s="24" t="s">
        <v>38</v>
      </c>
      <c r="C42" s="24">
        <v>1</v>
      </c>
      <c r="D42" s="378"/>
      <c r="E42" s="380"/>
      <c r="F42" s="449"/>
      <c r="G42" s="346"/>
    </row>
    <row r="43" spans="1:7" s="127" customFormat="1" ht="12.75" customHeight="1" thickBot="1">
      <c r="A43" s="12"/>
      <c r="B43" s="24"/>
      <c r="C43" s="24"/>
      <c r="D43" s="378"/>
      <c r="E43" s="380"/>
      <c r="F43" s="449"/>
      <c r="G43" s="346"/>
    </row>
    <row r="44" spans="1:3" ht="14.25" thickBot="1">
      <c r="A44" s="992" t="s">
        <v>2</v>
      </c>
      <c r="B44" s="993"/>
      <c r="C44" s="602">
        <f>C45+C47+C49+C53+C59+C62+C51</f>
        <v>1069760</v>
      </c>
    </row>
    <row r="45" spans="1:6" s="332" customFormat="1" ht="13.5">
      <c r="A45" s="11" t="s">
        <v>103</v>
      </c>
      <c r="B45" s="281" t="s">
        <v>104</v>
      </c>
      <c r="C45" s="32">
        <f>SUM(C46)</f>
        <v>181600</v>
      </c>
      <c r="D45" s="331"/>
      <c r="E45" s="331"/>
      <c r="F45" s="386"/>
    </row>
    <row r="46" spans="1:7" s="12" customFormat="1" ht="13.5" customHeight="1">
      <c r="A46" s="12" t="s">
        <v>46</v>
      </c>
      <c r="B46" s="12" t="s">
        <v>45</v>
      </c>
      <c r="C46" s="24">
        <v>181600</v>
      </c>
      <c r="D46" s="383"/>
      <c r="E46" s="336"/>
      <c r="F46" s="452"/>
      <c r="G46" s="374"/>
    </row>
    <row r="47" spans="1:7" s="12" customFormat="1" ht="13.5" customHeight="1">
      <c r="A47" s="11" t="s">
        <v>105</v>
      </c>
      <c r="B47" s="11" t="s">
        <v>106</v>
      </c>
      <c r="C47" s="31">
        <f>SUM(C48:C48)</f>
        <v>142900</v>
      </c>
      <c r="D47" s="378"/>
      <c r="E47" s="336"/>
      <c r="F47" s="452"/>
      <c r="G47" s="374"/>
    </row>
    <row r="48" spans="1:6" s="5" customFormat="1" ht="13.5">
      <c r="A48" s="12" t="s">
        <v>86</v>
      </c>
      <c r="B48" s="71" t="s">
        <v>66</v>
      </c>
      <c r="C48" s="24">
        <v>142900</v>
      </c>
      <c r="D48" s="336"/>
      <c r="E48" s="336"/>
      <c r="F48" s="453"/>
    </row>
    <row r="49" spans="1:6" s="5" customFormat="1" ht="13.5">
      <c r="A49" s="11" t="s">
        <v>107</v>
      </c>
      <c r="B49" s="249" t="s">
        <v>108</v>
      </c>
      <c r="C49" s="31">
        <f>SUM(C50)</f>
        <v>120290</v>
      </c>
      <c r="D49" s="336"/>
      <c r="E49" s="336"/>
      <c r="F49" s="453"/>
    </row>
    <row r="50" spans="1:7" s="5" customFormat="1" ht="13.5">
      <c r="A50" s="12" t="s">
        <v>47</v>
      </c>
      <c r="B50" s="23" t="s">
        <v>48</v>
      </c>
      <c r="C50" s="24">
        <v>120290</v>
      </c>
      <c r="D50" s="336"/>
      <c r="E50" s="336"/>
      <c r="F50" s="453"/>
      <c r="G50" s="390"/>
    </row>
    <row r="51" spans="1:6" s="51" customFormat="1" ht="13.5">
      <c r="A51" s="11" t="s">
        <v>196</v>
      </c>
      <c r="B51" s="502" t="s">
        <v>195</v>
      </c>
      <c r="C51" s="31">
        <f>SUM(C52)</f>
        <v>138000</v>
      </c>
      <c r="D51" s="61"/>
      <c r="E51" s="61"/>
      <c r="F51" s="805"/>
    </row>
    <row r="52" spans="1:6" s="51" customFormat="1" ht="13.5">
      <c r="A52" s="12" t="s">
        <v>194</v>
      </c>
      <c r="B52" s="8" t="s">
        <v>216</v>
      </c>
      <c r="C52" s="59">
        <v>138000</v>
      </c>
      <c r="D52" s="61"/>
      <c r="E52" s="61"/>
      <c r="F52" s="805"/>
    </row>
    <row r="53" spans="1:8" s="5" customFormat="1" ht="13.5">
      <c r="A53" s="11" t="s">
        <v>119</v>
      </c>
      <c r="B53" s="505" t="s">
        <v>192</v>
      </c>
      <c r="C53" s="31">
        <f>SUM(C54:C58)</f>
        <v>155500</v>
      </c>
      <c r="D53" s="384"/>
      <c r="E53" s="336"/>
      <c r="F53" s="336"/>
      <c r="G53" s="385"/>
      <c r="H53" s="142"/>
    </row>
    <row r="54" spans="1:8" s="5" customFormat="1" ht="13.5">
      <c r="A54" s="12" t="s">
        <v>149</v>
      </c>
      <c r="B54" s="42" t="s">
        <v>639</v>
      </c>
      <c r="C54" s="24">
        <v>10500</v>
      </c>
      <c r="D54" s="384"/>
      <c r="E54" s="336"/>
      <c r="F54" s="336"/>
      <c r="G54" s="385"/>
      <c r="H54" s="142"/>
    </row>
    <row r="55" spans="1:8" s="5" customFormat="1" ht="13.5">
      <c r="A55" s="12" t="s">
        <v>641</v>
      </c>
      <c r="B55" s="42" t="s">
        <v>640</v>
      </c>
      <c r="C55" s="24">
        <v>19000</v>
      </c>
      <c r="D55" s="384"/>
      <c r="E55" s="336"/>
      <c r="F55" s="336"/>
      <c r="G55" s="385"/>
      <c r="H55" s="142"/>
    </row>
    <row r="56" spans="1:5" s="65" customFormat="1" ht="13.5">
      <c r="A56" s="71" t="s">
        <v>758</v>
      </c>
      <c r="B56" s="24" t="s">
        <v>753</v>
      </c>
      <c r="C56" s="24">
        <v>53000</v>
      </c>
      <c r="D56" s="77"/>
      <c r="E56" s="25"/>
    </row>
    <row r="57" spans="1:5" s="65" customFormat="1" ht="13.5">
      <c r="A57" s="71" t="s">
        <v>762</v>
      </c>
      <c r="B57" s="24" t="s">
        <v>763</v>
      </c>
      <c r="C57" s="24">
        <v>55000</v>
      </c>
      <c r="D57" s="77"/>
      <c r="E57" s="25"/>
    </row>
    <row r="58" spans="1:5" s="65" customFormat="1" ht="13.5">
      <c r="A58" s="71" t="s">
        <v>754</v>
      </c>
      <c r="B58" s="24" t="s">
        <v>755</v>
      </c>
      <c r="C58" s="24">
        <v>18000</v>
      </c>
      <c r="D58" s="77"/>
      <c r="E58" s="25"/>
    </row>
    <row r="59" spans="1:8" s="5" customFormat="1" ht="13.5">
      <c r="A59" s="249" t="s">
        <v>124</v>
      </c>
      <c r="B59" s="25" t="s">
        <v>123</v>
      </c>
      <c r="C59" s="31">
        <f>SUM(C60:C61)</f>
        <v>64400</v>
      </c>
      <c r="D59" s="384"/>
      <c r="E59" s="336"/>
      <c r="F59" s="336"/>
      <c r="G59" s="385"/>
      <c r="H59" s="142"/>
    </row>
    <row r="60" spans="1:5" s="65" customFormat="1" ht="13.5">
      <c r="A60" s="12" t="s">
        <v>231</v>
      </c>
      <c r="B60" s="42" t="s">
        <v>230</v>
      </c>
      <c r="C60" s="24">
        <v>34400</v>
      </c>
      <c r="D60" s="56"/>
      <c r="E60" s="56"/>
    </row>
    <row r="61" spans="1:8" s="5" customFormat="1" ht="13.5">
      <c r="A61" s="71" t="s">
        <v>93</v>
      </c>
      <c r="B61" s="24" t="s">
        <v>72</v>
      </c>
      <c r="C61" s="24">
        <v>30000</v>
      </c>
      <c r="D61" s="336"/>
      <c r="E61" s="336"/>
      <c r="F61" s="336"/>
      <c r="G61" s="374"/>
      <c r="H61" s="142"/>
    </row>
    <row r="62" spans="1:7" s="5" customFormat="1" ht="13.5">
      <c r="A62" s="249" t="s">
        <v>150</v>
      </c>
      <c r="B62" s="25" t="s">
        <v>125</v>
      </c>
      <c r="C62" s="31">
        <f>SUM(C63:C66)</f>
        <v>267070</v>
      </c>
      <c r="D62" s="335"/>
      <c r="E62" s="335"/>
      <c r="F62" s="453"/>
      <c r="G62" s="390"/>
    </row>
    <row r="63" spans="1:7" s="5" customFormat="1" ht="13.5">
      <c r="A63" s="71" t="s">
        <v>151</v>
      </c>
      <c r="B63" s="24" t="s">
        <v>65</v>
      </c>
      <c r="C63" s="24">
        <v>30170</v>
      </c>
      <c r="D63" s="336"/>
      <c r="E63" s="336"/>
      <c r="F63" s="453"/>
      <c r="G63" s="390"/>
    </row>
    <row r="64" spans="1:7" s="5" customFormat="1" ht="13.5">
      <c r="A64" s="71" t="s">
        <v>152</v>
      </c>
      <c r="B64" s="24" t="s">
        <v>70</v>
      </c>
      <c r="C64" s="24">
        <v>82960</v>
      </c>
      <c r="D64" s="336"/>
      <c r="E64" s="336"/>
      <c r="F64" s="453"/>
      <c r="G64" s="390"/>
    </row>
    <row r="65" spans="1:7" s="5" customFormat="1" ht="13.5">
      <c r="A65" s="71" t="s">
        <v>154</v>
      </c>
      <c r="B65" s="23" t="s">
        <v>125</v>
      </c>
      <c r="C65" s="24">
        <v>73940</v>
      </c>
      <c r="D65" s="336"/>
      <c r="E65" s="336"/>
      <c r="F65" s="453"/>
      <c r="G65" s="390"/>
    </row>
    <row r="66" spans="1:8" s="249" customFormat="1" ht="13.5" customHeight="1">
      <c r="A66" s="71" t="s">
        <v>643</v>
      </c>
      <c r="B66" s="42" t="s">
        <v>642</v>
      </c>
      <c r="C66" s="24">
        <v>80000</v>
      </c>
      <c r="D66" s="386"/>
      <c r="E66" s="336"/>
      <c r="F66" s="336"/>
      <c r="G66" s="385"/>
      <c r="H66" s="11"/>
    </row>
    <row r="67" spans="1:7" s="5" customFormat="1" ht="14.25" thickBot="1">
      <c r="A67" s="71"/>
      <c r="B67" s="23"/>
      <c r="C67" s="24"/>
      <c r="D67" s="336"/>
      <c r="E67" s="336"/>
      <c r="F67" s="453"/>
      <c r="G67" s="390"/>
    </row>
    <row r="68" spans="1:3" ht="14.25" thickBot="1">
      <c r="A68" s="994" t="s">
        <v>3</v>
      </c>
      <c r="B68" s="995"/>
      <c r="C68" s="603">
        <f>C69+C75+C78+C82+C72+C80</f>
        <v>7502860</v>
      </c>
    </row>
    <row r="69" spans="1:7" s="332" customFormat="1" ht="13.5">
      <c r="A69" s="249" t="s">
        <v>110</v>
      </c>
      <c r="B69" s="281" t="s">
        <v>111</v>
      </c>
      <c r="C69" s="32">
        <f>SUM(C70:C71)</f>
        <v>350500</v>
      </c>
      <c r="F69" s="331"/>
      <c r="G69" s="331"/>
    </row>
    <row r="70" spans="1:8" s="71" customFormat="1" ht="13.5" customHeight="1">
      <c r="A70" s="71" t="s">
        <v>268</v>
      </c>
      <c r="B70" s="24" t="s">
        <v>269</v>
      </c>
      <c r="C70" s="24">
        <v>234000</v>
      </c>
      <c r="F70" s="339"/>
      <c r="G70" s="450"/>
      <c r="H70" s="24"/>
    </row>
    <row r="71" spans="1:8" s="71" customFormat="1" ht="13.5" customHeight="1">
      <c r="A71" s="71" t="s">
        <v>52</v>
      </c>
      <c r="B71" s="24" t="s">
        <v>15</v>
      </c>
      <c r="C71" s="24">
        <v>116500</v>
      </c>
      <c r="F71" s="339"/>
      <c r="G71" s="450"/>
      <c r="H71" s="24"/>
    </row>
    <row r="72" spans="1:8" s="71" customFormat="1" ht="13.5" customHeight="1">
      <c r="A72" s="249" t="s">
        <v>505</v>
      </c>
      <c r="B72" s="31" t="s">
        <v>121</v>
      </c>
      <c r="C72" s="31">
        <f>SUM(C73:C74)</f>
        <v>128210</v>
      </c>
      <c r="F72" s="339"/>
      <c r="G72" s="450"/>
      <c r="H72" s="24"/>
    </row>
    <row r="73" spans="1:9" s="65" customFormat="1" ht="13.5" customHeight="1">
      <c r="A73" s="58" t="s">
        <v>140</v>
      </c>
      <c r="B73" s="42" t="s">
        <v>141</v>
      </c>
      <c r="C73" s="59">
        <v>36000</v>
      </c>
      <c r="G73" s="59"/>
      <c r="H73" s="56"/>
      <c r="I73" s="56"/>
    </row>
    <row r="74" spans="1:8" s="71" customFormat="1" ht="13.5" customHeight="1">
      <c r="A74" s="12" t="s">
        <v>136</v>
      </c>
      <c r="B74" s="12" t="s">
        <v>71</v>
      </c>
      <c r="C74" s="24">
        <v>92210</v>
      </c>
      <c r="F74" s="340"/>
      <c r="G74" s="12"/>
      <c r="H74" s="24"/>
    </row>
    <row r="75" spans="1:8" s="71" customFormat="1" ht="13.5" customHeight="1">
      <c r="A75" s="249" t="s">
        <v>112</v>
      </c>
      <c r="B75" s="31" t="s">
        <v>156</v>
      </c>
      <c r="C75" s="31">
        <f>SUM(C76:C77)</f>
        <v>2421920</v>
      </c>
      <c r="F75" s="454"/>
      <c r="G75" s="450"/>
      <c r="H75" s="24"/>
    </row>
    <row r="76" spans="1:8" s="71" customFormat="1" ht="13.5" customHeight="1">
      <c r="A76" s="71" t="s">
        <v>138</v>
      </c>
      <c r="B76" s="58" t="s">
        <v>810</v>
      </c>
      <c r="C76" s="24">
        <v>9200</v>
      </c>
      <c r="F76" s="339"/>
      <c r="G76" s="12"/>
      <c r="H76" s="24"/>
    </row>
    <row r="77" spans="1:8" s="71" customFormat="1" ht="13.5" customHeight="1">
      <c r="A77" s="71" t="s">
        <v>155</v>
      </c>
      <c r="B77" s="12" t="s">
        <v>87</v>
      </c>
      <c r="C77" s="24">
        <v>2412720</v>
      </c>
      <c r="F77" s="339"/>
      <c r="G77" s="12"/>
      <c r="H77" s="24"/>
    </row>
    <row r="78" spans="1:8" s="71" customFormat="1" ht="13.5" customHeight="1">
      <c r="A78" s="11" t="s">
        <v>113</v>
      </c>
      <c r="B78" s="11" t="s">
        <v>114</v>
      </c>
      <c r="C78" s="31">
        <f>SUM(C79:C79)</f>
        <v>48120</v>
      </c>
      <c r="F78" s="339"/>
      <c r="G78" s="450"/>
      <c r="H78" s="24"/>
    </row>
    <row r="79" spans="1:8" s="71" customFormat="1" ht="13.5" customHeight="1">
      <c r="A79" s="12" t="s">
        <v>163</v>
      </c>
      <c r="B79" s="12" t="s">
        <v>74</v>
      </c>
      <c r="C79" s="24">
        <v>48120</v>
      </c>
      <c r="F79" s="336"/>
      <c r="G79" s="336"/>
      <c r="H79" s="12"/>
    </row>
    <row r="80" spans="1:8" s="71" customFormat="1" ht="13.5" customHeight="1">
      <c r="A80" s="11" t="s">
        <v>506</v>
      </c>
      <c r="B80" s="11" t="s">
        <v>56</v>
      </c>
      <c r="C80" s="31">
        <f>SUM(C81)</f>
        <v>55450</v>
      </c>
      <c r="F80" s="340"/>
      <c r="G80" s="12"/>
      <c r="H80" s="24"/>
    </row>
    <row r="81" spans="1:8" s="71" customFormat="1" ht="13.5" customHeight="1">
      <c r="A81" s="12" t="s">
        <v>55</v>
      </c>
      <c r="B81" s="12" t="s">
        <v>56</v>
      </c>
      <c r="C81" s="24">
        <v>55450</v>
      </c>
      <c r="F81" s="340"/>
      <c r="G81" s="12"/>
      <c r="H81" s="24"/>
    </row>
    <row r="82" spans="1:8" s="71" customFormat="1" ht="13.5" customHeight="1">
      <c r="A82" s="249" t="s">
        <v>115</v>
      </c>
      <c r="B82" s="31" t="s">
        <v>7</v>
      </c>
      <c r="C82" s="31">
        <f>SUM(C83:C86)</f>
        <v>4498660</v>
      </c>
      <c r="F82" s="336"/>
      <c r="G82" s="12"/>
      <c r="H82" s="24"/>
    </row>
    <row r="83" spans="1:7" s="71" customFormat="1" ht="13.5" customHeight="1">
      <c r="A83" s="71" t="s">
        <v>89</v>
      </c>
      <c r="B83" s="24" t="s">
        <v>8</v>
      </c>
      <c r="C83" s="24">
        <f>1651860+600000</f>
        <v>2251860</v>
      </c>
      <c r="F83" s="339"/>
      <c r="G83" s="336"/>
    </row>
    <row r="84" spans="1:10" s="11" customFormat="1" ht="13.5" customHeight="1">
      <c r="A84" s="71" t="s">
        <v>182</v>
      </c>
      <c r="B84" s="24" t="s">
        <v>50</v>
      </c>
      <c r="C84" s="24">
        <v>82560</v>
      </c>
      <c r="F84" s="340"/>
      <c r="G84" s="336"/>
      <c r="H84" s="71"/>
      <c r="I84" s="71"/>
      <c r="J84" s="71"/>
    </row>
    <row r="85" spans="1:10" s="71" customFormat="1" ht="13.5" customHeight="1">
      <c r="A85" s="71" t="s">
        <v>223</v>
      </c>
      <c r="B85" s="42" t="s">
        <v>541</v>
      </c>
      <c r="C85" s="24">
        <v>96380</v>
      </c>
      <c r="F85" s="336"/>
      <c r="G85" s="336"/>
      <c r="H85" s="11"/>
      <c r="I85" s="11"/>
      <c r="J85" s="11"/>
    </row>
    <row r="86" spans="1:10" s="71" customFormat="1" ht="13.5" customHeight="1">
      <c r="A86" s="71" t="s">
        <v>90</v>
      </c>
      <c r="B86" s="24" t="s">
        <v>7</v>
      </c>
      <c r="C86" s="24">
        <v>2067860</v>
      </c>
      <c r="F86" s="336"/>
      <c r="G86" s="335"/>
      <c r="H86" s="12"/>
      <c r="J86" s="23"/>
    </row>
    <row r="87" spans="2:10" s="71" customFormat="1" ht="13.5" customHeight="1" thickBot="1">
      <c r="B87" s="24"/>
      <c r="C87" s="24"/>
      <c r="D87" s="336"/>
      <c r="E87" s="335"/>
      <c r="F87" s="452"/>
      <c r="G87" s="344"/>
      <c r="H87" s="12"/>
      <c r="J87" s="23"/>
    </row>
    <row r="88" spans="1:3" ht="14.25" thickBot="1">
      <c r="A88" s="1007" t="s">
        <v>5</v>
      </c>
      <c r="B88" s="1008"/>
      <c r="C88" s="604">
        <f>SUM(C89)</f>
        <v>57580</v>
      </c>
    </row>
    <row r="89" spans="1:6" s="332" customFormat="1" ht="13.5">
      <c r="A89" s="249" t="s">
        <v>128</v>
      </c>
      <c r="B89" s="281" t="s">
        <v>129</v>
      </c>
      <c r="C89" s="32">
        <f>SUM(C90:C91)</f>
        <v>57580</v>
      </c>
      <c r="D89" s="331"/>
      <c r="E89" s="331"/>
      <c r="F89" s="386"/>
    </row>
    <row r="90" spans="1:3" ht="13.5">
      <c r="A90" s="71" t="s">
        <v>507</v>
      </c>
      <c r="B90" s="71" t="s">
        <v>508</v>
      </c>
      <c r="C90" s="24">
        <v>26380</v>
      </c>
    </row>
    <row r="91" spans="1:3" ht="13.5">
      <c r="A91" s="71" t="s">
        <v>144</v>
      </c>
      <c r="B91" s="71" t="s">
        <v>12</v>
      </c>
      <c r="C91" s="24">
        <v>31200</v>
      </c>
    </row>
    <row r="92" spans="1:3" ht="14.25" thickBot="1">
      <c r="A92" s="71"/>
      <c r="B92" s="71"/>
      <c r="C92" s="23"/>
    </row>
    <row r="93" spans="1:3" ht="14.25" thickBot="1">
      <c r="A93" s="996" t="s">
        <v>4</v>
      </c>
      <c r="B93" s="997"/>
      <c r="C93" s="660">
        <f>C94+C98</f>
        <v>233970</v>
      </c>
    </row>
    <row r="94" spans="1:6" s="332" customFormat="1" ht="13.5">
      <c r="A94" s="249" t="s">
        <v>116</v>
      </c>
      <c r="B94" s="281" t="s">
        <v>117</v>
      </c>
      <c r="C94" s="32">
        <f>SUM(C95:C97)</f>
        <v>204720</v>
      </c>
      <c r="D94" s="331"/>
      <c r="E94" s="331"/>
      <c r="F94" s="386"/>
    </row>
    <row r="95" spans="1:7" s="5" customFormat="1" ht="13.5">
      <c r="A95" s="71" t="s">
        <v>91</v>
      </c>
      <c r="B95" s="71" t="s">
        <v>139</v>
      </c>
      <c r="C95" s="24">
        <v>97610</v>
      </c>
      <c r="D95" s="335"/>
      <c r="E95" s="335"/>
      <c r="F95" s="453"/>
      <c r="G95" s="390"/>
    </row>
    <row r="96" spans="1:7" s="5" customFormat="1" ht="13.5">
      <c r="A96" s="71" t="s">
        <v>57</v>
      </c>
      <c r="B96" s="12" t="s">
        <v>58</v>
      </c>
      <c r="C96" s="24">
        <v>23360</v>
      </c>
      <c r="D96" s="335"/>
      <c r="E96" s="335"/>
      <c r="F96" s="453"/>
      <c r="G96" s="390"/>
    </row>
    <row r="97" spans="1:8" s="8" customFormat="1" ht="13.5" customHeight="1">
      <c r="A97" s="71" t="s">
        <v>756</v>
      </c>
      <c r="B97" s="23" t="s">
        <v>757</v>
      </c>
      <c r="C97" s="24">
        <v>83750</v>
      </c>
      <c r="D97" s="77"/>
      <c r="E97" s="25"/>
      <c r="F97" s="98"/>
      <c r="G97" s="54"/>
      <c r="H97" s="42"/>
    </row>
    <row r="98" spans="1:7" s="5" customFormat="1" ht="13.5">
      <c r="A98" s="249" t="s">
        <v>165</v>
      </c>
      <c r="B98" s="25" t="s">
        <v>134</v>
      </c>
      <c r="C98" s="31">
        <f>SUM(C99)</f>
        <v>29250</v>
      </c>
      <c r="D98" s="335"/>
      <c r="E98" s="335"/>
      <c r="F98" s="453"/>
      <c r="G98" s="390"/>
    </row>
    <row r="99" spans="1:7" s="5" customFormat="1" ht="13.5">
      <c r="A99" s="71" t="s">
        <v>166</v>
      </c>
      <c r="B99" s="23" t="s">
        <v>51</v>
      </c>
      <c r="C99" s="24">
        <f>25000*1.17</f>
        <v>29250</v>
      </c>
      <c r="D99" s="335"/>
      <c r="E99" s="335"/>
      <c r="F99" s="453"/>
      <c r="G99" s="390"/>
    </row>
    <row r="100" spans="1:7" s="5" customFormat="1" ht="13.5">
      <c r="A100" s="71"/>
      <c r="B100" s="23"/>
      <c r="C100" s="24"/>
      <c r="D100" s="335"/>
      <c r="E100" s="335"/>
      <c r="F100" s="453"/>
      <c r="G100" s="390"/>
    </row>
    <row r="101" spans="1:3" ht="14.25" thickBot="1">
      <c r="A101" s="74"/>
      <c r="C101" s="450"/>
    </row>
    <row r="102" spans="1:7" s="5" customFormat="1" ht="12.75">
      <c r="A102" s="583" t="s">
        <v>769</v>
      </c>
      <c r="B102" s="584"/>
      <c r="C102" s="627" t="s">
        <v>6</v>
      </c>
      <c r="D102" s="757" t="s">
        <v>1031</v>
      </c>
      <c r="F102" s="453"/>
      <c r="G102" s="390"/>
    </row>
    <row r="103" spans="1:7" s="5" customFormat="1" ht="13.5" thickBot="1">
      <c r="A103" s="642"/>
      <c r="B103" s="663"/>
      <c r="C103" s="669"/>
      <c r="D103" s="670"/>
      <c r="F103" s="453"/>
      <c r="G103" s="390"/>
    </row>
    <row r="104" spans="1:7" s="5" customFormat="1" ht="12.75">
      <c r="A104" s="1021" t="s">
        <v>811</v>
      </c>
      <c r="B104" s="1022"/>
      <c r="C104" s="1022"/>
      <c r="D104" s="1023"/>
      <c r="F104" s="453"/>
      <c r="G104" s="390"/>
    </row>
    <row r="105" spans="1:7" s="5" customFormat="1" ht="12.75">
      <c r="A105" s="1024"/>
      <c r="B105" s="1025"/>
      <c r="C105" s="1025"/>
      <c r="D105" s="1026"/>
      <c r="F105" s="453"/>
      <c r="G105" s="390"/>
    </row>
    <row r="106" spans="1:7" s="5" customFormat="1" ht="12.75">
      <c r="A106" s="1024"/>
      <c r="B106" s="1025"/>
      <c r="C106" s="1025"/>
      <c r="D106" s="1026"/>
      <c r="F106" s="453"/>
      <c r="G106" s="390"/>
    </row>
    <row r="107" spans="1:7" s="5" customFormat="1" ht="13.5" thickBot="1">
      <c r="A107" s="1027"/>
      <c r="B107" s="1028"/>
      <c r="C107" s="1028"/>
      <c r="D107" s="1029"/>
      <c r="F107" s="453"/>
      <c r="G107" s="390"/>
    </row>
    <row r="108" spans="1:7" s="5" customFormat="1" ht="13.5">
      <c r="A108" s="40" t="s">
        <v>809</v>
      </c>
      <c r="B108" s="12"/>
      <c r="C108" s="24"/>
      <c r="D108" s="303"/>
      <c r="F108" s="453"/>
      <c r="G108" s="390"/>
    </row>
    <row r="109" spans="1:7" s="5" customFormat="1" ht="13.5">
      <c r="A109" s="40" t="s">
        <v>569</v>
      </c>
      <c r="B109" s="12"/>
      <c r="C109" s="24"/>
      <c r="D109" s="303"/>
      <c r="F109" s="453"/>
      <c r="G109" s="390"/>
    </row>
    <row r="110" spans="1:7" s="5" customFormat="1" ht="13.5">
      <c r="A110" s="40" t="s">
        <v>570</v>
      </c>
      <c r="B110" s="12"/>
      <c r="C110" s="24"/>
      <c r="D110" s="303"/>
      <c r="F110" s="453"/>
      <c r="G110" s="390"/>
    </row>
    <row r="111" spans="1:7" s="5" customFormat="1" ht="14.25" thickBot="1">
      <c r="A111" s="75" t="s">
        <v>13</v>
      </c>
      <c r="B111" s="135"/>
      <c r="C111" s="360"/>
      <c r="D111" s="361"/>
      <c r="F111" s="453"/>
      <c r="G111" s="390"/>
    </row>
    <row r="112" spans="1:7" s="5" customFormat="1" ht="14.25" thickBot="1">
      <c r="A112" s="697" t="s">
        <v>535</v>
      </c>
      <c r="B112" s="698"/>
      <c r="C112" s="701"/>
      <c r="D112" s="707">
        <f>+C114+C131+C149</f>
        <v>1072990</v>
      </c>
      <c r="F112" s="453"/>
      <c r="G112" s="390"/>
    </row>
    <row r="113" spans="1:7" s="5" customFormat="1" ht="14.25" thickBot="1">
      <c r="A113" s="11"/>
      <c r="B113" s="11"/>
      <c r="C113" s="31"/>
      <c r="D113" s="31"/>
      <c r="E113" s="187"/>
      <c r="F113" s="453"/>
      <c r="G113" s="390"/>
    </row>
    <row r="114" spans="1:7" s="5" customFormat="1" ht="14.25" thickBot="1">
      <c r="A114" s="992" t="s">
        <v>2</v>
      </c>
      <c r="B114" s="993"/>
      <c r="C114" s="602">
        <f>C115+C119+C121+C124+C126+C117</f>
        <v>339200</v>
      </c>
      <c r="D114" s="18"/>
      <c r="E114" s="21"/>
      <c r="F114" s="453"/>
      <c r="G114" s="390"/>
    </row>
    <row r="115" spans="1:7" s="5" customFormat="1" ht="13.5">
      <c r="A115" s="11" t="s">
        <v>103</v>
      </c>
      <c r="B115" s="281" t="s">
        <v>104</v>
      </c>
      <c r="C115" s="32">
        <f>SUM(C116)</f>
        <v>34000</v>
      </c>
      <c r="D115" s="331"/>
      <c r="E115" s="223"/>
      <c r="F115" s="453"/>
      <c r="G115" s="390"/>
    </row>
    <row r="116" spans="1:7" s="5" customFormat="1" ht="13.5">
      <c r="A116" s="12" t="s">
        <v>46</v>
      </c>
      <c r="B116" s="12" t="s">
        <v>45</v>
      </c>
      <c r="C116" s="24">
        <v>34000</v>
      </c>
      <c r="D116" s="383"/>
      <c r="E116" s="336"/>
      <c r="F116" s="453"/>
      <c r="G116" s="390"/>
    </row>
    <row r="117" spans="1:7" s="5" customFormat="1" ht="13.5">
      <c r="A117" s="11" t="s">
        <v>200</v>
      </c>
      <c r="B117" s="505" t="s">
        <v>199</v>
      </c>
      <c r="C117" s="31">
        <f>SUM(C118)</f>
        <v>35000</v>
      </c>
      <c r="D117" s="383"/>
      <c r="E117" s="336"/>
      <c r="F117" s="453"/>
      <c r="G117" s="390"/>
    </row>
    <row r="118" spans="1:7" s="5" customFormat="1" ht="13.5">
      <c r="A118" s="12" t="s">
        <v>228</v>
      </c>
      <c r="B118" s="42" t="s">
        <v>227</v>
      </c>
      <c r="C118" s="24">
        <v>35000</v>
      </c>
      <c r="D118" s="383"/>
      <c r="E118" s="336"/>
      <c r="F118" s="453"/>
      <c r="G118" s="390"/>
    </row>
    <row r="119" spans="1:7" s="5" customFormat="1" ht="13.5">
      <c r="A119" s="11" t="s">
        <v>105</v>
      </c>
      <c r="B119" s="11" t="s">
        <v>106</v>
      </c>
      <c r="C119" s="31">
        <f>SUM(C120:C120)</f>
        <v>60000</v>
      </c>
      <c r="D119" s="378"/>
      <c r="E119" s="334"/>
      <c r="F119" s="453"/>
      <c r="G119" s="390"/>
    </row>
    <row r="120" spans="1:7" s="5" customFormat="1" ht="13.5">
      <c r="A120" s="12" t="s">
        <v>86</v>
      </c>
      <c r="B120" s="71" t="s">
        <v>66</v>
      </c>
      <c r="C120" s="24">
        <v>60000</v>
      </c>
      <c r="D120" s="336"/>
      <c r="E120" s="336"/>
      <c r="F120" s="453"/>
      <c r="G120" s="390"/>
    </row>
    <row r="121" spans="1:7" s="5" customFormat="1" ht="13.5">
      <c r="A121" s="11" t="s">
        <v>107</v>
      </c>
      <c r="B121" s="249" t="s">
        <v>108</v>
      </c>
      <c r="C121" s="31">
        <f>SUM(C122:C123)</f>
        <v>79000</v>
      </c>
      <c r="D121" s="336"/>
      <c r="E121" s="336"/>
      <c r="F121" s="453"/>
      <c r="G121" s="390"/>
    </row>
    <row r="122" spans="1:7" s="5" customFormat="1" ht="13.5">
      <c r="A122" s="12" t="s">
        <v>47</v>
      </c>
      <c r="B122" s="23" t="s">
        <v>48</v>
      </c>
      <c r="C122" s="24">
        <v>34000</v>
      </c>
      <c r="D122" s="336"/>
      <c r="E122" s="336"/>
      <c r="F122" s="453"/>
      <c r="G122" s="390"/>
    </row>
    <row r="123" spans="1:9" s="5" customFormat="1" ht="13.5">
      <c r="A123" s="71" t="s">
        <v>455</v>
      </c>
      <c r="B123" s="71" t="s">
        <v>456</v>
      </c>
      <c r="C123" s="24">
        <v>45000</v>
      </c>
      <c r="E123" s="336"/>
      <c r="F123" s="336"/>
      <c r="G123" s="390"/>
      <c r="I123" s="403"/>
    </row>
    <row r="124" spans="1:7" s="5" customFormat="1" ht="13.5">
      <c r="A124" s="249" t="s">
        <v>124</v>
      </c>
      <c r="B124" s="31" t="s">
        <v>123</v>
      </c>
      <c r="C124" s="31">
        <f>SUM(C125)</f>
        <v>12300</v>
      </c>
      <c r="D124" s="336"/>
      <c r="E124" s="336"/>
      <c r="F124" s="453"/>
      <c r="G124" s="390"/>
    </row>
    <row r="125" spans="1:7" s="5" customFormat="1" ht="13.5">
      <c r="A125" s="71" t="s">
        <v>93</v>
      </c>
      <c r="B125" s="24" t="s">
        <v>72</v>
      </c>
      <c r="C125" s="24">
        <v>12300</v>
      </c>
      <c r="D125" s="335"/>
      <c r="E125" s="336"/>
      <c r="F125" s="453"/>
      <c r="G125" s="390"/>
    </row>
    <row r="126" spans="1:7" s="5" customFormat="1" ht="13.5">
      <c r="A126" s="249" t="s">
        <v>150</v>
      </c>
      <c r="B126" s="25" t="s">
        <v>125</v>
      </c>
      <c r="C126" s="31">
        <f>SUM(C127:C129)</f>
        <v>118900</v>
      </c>
      <c r="D126" s="335"/>
      <c r="E126" s="335"/>
      <c r="F126" s="453"/>
      <c r="G126" s="390"/>
    </row>
    <row r="127" spans="1:7" s="5" customFormat="1" ht="13.5">
      <c r="A127" s="71" t="s">
        <v>152</v>
      </c>
      <c r="B127" s="24" t="s">
        <v>70</v>
      </c>
      <c r="C127" s="24">
        <v>18900</v>
      </c>
      <c r="D127" s="336"/>
      <c r="E127" s="335"/>
      <c r="F127" s="453"/>
      <c r="G127" s="390"/>
    </row>
    <row r="128" spans="1:7" s="5" customFormat="1" ht="13.5">
      <c r="A128" s="71" t="s">
        <v>154</v>
      </c>
      <c r="B128" s="23" t="s">
        <v>125</v>
      </c>
      <c r="C128" s="24">
        <v>20000</v>
      </c>
      <c r="D128" s="336"/>
      <c r="E128" s="336"/>
      <c r="F128" s="453"/>
      <c r="G128" s="390"/>
    </row>
    <row r="129" spans="1:8" s="249" customFormat="1" ht="13.5" customHeight="1">
      <c r="A129" s="71" t="s">
        <v>643</v>
      </c>
      <c r="B129" s="42" t="s">
        <v>642</v>
      </c>
      <c r="C129" s="24">
        <v>80000</v>
      </c>
      <c r="D129" s="386"/>
      <c r="E129" s="336"/>
      <c r="F129" s="336"/>
      <c r="G129" s="385"/>
      <c r="H129" s="11"/>
    </row>
    <row r="130" spans="1:7" s="5" customFormat="1" ht="14.25" thickBot="1">
      <c r="A130" s="71"/>
      <c r="B130" s="23"/>
      <c r="C130" s="24"/>
      <c r="D130" s="336"/>
      <c r="E130" s="336"/>
      <c r="F130" s="453"/>
      <c r="G130" s="390"/>
    </row>
    <row r="131" spans="1:7" s="5" customFormat="1" ht="14.25" thickBot="1">
      <c r="A131" s="994" t="s">
        <v>3</v>
      </c>
      <c r="B131" s="995"/>
      <c r="C131" s="603">
        <f>C132+C136+C138+C142+C134+C140</f>
        <v>670030</v>
      </c>
      <c r="D131" s="18"/>
      <c r="E131" s="335"/>
      <c r="F131" s="453"/>
      <c r="G131" s="390"/>
    </row>
    <row r="132" spans="1:7" s="5" customFormat="1" ht="13.5">
      <c r="A132" s="249" t="s">
        <v>110</v>
      </c>
      <c r="B132" s="281" t="s">
        <v>111</v>
      </c>
      <c r="C132" s="32">
        <f>SUM(C133)</f>
        <v>12900</v>
      </c>
      <c r="D132" s="332"/>
      <c r="E132" s="21"/>
      <c r="F132" s="453"/>
      <c r="G132" s="390"/>
    </row>
    <row r="133" spans="1:7" s="5" customFormat="1" ht="13.5">
      <c r="A133" s="71" t="s">
        <v>52</v>
      </c>
      <c r="B133" s="24" t="s">
        <v>15</v>
      </c>
      <c r="C133" s="24">
        <v>12900</v>
      </c>
      <c r="D133" s="71"/>
      <c r="E133" s="334"/>
      <c r="F133" s="453"/>
      <c r="G133" s="390"/>
    </row>
    <row r="134" spans="1:7" s="5" customFormat="1" ht="13.5">
      <c r="A134" s="249" t="s">
        <v>505</v>
      </c>
      <c r="B134" s="31" t="s">
        <v>121</v>
      </c>
      <c r="C134" s="31">
        <f>SUM(C135)</f>
        <v>6560</v>
      </c>
      <c r="D134" s="71"/>
      <c r="E134" s="335"/>
      <c r="F134" s="453"/>
      <c r="G134" s="390"/>
    </row>
    <row r="135" spans="1:7" s="5" customFormat="1" ht="13.5">
      <c r="A135" s="12" t="s">
        <v>136</v>
      </c>
      <c r="B135" s="12" t="s">
        <v>71</v>
      </c>
      <c r="C135" s="24">
        <v>6560</v>
      </c>
      <c r="D135" s="71"/>
      <c r="E135" s="335"/>
      <c r="F135" s="453"/>
      <c r="G135" s="390"/>
    </row>
    <row r="136" spans="1:7" s="5" customFormat="1" ht="13.5">
      <c r="A136" s="249" t="s">
        <v>112</v>
      </c>
      <c r="B136" s="31" t="s">
        <v>156</v>
      </c>
      <c r="C136" s="31">
        <f>SUM(C137:C137)</f>
        <v>160000</v>
      </c>
      <c r="D136" s="71"/>
      <c r="E136" s="335"/>
      <c r="F136" s="453"/>
      <c r="G136" s="390"/>
    </row>
    <row r="137" spans="1:7" s="5" customFormat="1" ht="13.5">
      <c r="A137" s="71" t="s">
        <v>155</v>
      </c>
      <c r="B137" s="12" t="s">
        <v>87</v>
      </c>
      <c r="C137" s="24">
        <v>160000</v>
      </c>
      <c r="D137" s="71"/>
      <c r="E137" s="335"/>
      <c r="F137" s="453"/>
      <c r="G137" s="390"/>
    </row>
    <row r="138" spans="1:7" s="5" customFormat="1" ht="13.5">
      <c r="A138" s="11" t="s">
        <v>113</v>
      </c>
      <c r="B138" s="11" t="s">
        <v>114</v>
      </c>
      <c r="C138" s="31">
        <f>SUM(C139:C139)</f>
        <v>21000</v>
      </c>
      <c r="D138" s="71"/>
      <c r="E138" s="335"/>
      <c r="F138" s="453"/>
      <c r="G138" s="390"/>
    </row>
    <row r="139" spans="1:7" s="5" customFormat="1" ht="13.5">
      <c r="A139" s="12" t="s">
        <v>163</v>
      </c>
      <c r="B139" s="12" t="s">
        <v>74</v>
      </c>
      <c r="C139" s="24">
        <v>21000</v>
      </c>
      <c r="D139" s="71"/>
      <c r="E139" s="335"/>
      <c r="F139" s="453"/>
      <c r="G139" s="390"/>
    </row>
    <row r="140" spans="1:7" s="5" customFormat="1" ht="13.5">
      <c r="A140" s="11" t="s">
        <v>506</v>
      </c>
      <c r="B140" s="11" t="s">
        <v>56</v>
      </c>
      <c r="C140" s="31">
        <f>SUM(C141)</f>
        <v>16800</v>
      </c>
      <c r="D140" s="71"/>
      <c r="E140" s="335"/>
      <c r="F140" s="453"/>
      <c r="G140" s="390"/>
    </row>
    <row r="141" spans="1:7" s="5" customFormat="1" ht="13.5">
      <c r="A141" s="12" t="s">
        <v>55</v>
      </c>
      <c r="B141" s="12" t="s">
        <v>56</v>
      </c>
      <c r="C141" s="24">
        <v>16800</v>
      </c>
      <c r="D141" s="71"/>
      <c r="E141" s="335"/>
      <c r="F141" s="453"/>
      <c r="G141" s="390"/>
    </row>
    <row r="142" spans="1:7" s="5" customFormat="1" ht="13.5">
      <c r="A142" s="249" t="s">
        <v>115</v>
      </c>
      <c r="B142" s="31" t="s">
        <v>7</v>
      </c>
      <c r="C142" s="31">
        <f>SUM(C143:C147)</f>
        <v>452770</v>
      </c>
      <c r="D142" s="71"/>
      <c r="E142" s="335"/>
      <c r="F142" s="453"/>
      <c r="G142" s="390"/>
    </row>
    <row r="143" spans="1:7" s="5" customFormat="1" ht="13.5">
      <c r="A143" s="71" t="s">
        <v>89</v>
      </c>
      <c r="B143" s="24" t="s">
        <v>8</v>
      </c>
      <c r="C143" s="24">
        <v>188000</v>
      </c>
      <c r="D143" s="71"/>
      <c r="E143" s="335"/>
      <c r="F143" s="453"/>
      <c r="G143" s="390"/>
    </row>
    <row r="144" spans="1:7" s="5" customFormat="1" ht="13.5">
      <c r="A144" s="71" t="s">
        <v>182</v>
      </c>
      <c r="B144" s="24" t="s">
        <v>50</v>
      </c>
      <c r="C144" s="24">
        <v>16000</v>
      </c>
      <c r="D144" s="11"/>
      <c r="E144" s="335"/>
      <c r="F144" s="453"/>
      <c r="G144" s="390"/>
    </row>
    <row r="145" spans="1:7" s="249" customFormat="1" ht="13.5" customHeight="1">
      <c r="A145" s="71" t="s">
        <v>225</v>
      </c>
      <c r="B145" s="71" t="s">
        <v>224</v>
      </c>
      <c r="C145" s="24">
        <v>34600</v>
      </c>
      <c r="D145" s="71"/>
      <c r="E145" s="71"/>
      <c r="F145" s="344"/>
      <c r="G145" s="336"/>
    </row>
    <row r="146" spans="1:10" s="71" customFormat="1" ht="13.5" customHeight="1">
      <c r="A146" s="71" t="s">
        <v>223</v>
      </c>
      <c r="B146" s="42" t="s">
        <v>541</v>
      </c>
      <c r="C146" s="24">
        <v>54170</v>
      </c>
      <c r="F146" s="336"/>
      <c r="G146" s="336"/>
      <c r="H146" s="11"/>
      <c r="I146" s="11"/>
      <c r="J146" s="11"/>
    </row>
    <row r="147" spans="1:7" s="5" customFormat="1" ht="13.5">
      <c r="A147" s="71" t="s">
        <v>90</v>
      </c>
      <c r="B147" s="24" t="s">
        <v>7</v>
      </c>
      <c r="C147" s="24">
        <v>160000</v>
      </c>
      <c r="D147" s="71"/>
      <c r="E147" s="336"/>
      <c r="F147" s="453"/>
      <c r="G147" s="390"/>
    </row>
    <row r="148" spans="1:7" s="5" customFormat="1" ht="14.25" thickBot="1">
      <c r="A148" s="71"/>
      <c r="B148" s="71"/>
      <c r="C148" s="23"/>
      <c r="D148" s="18"/>
      <c r="E148" s="336"/>
      <c r="F148" s="453"/>
      <c r="G148" s="390"/>
    </row>
    <row r="149" spans="1:7" s="5" customFormat="1" ht="14.25" thickBot="1">
      <c r="A149" s="996" t="s">
        <v>4</v>
      </c>
      <c r="B149" s="997"/>
      <c r="C149" s="660">
        <f>C150+C154</f>
        <v>63760</v>
      </c>
      <c r="D149" s="18"/>
      <c r="E149" s="336"/>
      <c r="F149" s="453"/>
      <c r="G149" s="390"/>
    </row>
    <row r="150" spans="1:7" s="5" customFormat="1" ht="13.5">
      <c r="A150" s="249" t="s">
        <v>116</v>
      </c>
      <c r="B150" s="281" t="s">
        <v>117</v>
      </c>
      <c r="C150" s="32">
        <f>SUM(C151:C153)</f>
        <v>57060</v>
      </c>
      <c r="D150" s="331"/>
      <c r="E150" s="336"/>
      <c r="F150" s="453"/>
      <c r="G150" s="390"/>
    </row>
    <row r="151" spans="1:7" s="5" customFormat="1" ht="13.5">
      <c r="A151" s="71" t="s">
        <v>91</v>
      </c>
      <c r="B151" s="71" t="s">
        <v>139</v>
      </c>
      <c r="C151" s="24">
        <v>18700</v>
      </c>
      <c r="D151" s="335"/>
      <c r="E151" s="336"/>
      <c r="F151" s="453"/>
      <c r="G151" s="390"/>
    </row>
    <row r="152" spans="1:7" s="5" customFormat="1" ht="13.5">
      <c r="A152" s="71" t="s">
        <v>57</v>
      </c>
      <c r="B152" s="12" t="s">
        <v>58</v>
      </c>
      <c r="C152" s="24">
        <v>23360</v>
      </c>
      <c r="D152" s="335"/>
      <c r="E152" s="335"/>
      <c r="F152" s="453"/>
      <c r="G152" s="390"/>
    </row>
    <row r="153" spans="1:8" s="8" customFormat="1" ht="13.5" customHeight="1">
      <c r="A153" s="71" t="s">
        <v>756</v>
      </c>
      <c r="B153" s="23" t="s">
        <v>757</v>
      </c>
      <c r="C153" s="24">
        <v>15000</v>
      </c>
      <c r="D153" s="77"/>
      <c r="E153" s="25"/>
      <c r="F153" s="98"/>
      <c r="G153" s="54"/>
      <c r="H153" s="42"/>
    </row>
    <row r="154" spans="1:7" s="5" customFormat="1" ht="13.5">
      <c r="A154" s="249" t="s">
        <v>165</v>
      </c>
      <c r="B154" s="25" t="s">
        <v>134</v>
      </c>
      <c r="C154" s="31">
        <f>SUM(C155)</f>
        <v>6700</v>
      </c>
      <c r="D154" s="335"/>
      <c r="E154" s="336"/>
      <c r="F154" s="453"/>
      <c r="G154" s="390"/>
    </row>
    <row r="155" spans="1:7" s="5" customFormat="1" ht="13.5">
      <c r="A155" s="71" t="s">
        <v>166</v>
      </c>
      <c r="B155" s="23" t="s">
        <v>51</v>
      </c>
      <c r="C155" s="24">
        <v>6700</v>
      </c>
      <c r="D155" s="335"/>
      <c r="E155" s="21"/>
      <c r="F155" s="453"/>
      <c r="G155" s="390"/>
    </row>
    <row r="156" spans="1:7" s="5" customFormat="1" ht="13.5">
      <c r="A156" s="71"/>
      <c r="B156" s="23"/>
      <c r="C156" s="24"/>
      <c r="D156" s="335"/>
      <c r="E156" s="21"/>
      <c r="F156" s="453"/>
      <c r="G156" s="390"/>
    </row>
    <row r="157" spans="1:7" s="5" customFormat="1" ht="14.25" thickBot="1">
      <c r="A157" s="71"/>
      <c r="B157" s="23"/>
      <c r="C157" s="24"/>
      <c r="D157" s="335"/>
      <c r="E157" s="21"/>
      <c r="F157" s="453"/>
      <c r="G157" s="390"/>
    </row>
    <row r="158" spans="1:5" ht="12.75">
      <c r="A158" s="583" t="s">
        <v>770</v>
      </c>
      <c r="B158" s="584"/>
      <c r="C158" s="625"/>
      <c r="D158" s="627" t="s">
        <v>6</v>
      </c>
      <c r="E158" s="757" t="s">
        <v>1032</v>
      </c>
    </row>
    <row r="159" spans="1:5" ht="13.5" thickBot="1">
      <c r="A159" s="642"/>
      <c r="B159" s="675"/>
      <c r="C159" s="668"/>
      <c r="D159" s="669"/>
      <c r="E159" s="670"/>
    </row>
    <row r="160" spans="1:6" s="1" customFormat="1" ht="12.75">
      <c r="A160" s="979" t="s">
        <v>824</v>
      </c>
      <c r="B160" s="980"/>
      <c r="C160" s="980"/>
      <c r="D160" s="980"/>
      <c r="E160" s="981"/>
      <c r="F160" s="447"/>
    </row>
    <row r="161" spans="1:6" s="1" customFormat="1" ht="12.75">
      <c r="A161" s="982"/>
      <c r="B161" s="983"/>
      <c r="C161" s="983"/>
      <c r="D161" s="983"/>
      <c r="E161" s="984"/>
      <c r="F161" s="447"/>
    </row>
    <row r="162" spans="1:6" s="1" customFormat="1" ht="12.75">
      <c r="A162" s="982"/>
      <c r="B162" s="983"/>
      <c r="C162" s="983"/>
      <c r="D162" s="983"/>
      <c r="E162" s="984"/>
      <c r="F162" s="447"/>
    </row>
    <row r="163" spans="1:6" s="1" customFormat="1" ht="12.75">
      <c r="A163" s="982"/>
      <c r="B163" s="983"/>
      <c r="C163" s="983"/>
      <c r="D163" s="983"/>
      <c r="E163" s="984"/>
      <c r="F163" s="447"/>
    </row>
    <row r="164" spans="1:6" s="1" customFormat="1" ht="12.75">
      <c r="A164" s="982"/>
      <c r="B164" s="983"/>
      <c r="C164" s="983"/>
      <c r="D164" s="983"/>
      <c r="E164" s="984"/>
      <c r="F164" s="447"/>
    </row>
    <row r="165" spans="1:6" s="1" customFormat="1" ht="12.75">
      <c r="A165" s="982"/>
      <c r="B165" s="983"/>
      <c r="C165" s="983"/>
      <c r="D165" s="983"/>
      <c r="E165" s="984"/>
      <c r="F165" s="447"/>
    </row>
    <row r="166" spans="1:7" s="5" customFormat="1" ht="12.75">
      <c r="A166" s="982"/>
      <c r="B166" s="983"/>
      <c r="C166" s="983"/>
      <c r="D166" s="983"/>
      <c r="E166" s="984"/>
      <c r="F166" s="453"/>
      <c r="G166" s="390"/>
    </row>
    <row r="167" spans="1:7" s="5" customFormat="1" ht="12.75">
      <c r="A167" s="982"/>
      <c r="B167" s="983"/>
      <c r="C167" s="983"/>
      <c r="D167" s="983"/>
      <c r="E167" s="984"/>
      <c r="F167" s="453"/>
      <c r="G167" s="390"/>
    </row>
    <row r="168" spans="1:7" s="5" customFormat="1" ht="12.75">
      <c r="A168" s="982"/>
      <c r="B168" s="983"/>
      <c r="C168" s="983"/>
      <c r="D168" s="983"/>
      <c r="E168" s="984"/>
      <c r="F168" s="453"/>
      <c r="G168" s="390"/>
    </row>
    <row r="169" spans="1:7" s="5" customFormat="1" ht="13.5" thickBot="1">
      <c r="A169" s="985"/>
      <c r="B169" s="986"/>
      <c r="C169" s="986"/>
      <c r="D169" s="986"/>
      <c r="E169" s="987"/>
      <c r="F169" s="453"/>
      <c r="G169" s="390"/>
    </row>
    <row r="170" spans="1:6" s="1" customFormat="1" ht="13.5">
      <c r="A170" s="40" t="s">
        <v>809</v>
      </c>
      <c r="B170" s="12"/>
      <c r="C170" s="24"/>
      <c r="D170" s="24"/>
      <c r="E170" s="303"/>
      <c r="F170" s="447"/>
    </row>
    <row r="171" spans="1:6" s="1" customFormat="1" ht="13.5">
      <c r="A171" s="40" t="s">
        <v>771</v>
      </c>
      <c r="B171" s="12"/>
      <c r="C171" s="24"/>
      <c r="D171" s="24"/>
      <c r="E171" s="303"/>
      <c r="F171" s="447"/>
    </row>
    <row r="172" spans="1:6" s="1" customFormat="1" ht="13.5">
      <c r="A172" s="40" t="s">
        <v>746</v>
      </c>
      <c r="B172" s="12"/>
      <c r="C172" s="24"/>
      <c r="D172" s="24"/>
      <c r="E172" s="303"/>
      <c r="F172" s="447"/>
    </row>
    <row r="173" spans="1:6" s="1" customFormat="1" ht="14.25" thickBot="1">
      <c r="A173" s="75" t="s">
        <v>13</v>
      </c>
      <c r="B173" s="135"/>
      <c r="C173" s="360"/>
      <c r="D173" s="360"/>
      <c r="E173" s="361"/>
      <c r="F173" s="447"/>
    </row>
    <row r="174" spans="1:7" s="1" customFormat="1" ht="14.25" thickBot="1">
      <c r="A174" s="697" t="s">
        <v>14</v>
      </c>
      <c r="B174" s="698"/>
      <c r="C174" s="699"/>
      <c r="D174" s="701"/>
      <c r="E174" s="707">
        <f>+C176+C202+C221+C231</f>
        <v>12678790</v>
      </c>
      <c r="F174" s="447"/>
      <c r="G174" s="14"/>
    </row>
    <row r="175" spans="1:6" ht="14.25" thickBot="1">
      <c r="A175" s="74"/>
      <c r="E175" s="351"/>
      <c r="F175" s="351"/>
    </row>
    <row r="176" spans="1:6" ht="14.25" thickBot="1">
      <c r="A176" s="992" t="s">
        <v>2</v>
      </c>
      <c r="B176" s="993"/>
      <c r="C176" s="602">
        <f>C177+C179+C181+C183+C197+C187+C189+C194</f>
        <v>1811540</v>
      </c>
      <c r="E176" s="803"/>
      <c r="F176" s="803"/>
    </row>
    <row r="177" spans="1:6" s="332" customFormat="1" ht="13.5">
      <c r="A177" s="11" t="s">
        <v>103</v>
      </c>
      <c r="B177" s="281" t="s">
        <v>104</v>
      </c>
      <c r="C177" s="32">
        <f>SUM(C178)</f>
        <v>78300</v>
      </c>
      <c r="D177" s="331"/>
      <c r="E177" s="331"/>
      <c r="F177" s="386"/>
    </row>
    <row r="178" spans="1:7" s="12" customFormat="1" ht="13.5" customHeight="1">
      <c r="A178" s="12" t="s">
        <v>46</v>
      </c>
      <c r="B178" s="12" t="s">
        <v>45</v>
      </c>
      <c r="C178" s="24">
        <v>78300</v>
      </c>
      <c r="D178" s="383"/>
      <c r="E178" s="336"/>
      <c r="F178" s="452"/>
      <c r="G178" s="374"/>
    </row>
    <row r="179" spans="1:6" s="1" customFormat="1" ht="13.5">
      <c r="A179" s="11" t="s">
        <v>200</v>
      </c>
      <c r="B179" s="281" t="s">
        <v>220</v>
      </c>
      <c r="C179" s="31">
        <f>SUM(C180)</f>
        <v>113490</v>
      </c>
      <c r="D179" s="14"/>
      <c r="E179" s="385"/>
      <c r="F179" s="385"/>
    </row>
    <row r="180" spans="1:8" s="1" customFormat="1" ht="13.5">
      <c r="A180" s="12" t="s">
        <v>198</v>
      </c>
      <c r="B180" s="42" t="s">
        <v>197</v>
      </c>
      <c r="C180" s="24">
        <v>113490</v>
      </c>
      <c r="F180" s="358"/>
      <c r="G180" s="385"/>
      <c r="H180" s="447"/>
    </row>
    <row r="181" spans="1:9" s="12" customFormat="1" ht="13.5" customHeight="1">
      <c r="A181" s="11" t="s">
        <v>105</v>
      </c>
      <c r="B181" s="11" t="s">
        <v>106</v>
      </c>
      <c r="C181" s="31">
        <f>SUM(C182)</f>
        <v>1000000</v>
      </c>
      <c r="F181" s="383"/>
      <c r="G181" s="336"/>
      <c r="H181" s="452"/>
      <c r="I181" s="374"/>
    </row>
    <row r="182" spans="1:8" s="5" customFormat="1" ht="13.5">
      <c r="A182" s="12" t="s">
        <v>86</v>
      </c>
      <c r="B182" s="71" t="s">
        <v>66</v>
      </c>
      <c r="C182" s="24">
        <v>1000000</v>
      </c>
      <c r="F182" s="383"/>
      <c r="G182" s="336"/>
      <c r="H182" s="453"/>
    </row>
    <row r="183" spans="1:9" s="12" customFormat="1" ht="13.5" customHeight="1">
      <c r="A183" s="11" t="s">
        <v>107</v>
      </c>
      <c r="B183" s="249" t="s">
        <v>108</v>
      </c>
      <c r="C183" s="31">
        <f>SUM(C184:C186)</f>
        <v>149780</v>
      </c>
      <c r="F183" s="383"/>
      <c r="G183" s="336"/>
      <c r="H183" s="452"/>
      <c r="I183" s="374"/>
    </row>
    <row r="184" spans="1:9" s="5" customFormat="1" ht="13.5">
      <c r="A184" s="12" t="s">
        <v>47</v>
      </c>
      <c r="B184" s="23" t="s">
        <v>48</v>
      </c>
      <c r="C184" s="24">
        <v>80660</v>
      </c>
      <c r="F184" s="456"/>
      <c r="G184" s="336"/>
      <c r="H184" s="453"/>
      <c r="I184" s="390"/>
    </row>
    <row r="185" spans="1:9" s="5" customFormat="1" ht="13.5">
      <c r="A185" s="12" t="s">
        <v>453</v>
      </c>
      <c r="B185" s="42" t="s">
        <v>454</v>
      </c>
      <c r="C185" s="24">
        <v>42120</v>
      </c>
      <c r="F185" s="456"/>
      <c r="G185" s="336"/>
      <c r="H185" s="453"/>
      <c r="I185" s="390"/>
    </row>
    <row r="186" spans="1:9" s="5" customFormat="1" ht="13.5">
      <c r="A186" s="12" t="s">
        <v>455</v>
      </c>
      <c r="B186" s="42" t="s">
        <v>456</v>
      </c>
      <c r="C186" s="24">
        <v>27000</v>
      </c>
      <c r="F186" s="456"/>
      <c r="G186" s="336"/>
      <c r="H186" s="453"/>
      <c r="I186" s="390"/>
    </row>
    <row r="187" spans="1:6" s="51" customFormat="1" ht="13.5">
      <c r="A187" s="11" t="s">
        <v>196</v>
      </c>
      <c r="B187" s="502" t="s">
        <v>195</v>
      </c>
      <c r="C187" s="31">
        <f>SUM(C188)</f>
        <v>113470</v>
      </c>
      <c r="D187" s="61"/>
      <c r="E187" s="61"/>
      <c r="F187" s="805"/>
    </row>
    <row r="188" spans="1:6" s="51" customFormat="1" ht="13.5">
      <c r="A188" s="12" t="s">
        <v>194</v>
      </c>
      <c r="B188" s="8" t="s">
        <v>216</v>
      </c>
      <c r="C188" s="59">
        <v>113470</v>
      </c>
      <c r="D188" s="61"/>
      <c r="E188" s="61"/>
      <c r="F188" s="805"/>
    </row>
    <row r="189" spans="1:8" s="5" customFormat="1" ht="13.5">
      <c r="A189" s="11" t="s">
        <v>119</v>
      </c>
      <c r="B189" s="505" t="s">
        <v>192</v>
      </c>
      <c r="C189" s="31">
        <f>SUM(C190:C193)</f>
        <v>88400</v>
      </c>
      <c r="D189" s="384"/>
      <c r="E189" s="336"/>
      <c r="F189" s="336"/>
      <c r="G189" s="385"/>
      <c r="H189" s="142"/>
    </row>
    <row r="190" spans="1:8" s="5" customFormat="1" ht="13.5">
      <c r="A190" s="12" t="s">
        <v>149</v>
      </c>
      <c r="B190" s="42" t="s">
        <v>639</v>
      </c>
      <c r="C190" s="24">
        <v>18750</v>
      </c>
      <c r="D190" s="384"/>
      <c r="E190" s="336"/>
      <c r="F190" s="336"/>
      <c r="G190" s="385"/>
      <c r="H190" s="142"/>
    </row>
    <row r="191" spans="1:8" s="5" customFormat="1" ht="13.5">
      <c r="A191" s="12" t="s">
        <v>641</v>
      </c>
      <c r="B191" s="42" t="s">
        <v>640</v>
      </c>
      <c r="C191" s="24">
        <v>19000</v>
      </c>
      <c r="D191" s="384"/>
      <c r="E191" s="336"/>
      <c r="F191" s="336"/>
      <c r="G191" s="385"/>
      <c r="H191" s="142"/>
    </row>
    <row r="192" spans="1:5" s="65" customFormat="1" ht="13.5">
      <c r="A192" s="71" t="s">
        <v>758</v>
      </c>
      <c r="B192" s="24" t="s">
        <v>753</v>
      </c>
      <c r="C192" s="24">
        <v>33400</v>
      </c>
      <c r="D192" s="77"/>
      <c r="E192" s="25"/>
    </row>
    <row r="193" spans="1:5" s="65" customFormat="1" ht="13.5">
      <c r="A193" s="71" t="s">
        <v>754</v>
      </c>
      <c r="B193" s="24" t="s">
        <v>755</v>
      </c>
      <c r="C193" s="24">
        <v>17250</v>
      </c>
      <c r="D193" s="77"/>
      <c r="E193" s="25"/>
    </row>
    <row r="194" spans="1:8" s="5" customFormat="1" ht="13.5">
      <c r="A194" s="249" t="s">
        <v>124</v>
      </c>
      <c r="B194" s="25" t="s">
        <v>123</v>
      </c>
      <c r="C194" s="31">
        <f>SUM(C195:C196)</f>
        <v>63150</v>
      </c>
      <c r="D194" s="384"/>
      <c r="E194" s="336"/>
      <c r="F194" s="336"/>
      <c r="G194" s="385"/>
      <c r="H194" s="142"/>
    </row>
    <row r="195" spans="1:5" s="65" customFormat="1" ht="13.5">
      <c r="A195" s="12" t="s">
        <v>231</v>
      </c>
      <c r="B195" s="42" t="s">
        <v>230</v>
      </c>
      <c r="C195" s="24">
        <v>34400</v>
      </c>
      <c r="D195" s="56"/>
      <c r="E195" s="56"/>
    </row>
    <row r="196" spans="1:8" s="5" customFormat="1" ht="13.5">
      <c r="A196" s="71" t="s">
        <v>93</v>
      </c>
      <c r="B196" s="24" t="s">
        <v>72</v>
      </c>
      <c r="C196" s="24">
        <v>28750</v>
      </c>
      <c r="D196" s="336"/>
      <c r="E196" s="336"/>
      <c r="F196" s="336"/>
      <c r="G196" s="374"/>
      <c r="H196" s="142"/>
    </row>
    <row r="197" spans="1:9" s="5" customFormat="1" ht="13.5">
      <c r="A197" s="249" t="s">
        <v>150</v>
      </c>
      <c r="B197" s="25" t="s">
        <v>125</v>
      </c>
      <c r="C197" s="31">
        <f>SUM(C198:C200)</f>
        <v>204950</v>
      </c>
      <c r="F197" s="422"/>
      <c r="G197" s="335"/>
      <c r="H197" s="453"/>
      <c r="I197" s="390"/>
    </row>
    <row r="198" spans="1:9" s="5" customFormat="1" ht="13.5">
      <c r="A198" s="71" t="s">
        <v>152</v>
      </c>
      <c r="B198" s="24" t="s">
        <v>70</v>
      </c>
      <c r="C198" s="24">
        <v>36800</v>
      </c>
      <c r="F198" s="383"/>
      <c r="G198" s="336"/>
      <c r="H198" s="453"/>
      <c r="I198" s="390"/>
    </row>
    <row r="199" spans="1:9" s="5" customFormat="1" ht="13.5">
      <c r="A199" s="71" t="s">
        <v>154</v>
      </c>
      <c r="B199" s="23" t="s">
        <v>125</v>
      </c>
      <c r="C199" s="24">
        <v>68150</v>
      </c>
      <c r="F199" s="383"/>
      <c r="G199" s="336"/>
      <c r="H199" s="453"/>
      <c r="I199" s="390"/>
    </row>
    <row r="200" spans="1:8" s="249" customFormat="1" ht="13.5" customHeight="1">
      <c r="A200" s="71" t="s">
        <v>643</v>
      </c>
      <c r="B200" s="42" t="s">
        <v>642</v>
      </c>
      <c r="C200" s="24">
        <v>100000</v>
      </c>
      <c r="D200" s="386"/>
      <c r="E200" s="336"/>
      <c r="F200" s="336"/>
      <c r="G200" s="385"/>
      <c r="H200" s="11"/>
    </row>
    <row r="201" spans="1:9" s="5" customFormat="1" ht="14.25" thickBot="1">
      <c r="A201" s="71"/>
      <c r="B201" s="24"/>
      <c r="C201" s="23"/>
      <c r="F201" s="422"/>
      <c r="G201" s="335"/>
      <c r="H201" s="453"/>
      <c r="I201" s="390"/>
    </row>
    <row r="202" spans="1:8" ht="14.25" thickBot="1">
      <c r="A202" s="994" t="s">
        <v>3</v>
      </c>
      <c r="B202" s="995"/>
      <c r="C202" s="603">
        <f>C203+C205+C207+C211+C214</f>
        <v>6277930</v>
      </c>
      <c r="F202" s="326"/>
      <c r="G202" s="18"/>
      <c r="H202" s="451"/>
    </row>
    <row r="203" spans="1:8" s="332" customFormat="1" ht="13.5">
      <c r="A203" s="249" t="s">
        <v>110</v>
      </c>
      <c r="B203" s="281" t="s">
        <v>111</v>
      </c>
      <c r="C203" s="32">
        <f>SUM(C204:C204)</f>
        <v>17550</v>
      </c>
      <c r="F203" s="331"/>
      <c r="G203" s="331"/>
      <c r="H203" s="386"/>
    </row>
    <row r="204" spans="1:10" s="71" customFormat="1" ht="13.5" customHeight="1">
      <c r="A204" s="71" t="s">
        <v>52</v>
      </c>
      <c r="B204" s="24" t="s">
        <v>15</v>
      </c>
      <c r="C204" s="24">
        <v>17550</v>
      </c>
      <c r="F204" s="336"/>
      <c r="G204" s="335"/>
      <c r="H204" s="453"/>
      <c r="I204" s="344"/>
      <c r="J204" s="24"/>
    </row>
    <row r="205" spans="1:10" s="71" customFormat="1" ht="13.5" customHeight="1">
      <c r="A205" s="11" t="s">
        <v>120</v>
      </c>
      <c r="B205" s="31" t="s">
        <v>121</v>
      </c>
      <c r="C205" s="31">
        <f>SUM(C206)</f>
        <v>16350</v>
      </c>
      <c r="F205" s="336"/>
      <c r="G205" s="335"/>
      <c r="H205" s="453"/>
      <c r="I205" s="344"/>
      <c r="J205" s="24"/>
    </row>
    <row r="206" spans="1:10" s="71" customFormat="1" ht="13.5" customHeight="1">
      <c r="A206" s="12" t="s">
        <v>136</v>
      </c>
      <c r="B206" s="12" t="s">
        <v>71</v>
      </c>
      <c r="C206" s="24">
        <v>16350</v>
      </c>
      <c r="F206" s="336"/>
      <c r="G206" s="335"/>
      <c r="H206" s="453"/>
      <c r="I206" s="344"/>
      <c r="J206" s="24"/>
    </row>
    <row r="207" spans="1:10" s="71" customFormat="1" ht="13.5" customHeight="1">
      <c r="A207" s="249" t="s">
        <v>112</v>
      </c>
      <c r="B207" s="31" t="s">
        <v>156</v>
      </c>
      <c r="C207" s="31">
        <f>SUM(C208:C210)</f>
        <v>4958270</v>
      </c>
      <c r="F207" s="336"/>
      <c r="G207" s="335"/>
      <c r="H207" s="453"/>
      <c r="I207" s="344"/>
      <c r="J207" s="24"/>
    </row>
    <row r="208" spans="1:10" s="71" customFormat="1" ht="13.5" customHeight="1">
      <c r="A208" s="71" t="s">
        <v>138</v>
      </c>
      <c r="B208" s="58" t="s">
        <v>810</v>
      </c>
      <c r="C208" s="24">
        <v>7720</v>
      </c>
      <c r="F208" s="336"/>
      <c r="G208" s="335"/>
      <c r="H208" s="453"/>
      <c r="I208" s="344"/>
      <c r="J208" s="24"/>
    </row>
    <row r="209" spans="1:10" s="71" customFormat="1" ht="13.5" customHeight="1">
      <c r="A209" s="71" t="s">
        <v>155</v>
      </c>
      <c r="B209" s="12" t="s">
        <v>87</v>
      </c>
      <c r="C209" s="24">
        <v>350550</v>
      </c>
      <c r="F209" s="455"/>
      <c r="G209" s="336"/>
      <c r="I209" s="344"/>
      <c r="J209" s="24"/>
    </row>
    <row r="210" spans="1:10" s="71" customFormat="1" ht="13.5" customHeight="1">
      <c r="A210" s="71" t="s">
        <v>813</v>
      </c>
      <c r="B210" s="42" t="s">
        <v>814</v>
      </c>
      <c r="C210" s="24">
        <v>4600000</v>
      </c>
      <c r="F210" s="455"/>
      <c r="G210" s="336"/>
      <c r="I210" s="344"/>
      <c r="J210" s="24"/>
    </row>
    <row r="211" spans="1:10" s="71" customFormat="1" ht="13.5" customHeight="1">
      <c r="A211" s="11" t="s">
        <v>113</v>
      </c>
      <c r="B211" s="11" t="s">
        <v>114</v>
      </c>
      <c r="C211" s="31">
        <f>SUM(C212:C213)</f>
        <v>18000</v>
      </c>
      <c r="F211" s="336"/>
      <c r="G211" s="455"/>
      <c r="H211" s="453"/>
      <c r="I211" s="344"/>
      <c r="J211" s="24"/>
    </row>
    <row r="212" spans="1:10" s="71" customFormat="1" ht="13.5" customHeight="1">
      <c r="A212" s="12" t="s">
        <v>163</v>
      </c>
      <c r="B212" s="12" t="s">
        <v>74</v>
      </c>
      <c r="C212" s="24">
        <v>18000</v>
      </c>
      <c r="F212" s="336"/>
      <c r="G212" s="335"/>
      <c r="H212" s="452"/>
      <c r="I212" s="344"/>
      <c r="J212" s="12"/>
    </row>
    <row r="213" spans="1:10" s="71" customFormat="1" ht="13.5" customHeight="1" hidden="1">
      <c r="A213" s="12" t="s">
        <v>509</v>
      </c>
      <c r="B213" s="42" t="s">
        <v>548</v>
      </c>
      <c r="C213" s="24">
        <v>0</v>
      </c>
      <c r="F213" s="336"/>
      <c r="G213" s="335"/>
      <c r="H213" s="452"/>
      <c r="I213" s="344"/>
      <c r="J213" s="12"/>
    </row>
    <row r="214" spans="1:10" s="71" customFormat="1" ht="13.5" customHeight="1">
      <c r="A214" s="249" t="s">
        <v>115</v>
      </c>
      <c r="B214" s="31" t="s">
        <v>7</v>
      </c>
      <c r="C214" s="31">
        <f>SUM(C215:C219)</f>
        <v>1267760</v>
      </c>
      <c r="F214" s="336"/>
      <c r="G214" s="335"/>
      <c r="H214" s="452"/>
      <c r="I214" s="344"/>
      <c r="J214" s="12"/>
    </row>
    <row r="215" spans="1:9" s="71" customFormat="1" ht="13.5" customHeight="1">
      <c r="A215" s="71" t="s">
        <v>89</v>
      </c>
      <c r="B215" s="24" t="s">
        <v>8</v>
      </c>
      <c r="C215" s="24">
        <v>630940</v>
      </c>
      <c r="F215" s="339"/>
      <c r="G215" s="340"/>
      <c r="I215" s="346"/>
    </row>
    <row r="216" spans="1:9" s="71" customFormat="1" ht="13.5" customHeight="1">
      <c r="A216" s="71" t="s">
        <v>182</v>
      </c>
      <c r="B216" s="24" t="s">
        <v>50</v>
      </c>
      <c r="C216" s="24">
        <v>8120</v>
      </c>
      <c r="F216" s="336"/>
      <c r="G216" s="336"/>
      <c r="H216" s="453"/>
      <c r="I216" s="346"/>
    </row>
    <row r="217" spans="1:8" s="71" customFormat="1" ht="13.5" customHeight="1">
      <c r="A217" s="71" t="s">
        <v>225</v>
      </c>
      <c r="B217" s="24" t="s">
        <v>224</v>
      </c>
      <c r="C217" s="24">
        <f>20000*1.17</f>
        <v>23400</v>
      </c>
      <c r="F217" s="455"/>
      <c r="G217" s="336"/>
      <c r="H217" s="453"/>
    </row>
    <row r="218" spans="1:9" s="71" customFormat="1" ht="13.5" customHeight="1">
      <c r="A218" s="71" t="s">
        <v>223</v>
      </c>
      <c r="B218" s="12" t="s">
        <v>222</v>
      </c>
      <c r="C218" s="24">
        <v>105300</v>
      </c>
      <c r="F218" s="455"/>
      <c r="G218" s="336"/>
      <c r="H218" s="453"/>
      <c r="I218" s="346"/>
    </row>
    <row r="219" spans="1:12" s="71" customFormat="1" ht="13.5" customHeight="1">
      <c r="A219" s="71" t="s">
        <v>90</v>
      </c>
      <c r="B219" s="24" t="s">
        <v>7</v>
      </c>
      <c r="C219" s="24">
        <v>500000</v>
      </c>
      <c r="F219" s="455"/>
      <c r="G219" s="335"/>
      <c r="H219" s="452"/>
      <c r="I219" s="344"/>
      <c r="J219" s="12"/>
      <c r="L219" s="23"/>
    </row>
    <row r="220" spans="2:9" s="71" customFormat="1" ht="13.5" customHeight="1" thickBot="1">
      <c r="B220" s="24"/>
      <c r="C220" s="23"/>
      <c r="G220" s="336"/>
      <c r="H220" s="453"/>
      <c r="I220" s="346"/>
    </row>
    <row r="221" spans="1:8" ht="14.25" thickBot="1">
      <c r="A221" s="1007" t="s">
        <v>5</v>
      </c>
      <c r="B221" s="1008"/>
      <c r="C221" s="604">
        <f>SUM(C222+C224)</f>
        <v>4455830</v>
      </c>
      <c r="F221" s="18"/>
      <c r="G221" s="18"/>
      <c r="H221" s="451"/>
    </row>
    <row r="222" spans="1:8" ht="13.5">
      <c r="A222" s="249" t="s">
        <v>126</v>
      </c>
      <c r="B222" s="281" t="s">
        <v>127</v>
      </c>
      <c r="C222" s="31">
        <f>C223</f>
        <v>93600</v>
      </c>
      <c r="F222" s="18"/>
      <c r="G222" s="18"/>
      <c r="H222" s="451"/>
    </row>
    <row r="223" spans="1:8" ht="13.5">
      <c r="A223" s="12" t="s">
        <v>538</v>
      </c>
      <c r="B223" s="42" t="s">
        <v>539</v>
      </c>
      <c r="C223" s="24">
        <f>80000*1.17</f>
        <v>93600</v>
      </c>
      <c r="F223" s="18"/>
      <c r="G223" s="18"/>
      <c r="H223" s="451"/>
    </row>
    <row r="224" spans="1:8" s="332" customFormat="1" ht="13.5">
      <c r="A224" s="249" t="s">
        <v>128</v>
      </c>
      <c r="B224" s="281" t="s">
        <v>129</v>
      </c>
      <c r="C224" s="32">
        <f>SUM(C225:C229)</f>
        <v>4362230</v>
      </c>
      <c r="F224" s="359"/>
      <c r="G224" s="331"/>
      <c r="H224" s="386"/>
    </row>
    <row r="225" spans="1:8" s="332" customFormat="1" ht="13.5">
      <c r="A225" s="71" t="s">
        <v>450</v>
      </c>
      <c r="B225" s="100" t="s">
        <v>511</v>
      </c>
      <c r="C225" s="22">
        <f>200000*1.17</f>
        <v>234000</v>
      </c>
      <c r="F225" s="359"/>
      <c r="G225" s="331"/>
      <c r="H225" s="386"/>
    </row>
    <row r="226" spans="1:12" ht="13.5">
      <c r="A226" s="71" t="s">
        <v>512</v>
      </c>
      <c r="B226" s="12" t="s">
        <v>513</v>
      </c>
      <c r="C226" s="24">
        <v>1544400</v>
      </c>
      <c r="F226" s="347"/>
      <c r="G226" s="14"/>
      <c r="H226" s="447"/>
      <c r="I226" s="1"/>
      <c r="J226" s="1"/>
      <c r="K226" s="1"/>
      <c r="L226" s="1"/>
    </row>
    <row r="227" spans="1:12" ht="13.5">
      <c r="A227" s="71" t="s">
        <v>237</v>
      </c>
      <c r="B227" s="42" t="s">
        <v>534</v>
      </c>
      <c r="C227" s="24">
        <v>219380</v>
      </c>
      <c r="F227" s="347"/>
      <c r="G227" s="14"/>
      <c r="H227" s="447"/>
      <c r="I227" s="1"/>
      <c r="J227" s="1"/>
      <c r="K227" s="1"/>
      <c r="L227" s="1"/>
    </row>
    <row r="228" spans="1:12" ht="13.5">
      <c r="A228" s="71" t="s">
        <v>239</v>
      </c>
      <c r="B228" s="12" t="s">
        <v>240</v>
      </c>
      <c r="C228" s="24">
        <f>2000000*1.17</f>
        <v>2340000</v>
      </c>
      <c r="F228" s="347"/>
      <c r="G228" s="14"/>
      <c r="H228" s="447"/>
      <c r="I228" s="1"/>
      <c r="J228" s="1"/>
      <c r="K228" s="1"/>
      <c r="L228" s="1"/>
    </row>
    <row r="229" spans="1:12" ht="13.5">
      <c r="A229" s="71" t="s">
        <v>144</v>
      </c>
      <c r="B229" s="71" t="s">
        <v>12</v>
      </c>
      <c r="C229" s="24">
        <v>24450</v>
      </c>
      <c r="F229" s="347"/>
      <c r="G229" s="14"/>
      <c r="H229" s="447"/>
      <c r="I229" s="1"/>
      <c r="J229" s="1"/>
      <c r="K229" s="1"/>
      <c r="L229" s="1"/>
    </row>
    <row r="230" spans="1:12" ht="14.25" thickBot="1">
      <c r="A230" s="71"/>
      <c r="B230" s="71"/>
      <c r="C230" s="23"/>
      <c r="F230" s="16"/>
      <c r="G230" s="14"/>
      <c r="H230" s="447"/>
      <c r="I230" s="1"/>
      <c r="J230" s="1"/>
      <c r="K230" s="1"/>
      <c r="L230" s="1"/>
    </row>
    <row r="231" spans="1:3" ht="14.25" thickBot="1">
      <c r="A231" s="996" t="s">
        <v>4</v>
      </c>
      <c r="B231" s="997"/>
      <c r="C231" s="660">
        <f>C232+C237</f>
        <v>133490</v>
      </c>
    </row>
    <row r="232" spans="1:6" s="332" customFormat="1" ht="13.5">
      <c r="A232" s="249" t="s">
        <v>116</v>
      </c>
      <c r="B232" s="281" t="s">
        <v>117</v>
      </c>
      <c r="C232" s="32">
        <f>SUM(C233:C236)</f>
        <v>123250</v>
      </c>
      <c r="D232" s="331"/>
      <c r="E232" s="331"/>
      <c r="F232" s="386"/>
    </row>
    <row r="233" spans="1:7" s="5" customFormat="1" ht="13.5">
      <c r="A233" s="71" t="s">
        <v>91</v>
      </c>
      <c r="B233" s="71" t="s">
        <v>139</v>
      </c>
      <c r="C233" s="24">
        <v>53640</v>
      </c>
      <c r="D233" s="335"/>
      <c r="E233" s="335"/>
      <c r="F233" s="453"/>
      <c r="G233" s="390"/>
    </row>
    <row r="234" spans="1:7" s="5" customFormat="1" ht="13.5">
      <c r="A234" s="71" t="s">
        <v>204</v>
      </c>
      <c r="B234" s="42" t="s">
        <v>557</v>
      </c>
      <c r="C234" s="24">
        <v>21250</v>
      </c>
      <c r="D234" s="335"/>
      <c r="E234" s="335"/>
      <c r="F234" s="453"/>
      <c r="G234" s="390"/>
    </row>
    <row r="235" spans="1:7" s="5" customFormat="1" ht="13.5">
      <c r="A235" s="71" t="s">
        <v>57</v>
      </c>
      <c r="B235" s="12" t="s">
        <v>58</v>
      </c>
      <c r="C235" s="24">
        <v>23360</v>
      </c>
      <c r="D235" s="335"/>
      <c r="E235" s="335"/>
      <c r="F235" s="453"/>
      <c r="G235" s="390"/>
    </row>
    <row r="236" spans="1:8" s="8" customFormat="1" ht="13.5" customHeight="1">
      <c r="A236" s="71" t="s">
        <v>756</v>
      </c>
      <c r="B236" s="23" t="s">
        <v>757</v>
      </c>
      <c r="C236" s="24">
        <v>25000</v>
      </c>
      <c r="D236" s="77"/>
      <c r="E236" s="25"/>
      <c r="F236" s="98"/>
      <c r="G236" s="54"/>
      <c r="H236" s="42"/>
    </row>
    <row r="237" spans="1:7" s="5" customFormat="1" ht="13.5">
      <c r="A237" s="249" t="s">
        <v>165</v>
      </c>
      <c r="B237" s="25" t="s">
        <v>134</v>
      </c>
      <c r="C237" s="31">
        <f>SUM(C238)</f>
        <v>10240</v>
      </c>
      <c r="D237" s="335"/>
      <c r="E237" s="335"/>
      <c r="F237" s="453"/>
      <c r="G237" s="390"/>
    </row>
    <row r="238" spans="1:7" s="5" customFormat="1" ht="13.5">
      <c r="A238" s="71" t="s">
        <v>166</v>
      </c>
      <c r="B238" s="23" t="s">
        <v>51</v>
      </c>
      <c r="C238" s="24">
        <v>10240</v>
      </c>
      <c r="D238" s="335"/>
      <c r="E238" s="335"/>
      <c r="F238" s="453"/>
      <c r="G238" s="390"/>
    </row>
    <row r="239" spans="1:7" s="5" customFormat="1" ht="13.5">
      <c r="A239" s="71"/>
      <c r="B239" s="23"/>
      <c r="C239" s="24"/>
      <c r="D239" s="335"/>
      <c r="E239" s="335"/>
      <c r="F239" s="453"/>
      <c r="G239" s="390"/>
    </row>
    <row r="240" spans="1:7" s="5" customFormat="1" ht="14.25" thickBot="1">
      <c r="A240" s="71"/>
      <c r="B240" s="23"/>
      <c r="C240" s="24"/>
      <c r="D240" s="335"/>
      <c r="E240" s="335"/>
      <c r="F240" s="453"/>
      <c r="G240" s="390"/>
    </row>
    <row r="241" spans="1:5" ht="12.75">
      <c r="A241" s="583" t="s">
        <v>772</v>
      </c>
      <c r="B241" s="584"/>
      <c r="C241" s="625"/>
      <c r="D241" s="627" t="s">
        <v>6</v>
      </c>
      <c r="E241" s="757" t="s">
        <v>1033</v>
      </c>
    </row>
    <row r="242" spans="1:5" ht="13.5" thickBot="1">
      <c r="A242" s="642"/>
      <c r="B242" s="675"/>
      <c r="C242" s="668"/>
      <c r="D242" s="669"/>
      <c r="E242" s="670"/>
    </row>
    <row r="243" spans="1:7" s="5" customFormat="1" ht="12.75">
      <c r="A243" s="979" t="s">
        <v>816</v>
      </c>
      <c r="B243" s="980"/>
      <c r="C243" s="980"/>
      <c r="D243" s="980"/>
      <c r="E243" s="981"/>
      <c r="F243" s="453"/>
      <c r="G243" s="390"/>
    </row>
    <row r="244" spans="1:7" s="5" customFormat="1" ht="12.75">
      <c r="A244" s="982"/>
      <c r="B244" s="983"/>
      <c r="C244" s="983"/>
      <c r="D244" s="983"/>
      <c r="E244" s="984"/>
      <c r="F244" s="453"/>
      <c r="G244" s="390"/>
    </row>
    <row r="245" spans="1:7" s="5" customFormat="1" ht="12.75">
      <c r="A245" s="982"/>
      <c r="B245" s="983"/>
      <c r="C245" s="983"/>
      <c r="D245" s="983"/>
      <c r="E245" s="984"/>
      <c r="F245" s="453"/>
      <c r="G245" s="390"/>
    </row>
    <row r="246" spans="1:7" s="5" customFormat="1" ht="27.75" customHeight="1" thickBot="1">
      <c r="A246" s="982"/>
      <c r="B246" s="983"/>
      <c r="C246" s="983"/>
      <c r="D246" s="983"/>
      <c r="E246" s="984"/>
      <c r="F246" s="453"/>
      <c r="G246" s="390"/>
    </row>
    <row r="247" spans="1:6" s="1" customFormat="1" ht="13.5">
      <c r="A247" s="116" t="s">
        <v>809</v>
      </c>
      <c r="B247" s="167"/>
      <c r="C247" s="400"/>
      <c r="D247" s="400"/>
      <c r="E247" s="402"/>
      <c r="F247" s="447"/>
    </row>
    <row r="248" spans="1:6" s="1" customFormat="1" ht="13.5">
      <c r="A248" s="40" t="s">
        <v>569</v>
      </c>
      <c r="B248" s="12"/>
      <c r="C248" s="24"/>
      <c r="D248" s="24"/>
      <c r="E248" s="303"/>
      <c r="F248" s="447"/>
    </row>
    <row r="249" spans="1:6" s="1" customFormat="1" ht="13.5">
      <c r="A249" s="40" t="s">
        <v>570</v>
      </c>
      <c r="B249" s="12"/>
      <c r="C249" s="24"/>
      <c r="D249" s="24"/>
      <c r="E249" s="303"/>
      <c r="F249" s="447"/>
    </row>
    <row r="250" spans="1:6" s="1" customFormat="1" ht="14.25" thickBot="1">
      <c r="A250" s="75" t="s">
        <v>13</v>
      </c>
      <c r="B250" s="135"/>
      <c r="C250" s="360"/>
      <c r="D250" s="360"/>
      <c r="E250" s="361"/>
      <c r="F250" s="447"/>
    </row>
    <row r="251" spans="1:7" s="1" customFormat="1" ht="14.25" thickBot="1">
      <c r="A251" s="697" t="s">
        <v>14</v>
      </c>
      <c r="B251" s="698"/>
      <c r="C251" s="699"/>
      <c r="D251" s="701"/>
      <c r="E251" s="707">
        <f>+C253+C283+C299</f>
        <v>3277945</v>
      </c>
      <c r="F251" s="447"/>
      <c r="G251" s="14"/>
    </row>
    <row r="252" spans="1:7" s="5" customFormat="1" ht="13.5" thickBot="1">
      <c r="A252" s="74"/>
      <c r="B252" s="3"/>
      <c r="C252" s="18"/>
      <c r="D252" s="18"/>
      <c r="E252" s="18"/>
      <c r="F252" s="453"/>
      <c r="G252" s="390"/>
    </row>
    <row r="253" spans="1:7" s="5" customFormat="1" ht="14.25" thickBot="1">
      <c r="A253" s="992" t="s">
        <v>2</v>
      </c>
      <c r="B253" s="993"/>
      <c r="C253" s="602">
        <f>C254+C256+C259+C261+C265+C268+C272+C277</f>
        <v>1314375</v>
      </c>
      <c r="D253" s="18"/>
      <c r="E253" s="18"/>
      <c r="F253" s="453"/>
      <c r="G253" s="390"/>
    </row>
    <row r="254" spans="1:7" s="5" customFormat="1" ht="13.5">
      <c r="A254" s="11" t="s">
        <v>103</v>
      </c>
      <c r="B254" s="281" t="s">
        <v>104</v>
      </c>
      <c r="C254" s="32">
        <f>SUM(C255)</f>
        <v>31250</v>
      </c>
      <c r="D254" s="331"/>
      <c r="E254" s="331"/>
      <c r="F254" s="453"/>
      <c r="G254" s="390"/>
    </row>
    <row r="255" spans="1:7" s="5" customFormat="1" ht="13.5">
      <c r="A255" s="12" t="s">
        <v>46</v>
      </c>
      <c r="B255" s="12" t="s">
        <v>45</v>
      </c>
      <c r="C255" s="24">
        <v>31250</v>
      </c>
      <c r="D255" s="383"/>
      <c r="E255" s="336"/>
      <c r="F255" s="453"/>
      <c r="G255" s="390"/>
    </row>
    <row r="256" spans="1:7" s="5" customFormat="1" ht="13.5">
      <c r="A256" s="11" t="s">
        <v>200</v>
      </c>
      <c r="B256" s="505" t="s">
        <v>199</v>
      </c>
      <c r="C256" s="31">
        <f>SUM(C257:C258)</f>
        <v>208000</v>
      </c>
      <c r="D256" s="383"/>
      <c r="E256" s="336"/>
      <c r="F256" s="453"/>
      <c r="G256" s="390"/>
    </row>
    <row r="257" spans="1:7" s="5" customFormat="1" ht="13.5">
      <c r="A257" s="12" t="s">
        <v>198</v>
      </c>
      <c r="B257" s="42" t="s">
        <v>197</v>
      </c>
      <c r="C257" s="24">
        <v>100000</v>
      </c>
      <c r="D257" s="383"/>
      <c r="E257" s="336"/>
      <c r="F257" s="453"/>
      <c r="G257" s="390"/>
    </row>
    <row r="258" spans="1:7" s="5" customFormat="1" ht="13.5">
      <c r="A258" s="12" t="s">
        <v>228</v>
      </c>
      <c r="B258" s="42" t="s">
        <v>227</v>
      </c>
      <c r="C258" s="24">
        <v>108000</v>
      </c>
      <c r="D258" s="383"/>
      <c r="E258" s="336"/>
      <c r="F258" s="453"/>
      <c r="G258" s="390"/>
    </row>
    <row r="259" spans="1:7" s="5" customFormat="1" ht="13.5">
      <c r="A259" s="11" t="s">
        <v>105</v>
      </c>
      <c r="B259" s="11" t="s">
        <v>106</v>
      </c>
      <c r="C259" s="31">
        <f>SUM(C260)</f>
        <v>140000</v>
      </c>
      <c r="D259" s="336"/>
      <c r="E259" s="12"/>
      <c r="F259" s="453"/>
      <c r="G259" s="390"/>
    </row>
    <row r="260" spans="1:7" s="5" customFormat="1" ht="13.5">
      <c r="A260" s="12" t="s">
        <v>86</v>
      </c>
      <c r="B260" s="71" t="s">
        <v>66</v>
      </c>
      <c r="C260" s="24">
        <v>140000</v>
      </c>
      <c r="D260" s="394"/>
      <c r="E260" s="142"/>
      <c r="F260" s="453"/>
      <c r="G260" s="390"/>
    </row>
    <row r="261" spans="1:7" s="5" customFormat="1" ht="13.5">
      <c r="A261" s="11" t="s">
        <v>107</v>
      </c>
      <c r="B261" s="249" t="s">
        <v>108</v>
      </c>
      <c r="C261" s="31">
        <f>SUM(C262:C264)</f>
        <v>145000</v>
      </c>
      <c r="D261" s="466"/>
      <c r="E261" s="461"/>
      <c r="F261" s="453"/>
      <c r="G261" s="390"/>
    </row>
    <row r="262" spans="1:7" s="5" customFormat="1" ht="13.5">
      <c r="A262" s="12" t="s">
        <v>47</v>
      </c>
      <c r="B262" s="23" t="s">
        <v>48</v>
      </c>
      <c r="C262" s="24">
        <v>45000</v>
      </c>
      <c r="D262" s="466"/>
      <c r="E262" s="461"/>
      <c r="F262" s="453"/>
      <c r="G262" s="390"/>
    </row>
    <row r="263" spans="1:7" s="5" customFormat="1" ht="13.5">
      <c r="A263" s="12" t="s">
        <v>453</v>
      </c>
      <c r="B263" s="23" t="s">
        <v>454</v>
      </c>
      <c r="C263" s="24">
        <v>65000</v>
      </c>
      <c r="D263" s="456"/>
      <c r="E263" s="461"/>
      <c r="F263" s="453"/>
      <c r="G263" s="390"/>
    </row>
    <row r="264" spans="1:7" s="5" customFormat="1" ht="13.5">
      <c r="A264" s="12" t="s">
        <v>455</v>
      </c>
      <c r="B264" s="42" t="s">
        <v>456</v>
      </c>
      <c r="C264" s="24">
        <v>35000</v>
      </c>
      <c r="D264" s="456"/>
      <c r="E264" s="461"/>
      <c r="F264" s="453"/>
      <c r="G264" s="390"/>
    </row>
    <row r="265" spans="1:7" s="5" customFormat="1" ht="13.5">
      <c r="A265" s="11" t="s">
        <v>196</v>
      </c>
      <c r="B265" s="505" t="s">
        <v>195</v>
      </c>
      <c r="C265" s="31">
        <f>SUM(C266:C267)</f>
        <v>32000</v>
      </c>
      <c r="D265" s="456"/>
      <c r="E265" s="461"/>
      <c r="F265" s="453"/>
      <c r="G265" s="390"/>
    </row>
    <row r="266" spans="1:7" s="5" customFormat="1" ht="13.5">
      <c r="A266" s="12" t="s">
        <v>194</v>
      </c>
      <c r="B266" s="42" t="s">
        <v>193</v>
      </c>
      <c r="C266" s="24">
        <v>17000</v>
      </c>
      <c r="D266" s="456"/>
      <c r="E266" s="461"/>
      <c r="F266" s="453"/>
      <c r="G266" s="390"/>
    </row>
    <row r="267" spans="1:7" s="5" customFormat="1" ht="13.5">
      <c r="A267" s="12" t="s">
        <v>215</v>
      </c>
      <c r="B267" s="42" t="s">
        <v>214</v>
      </c>
      <c r="C267" s="24">
        <v>15000</v>
      </c>
      <c r="D267" s="456"/>
      <c r="E267" s="461"/>
      <c r="F267" s="453"/>
      <c r="G267" s="390"/>
    </row>
    <row r="268" spans="1:7" s="5" customFormat="1" ht="13.5">
      <c r="A268" s="249" t="s">
        <v>119</v>
      </c>
      <c r="B268" s="25" t="s">
        <v>109</v>
      </c>
      <c r="C268" s="31">
        <f>SUM(C269:C271)</f>
        <v>362500</v>
      </c>
      <c r="D268" s="394"/>
      <c r="E268" s="142"/>
      <c r="F268" s="453"/>
      <c r="G268" s="390"/>
    </row>
    <row r="269" spans="1:7" s="5" customFormat="1" ht="13.5">
      <c r="A269" s="71" t="s">
        <v>149</v>
      </c>
      <c r="B269" s="24" t="s">
        <v>338</v>
      </c>
      <c r="C269" s="24">
        <v>12500</v>
      </c>
      <c r="E269" s="336"/>
      <c r="F269" s="453"/>
      <c r="G269" s="390"/>
    </row>
    <row r="270" spans="1:7" s="5" customFormat="1" ht="13.5">
      <c r="A270" s="71" t="s">
        <v>187</v>
      </c>
      <c r="B270" s="42" t="s">
        <v>544</v>
      </c>
      <c r="C270" s="24">
        <v>230000</v>
      </c>
      <c r="E270" s="336"/>
      <c r="F270" s="453"/>
      <c r="G270" s="390"/>
    </row>
    <row r="271" spans="1:7" s="5" customFormat="1" ht="13.5">
      <c r="A271" s="71" t="s">
        <v>545</v>
      </c>
      <c r="B271" s="42" t="s">
        <v>543</v>
      </c>
      <c r="C271" s="24">
        <v>120000</v>
      </c>
      <c r="E271" s="336"/>
      <c r="F271" s="453"/>
      <c r="G271" s="390"/>
    </row>
    <row r="272" spans="1:7" s="5" customFormat="1" ht="13.5">
      <c r="A272" s="249" t="s">
        <v>124</v>
      </c>
      <c r="B272" s="31" t="s">
        <v>123</v>
      </c>
      <c r="C272" s="31">
        <f>SUM(C273:C276)</f>
        <v>233125</v>
      </c>
      <c r="D272" s="383"/>
      <c r="E272" s="336"/>
      <c r="F272" s="453"/>
      <c r="G272" s="390"/>
    </row>
    <row r="273" spans="1:7" s="5" customFormat="1" ht="13.5">
      <c r="A273" s="71" t="s">
        <v>231</v>
      </c>
      <c r="B273" s="23" t="s">
        <v>230</v>
      </c>
      <c r="C273" s="24">
        <v>26875</v>
      </c>
      <c r="D273" s="22"/>
      <c r="E273" s="31"/>
      <c r="F273" s="453"/>
      <c r="G273" s="390"/>
    </row>
    <row r="274" spans="1:7" s="5" customFormat="1" ht="13.5">
      <c r="A274" s="12" t="s">
        <v>241</v>
      </c>
      <c r="B274" s="24" t="s">
        <v>242</v>
      </c>
      <c r="C274" s="24">
        <v>42500</v>
      </c>
      <c r="D274" s="78"/>
      <c r="E274" s="31"/>
      <c r="F274" s="453"/>
      <c r="G274" s="390"/>
    </row>
    <row r="275" spans="1:7" s="5" customFormat="1" ht="13.5">
      <c r="A275" s="12" t="s">
        <v>266</v>
      </c>
      <c r="B275" s="24" t="s">
        <v>267</v>
      </c>
      <c r="C275" s="24">
        <v>43750</v>
      </c>
      <c r="D275" s="78"/>
      <c r="E275" s="31"/>
      <c r="F275" s="453"/>
      <c r="G275" s="390"/>
    </row>
    <row r="276" spans="1:7" s="5" customFormat="1" ht="13.5">
      <c r="A276" s="71" t="s">
        <v>93</v>
      </c>
      <c r="B276" s="24" t="s">
        <v>72</v>
      </c>
      <c r="C276" s="24">
        <v>120000</v>
      </c>
      <c r="D276" s="335"/>
      <c r="E276" s="335"/>
      <c r="F276" s="453"/>
      <c r="G276" s="390"/>
    </row>
    <row r="277" spans="1:7" s="5" customFormat="1" ht="13.5">
      <c r="A277" s="249" t="s">
        <v>150</v>
      </c>
      <c r="B277" s="25" t="s">
        <v>125</v>
      </c>
      <c r="C277" s="31">
        <f>SUM(C278:C281)</f>
        <v>162500</v>
      </c>
      <c r="D277" s="335"/>
      <c r="E277" s="335"/>
      <c r="F277" s="453"/>
      <c r="G277" s="390"/>
    </row>
    <row r="278" spans="1:8" s="5" customFormat="1" ht="13.5">
      <c r="A278" s="71" t="s">
        <v>151</v>
      </c>
      <c r="B278" s="24" t="s">
        <v>65</v>
      </c>
      <c r="C278" s="24">
        <v>30000</v>
      </c>
      <c r="H278" s="3"/>
    </row>
    <row r="279" spans="1:7" s="5" customFormat="1" ht="13.5">
      <c r="A279" s="71" t="s">
        <v>152</v>
      </c>
      <c r="B279" s="24" t="s">
        <v>70</v>
      </c>
      <c r="C279" s="24">
        <v>17500</v>
      </c>
      <c r="D279" s="450"/>
      <c r="E279" s="336"/>
      <c r="F279" s="453"/>
      <c r="G279" s="390"/>
    </row>
    <row r="280" spans="1:7" s="5" customFormat="1" ht="13.5">
      <c r="A280" s="71" t="s">
        <v>154</v>
      </c>
      <c r="B280" s="23" t="s">
        <v>125</v>
      </c>
      <c r="C280" s="24">
        <v>50000</v>
      </c>
      <c r="E280" s="336"/>
      <c r="F280" s="453"/>
      <c r="G280" s="390"/>
    </row>
    <row r="281" spans="1:8" s="249" customFormat="1" ht="13.5" customHeight="1">
      <c r="A281" s="71" t="s">
        <v>643</v>
      </c>
      <c r="B281" s="42" t="s">
        <v>642</v>
      </c>
      <c r="C281" s="24">
        <v>65000</v>
      </c>
      <c r="D281" s="386"/>
      <c r="E281" s="336"/>
      <c r="F281" s="336"/>
      <c r="G281" s="385"/>
      <c r="H281" s="11"/>
    </row>
    <row r="282" spans="1:7" s="5" customFormat="1" ht="14.25" thickBot="1">
      <c r="A282" s="71"/>
      <c r="B282" s="24"/>
      <c r="C282" s="23"/>
      <c r="D282" s="335"/>
      <c r="E282" s="335"/>
      <c r="F282" s="453"/>
      <c r="G282" s="390"/>
    </row>
    <row r="283" spans="1:7" s="5" customFormat="1" ht="14.25" thickBot="1">
      <c r="A283" s="994" t="s">
        <v>3</v>
      </c>
      <c r="B283" s="995"/>
      <c r="C283" s="603">
        <f>+C284+C290+C286+C292</f>
        <v>1845160</v>
      </c>
      <c r="D283" s="18"/>
      <c r="E283" s="18"/>
      <c r="F283" s="453"/>
      <c r="G283" s="390"/>
    </row>
    <row r="284" spans="1:7" s="5" customFormat="1" ht="13.5">
      <c r="A284" s="11" t="s">
        <v>120</v>
      </c>
      <c r="B284" s="31" t="s">
        <v>121</v>
      </c>
      <c r="C284" s="31">
        <f>SUM(C285:C285)</f>
        <v>24700</v>
      </c>
      <c r="D284" s="336"/>
      <c r="E284" s="335"/>
      <c r="F284" s="453"/>
      <c r="G284" s="390"/>
    </row>
    <row r="285" spans="1:7" s="5" customFormat="1" ht="13.5">
      <c r="A285" s="12" t="s">
        <v>136</v>
      </c>
      <c r="B285" s="12" t="s">
        <v>71</v>
      </c>
      <c r="C285" s="24">
        <v>24700</v>
      </c>
      <c r="D285" s="71"/>
      <c r="E285" s="335"/>
      <c r="F285" s="453"/>
      <c r="G285" s="390"/>
    </row>
    <row r="286" spans="1:7" s="5" customFormat="1" ht="13.5">
      <c r="A286" s="249" t="s">
        <v>112</v>
      </c>
      <c r="B286" s="31" t="s">
        <v>156</v>
      </c>
      <c r="C286" s="31">
        <f>SUM(C287:C289)</f>
        <v>1074000</v>
      </c>
      <c r="D286" s="71"/>
      <c r="E286" s="335"/>
      <c r="F286" s="453"/>
      <c r="G286" s="390"/>
    </row>
    <row r="287" spans="1:7" s="5" customFormat="1" ht="13.5">
      <c r="A287" s="71" t="s">
        <v>138</v>
      </c>
      <c r="B287" s="58" t="s">
        <v>810</v>
      </c>
      <c r="C287" s="24">
        <v>24000</v>
      </c>
      <c r="D287" s="71"/>
      <c r="E287" s="335"/>
      <c r="F287" s="453"/>
      <c r="G287" s="390"/>
    </row>
    <row r="288" spans="1:7" s="5" customFormat="1" ht="13.5">
      <c r="A288" s="71" t="s">
        <v>155</v>
      </c>
      <c r="B288" s="12" t="s">
        <v>87</v>
      </c>
      <c r="C288" s="24">
        <v>250000</v>
      </c>
      <c r="D288" s="71"/>
      <c r="E288" s="335"/>
      <c r="F288" s="453"/>
      <c r="G288" s="390"/>
    </row>
    <row r="289" spans="1:10" s="71" customFormat="1" ht="13.5" customHeight="1">
      <c r="A289" s="71" t="s">
        <v>813</v>
      </c>
      <c r="B289" s="42" t="s">
        <v>814</v>
      </c>
      <c r="C289" s="24">
        <v>800000</v>
      </c>
      <c r="F289" s="455"/>
      <c r="G289" s="336"/>
      <c r="I289" s="344"/>
      <c r="J289" s="24"/>
    </row>
    <row r="290" spans="1:7" s="5" customFormat="1" ht="13.5">
      <c r="A290" s="11" t="s">
        <v>113</v>
      </c>
      <c r="B290" s="11" t="s">
        <v>114</v>
      </c>
      <c r="C290" s="31">
        <f>SUM(C291:C291)</f>
        <v>15560</v>
      </c>
      <c r="D290" s="71"/>
      <c r="E290" s="335"/>
      <c r="F290" s="453"/>
      <c r="G290" s="390"/>
    </row>
    <row r="291" spans="1:7" s="5" customFormat="1" ht="13.5">
      <c r="A291" s="12" t="s">
        <v>163</v>
      </c>
      <c r="B291" s="12" t="s">
        <v>74</v>
      </c>
      <c r="C291" s="24">
        <v>15560</v>
      </c>
      <c r="D291" s="71"/>
      <c r="E291" s="335"/>
      <c r="F291" s="453"/>
      <c r="G291" s="390"/>
    </row>
    <row r="292" spans="1:7" s="5" customFormat="1" ht="13.5">
      <c r="A292" s="249" t="s">
        <v>115</v>
      </c>
      <c r="B292" s="31" t="s">
        <v>8</v>
      </c>
      <c r="C292" s="31">
        <f>SUM(C293:C297)</f>
        <v>730900</v>
      </c>
      <c r="D292" s="71"/>
      <c r="E292" s="335"/>
      <c r="F292" s="453"/>
      <c r="G292" s="390"/>
    </row>
    <row r="293" spans="1:7" s="5" customFormat="1" ht="13.5">
      <c r="A293" s="71" t="s">
        <v>92</v>
      </c>
      <c r="B293" s="24" t="s">
        <v>8</v>
      </c>
      <c r="C293" s="24">
        <v>180000</v>
      </c>
      <c r="D293" s="71"/>
      <c r="E293" s="336"/>
      <c r="F293" s="453"/>
      <c r="G293" s="390"/>
    </row>
    <row r="294" spans="1:7" s="5" customFormat="1" ht="13.5">
      <c r="A294" s="71" t="s">
        <v>182</v>
      </c>
      <c r="B294" s="24" t="s">
        <v>50</v>
      </c>
      <c r="C294" s="24">
        <v>8400</v>
      </c>
      <c r="D294" s="11"/>
      <c r="E294" s="336"/>
      <c r="F294" s="453"/>
      <c r="G294" s="390"/>
    </row>
    <row r="295" spans="1:7" s="5" customFormat="1" ht="13.5">
      <c r="A295" s="69" t="s">
        <v>225</v>
      </c>
      <c r="B295" s="42" t="s">
        <v>224</v>
      </c>
      <c r="C295" s="59">
        <v>32500</v>
      </c>
      <c r="D295" s="11"/>
      <c r="E295" s="336"/>
      <c r="F295" s="453"/>
      <c r="G295" s="390"/>
    </row>
    <row r="296" spans="1:7" s="5" customFormat="1" ht="13.5">
      <c r="A296" s="71" t="s">
        <v>223</v>
      </c>
      <c r="B296" s="12" t="s">
        <v>222</v>
      </c>
      <c r="C296" s="24">
        <v>60000</v>
      </c>
      <c r="D296" s="71"/>
      <c r="E296" s="336"/>
      <c r="F296" s="453"/>
      <c r="G296" s="390"/>
    </row>
    <row r="297" spans="1:7" s="5" customFormat="1" ht="13.5">
      <c r="A297" s="71" t="s">
        <v>90</v>
      </c>
      <c r="B297" s="24" t="s">
        <v>7</v>
      </c>
      <c r="C297" s="24">
        <v>450000</v>
      </c>
      <c r="D297" s="71"/>
      <c r="E297" s="335"/>
      <c r="F297" s="453"/>
      <c r="G297" s="390"/>
    </row>
    <row r="298" spans="1:7" s="5" customFormat="1" ht="14.25" thickBot="1">
      <c r="A298" s="71"/>
      <c r="B298" s="24"/>
      <c r="C298" s="23"/>
      <c r="D298" s="455"/>
      <c r="E298" s="336"/>
      <c r="F298" s="453"/>
      <c r="G298" s="390"/>
    </row>
    <row r="299" spans="1:7" s="5" customFormat="1" ht="14.25" thickBot="1">
      <c r="A299" s="996" t="s">
        <v>4</v>
      </c>
      <c r="B299" s="997"/>
      <c r="C299" s="660">
        <f>+C300+C303+C307</f>
        <v>118410</v>
      </c>
      <c r="D299" s="18"/>
      <c r="E299" s="18"/>
      <c r="F299" s="453"/>
      <c r="G299" s="390"/>
    </row>
    <row r="300" spans="1:9" s="121" customFormat="1" ht="13.5" customHeight="1">
      <c r="A300" s="246" t="s">
        <v>178</v>
      </c>
      <c r="B300" s="510" t="s">
        <v>177</v>
      </c>
      <c r="C300" s="32">
        <f>SUM(C301:C302)</f>
        <v>45000</v>
      </c>
      <c r="D300" s="276"/>
      <c r="E300" s="276"/>
      <c r="F300" s="100"/>
      <c r="H300" s="308"/>
      <c r="I300" s="291"/>
    </row>
    <row r="301" spans="1:9" s="125" customFormat="1" ht="13.5" customHeight="1">
      <c r="A301" s="257" t="s">
        <v>174</v>
      </c>
      <c r="B301" s="257" t="s">
        <v>284</v>
      </c>
      <c r="C301" s="286">
        <v>22200</v>
      </c>
      <c r="D301" s="295"/>
      <c r="E301" s="258"/>
      <c r="F301" s="249"/>
      <c r="G301" s="119"/>
      <c r="H301" s="305"/>
      <c r="I301" s="260"/>
    </row>
    <row r="302" spans="1:9" s="125" customFormat="1" ht="13.5" customHeight="1">
      <c r="A302" s="257" t="s">
        <v>297</v>
      </c>
      <c r="B302" s="257" t="s">
        <v>171</v>
      </c>
      <c r="C302" s="286">
        <v>22800</v>
      </c>
      <c r="D302" s="259"/>
      <c r="E302" s="258"/>
      <c r="F302" s="249"/>
      <c r="G302" s="119"/>
      <c r="H302" s="306"/>
      <c r="I302" s="260"/>
    </row>
    <row r="303" spans="1:7" s="5" customFormat="1" ht="13.5">
      <c r="A303" s="249" t="s">
        <v>116</v>
      </c>
      <c r="B303" s="281" t="s">
        <v>117</v>
      </c>
      <c r="C303" s="32">
        <f>SUM(C304:C306)</f>
        <v>68610</v>
      </c>
      <c r="D303" s="331"/>
      <c r="E303" s="331"/>
      <c r="F303" s="453"/>
      <c r="G303" s="390"/>
    </row>
    <row r="304" spans="1:7" s="5" customFormat="1" ht="13.5">
      <c r="A304" s="71" t="s">
        <v>91</v>
      </c>
      <c r="B304" s="71" t="s">
        <v>139</v>
      </c>
      <c r="C304" s="24">
        <v>26500</v>
      </c>
      <c r="D304" s="335"/>
      <c r="E304" s="335"/>
      <c r="F304" s="453"/>
      <c r="G304" s="390"/>
    </row>
    <row r="305" spans="1:7" s="5" customFormat="1" ht="13.5">
      <c r="A305" s="71" t="s">
        <v>57</v>
      </c>
      <c r="B305" s="12" t="s">
        <v>58</v>
      </c>
      <c r="C305" s="24">
        <v>23360</v>
      </c>
      <c r="D305" s="335"/>
      <c r="E305" s="335"/>
      <c r="F305" s="453"/>
      <c r="G305" s="390"/>
    </row>
    <row r="306" spans="1:8" s="8" customFormat="1" ht="13.5" customHeight="1">
      <c r="A306" s="71" t="s">
        <v>756</v>
      </c>
      <c r="B306" s="23" t="s">
        <v>757</v>
      </c>
      <c r="C306" s="24">
        <v>18750</v>
      </c>
      <c r="D306" s="77"/>
      <c r="E306" s="25"/>
      <c r="F306" s="98"/>
      <c r="G306" s="54"/>
      <c r="H306" s="42"/>
    </row>
    <row r="307" spans="1:7" s="5" customFormat="1" ht="13.5">
      <c r="A307" s="249" t="s">
        <v>165</v>
      </c>
      <c r="B307" s="25" t="s">
        <v>134</v>
      </c>
      <c r="C307" s="31">
        <f>SUM(C308)</f>
        <v>4800</v>
      </c>
      <c r="D307" s="335"/>
      <c r="E307" s="335"/>
      <c r="F307" s="453"/>
      <c r="G307" s="390"/>
    </row>
    <row r="308" spans="1:5" ht="13.5">
      <c r="A308" s="71" t="s">
        <v>166</v>
      </c>
      <c r="B308" s="23" t="s">
        <v>51</v>
      </c>
      <c r="C308" s="24">
        <v>4800</v>
      </c>
      <c r="D308" s="335"/>
      <c r="E308" s="335"/>
    </row>
    <row r="309" spans="1:5" ht="13.5">
      <c r="A309" s="71"/>
      <c r="B309" s="23"/>
      <c r="C309" s="24"/>
      <c r="D309" s="335"/>
      <c r="E309" s="335"/>
    </row>
    <row r="310" spans="1:7" s="10" customFormat="1" ht="13.5" customHeight="1" thickBot="1">
      <c r="A310" s="395"/>
      <c r="B310" s="395"/>
      <c r="C310" s="23"/>
      <c r="D310" s="396"/>
      <c r="E310" s="397"/>
      <c r="F310" s="396"/>
      <c r="G310" s="398"/>
    </row>
    <row r="311" spans="1:7" s="1" customFormat="1" ht="13.5" customHeight="1">
      <c r="A311" s="583" t="s">
        <v>817</v>
      </c>
      <c r="B311" s="584"/>
      <c r="C311" s="625"/>
      <c r="D311" s="627" t="s">
        <v>6</v>
      </c>
      <c r="E311" s="755">
        <v>1104</v>
      </c>
      <c r="F311" s="399"/>
      <c r="G311" s="385"/>
    </row>
    <row r="312" spans="1:7" s="1" customFormat="1" ht="13.5" customHeight="1" thickBot="1">
      <c r="A312" s="587"/>
      <c r="B312" s="588"/>
      <c r="C312" s="628"/>
      <c r="D312" s="630"/>
      <c r="E312" s="631"/>
      <c r="F312" s="399"/>
      <c r="G312" s="385"/>
    </row>
    <row r="313" spans="1:5" s="1" customFormat="1" ht="13.5" customHeight="1">
      <c r="A313" s="979" t="s">
        <v>818</v>
      </c>
      <c r="B313" s="980"/>
      <c r="C313" s="980"/>
      <c r="D313" s="980"/>
      <c r="E313" s="981"/>
    </row>
    <row r="314" spans="1:5" s="1" customFormat="1" ht="13.5" customHeight="1">
      <c r="A314" s="982"/>
      <c r="B314" s="983"/>
      <c r="C314" s="983"/>
      <c r="D314" s="983"/>
      <c r="E314" s="984"/>
    </row>
    <row r="315" spans="1:5" s="1" customFormat="1" ht="13.5" customHeight="1">
      <c r="A315" s="982"/>
      <c r="B315" s="983"/>
      <c r="C315" s="983"/>
      <c r="D315" s="983"/>
      <c r="E315" s="984"/>
    </row>
    <row r="316" spans="1:5" s="1" customFormat="1" ht="13.5" customHeight="1">
      <c r="A316" s="982"/>
      <c r="B316" s="983"/>
      <c r="C316" s="983"/>
      <c r="D316" s="983"/>
      <c r="E316" s="984"/>
    </row>
    <row r="317" spans="1:5" s="1" customFormat="1" ht="13.5" customHeight="1">
      <c r="A317" s="982"/>
      <c r="B317" s="983"/>
      <c r="C317" s="983"/>
      <c r="D317" s="983"/>
      <c r="E317" s="984"/>
    </row>
    <row r="318" spans="1:5" s="1" customFormat="1" ht="22.5" customHeight="1" thickBot="1">
      <c r="A318" s="982"/>
      <c r="B318" s="983"/>
      <c r="C318" s="983"/>
      <c r="D318" s="983"/>
      <c r="E318" s="984"/>
    </row>
    <row r="319" spans="1:5" s="12" customFormat="1" ht="13.5" customHeight="1">
      <c r="A319" s="116" t="s">
        <v>809</v>
      </c>
      <c r="B319" s="116"/>
      <c r="C319" s="400"/>
      <c r="D319" s="401"/>
      <c r="E319" s="402"/>
    </row>
    <row r="320" spans="1:5" s="12" customFormat="1" ht="13.5" customHeight="1">
      <c r="A320" s="40" t="s">
        <v>627</v>
      </c>
      <c r="B320" s="40"/>
      <c r="C320" s="24"/>
      <c r="D320" s="22"/>
      <c r="E320" s="303"/>
    </row>
    <row r="321" spans="1:5" s="12" customFormat="1" ht="13.5" customHeight="1">
      <c r="A321" s="40" t="s">
        <v>774</v>
      </c>
      <c r="B321" s="40"/>
      <c r="C321" s="24"/>
      <c r="D321" s="22"/>
      <c r="E321" s="303"/>
    </row>
    <row r="322" spans="1:5" s="12" customFormat="1" ht="13.5" customHeight="1" thickBot="1">
      <c r="A322" s="75" t="s">
        <v>11</v>
      </c>
      <c r="B322" s="75"/>
      <c r="C322" s="360"/>
      <c r="D322" s="376"/>
      <c r="E322" s="361"/>
    </row>
    <row r="323" spans="1:6" s="12" customFormat="1" ht="13.5" customHeight="1" thickBot="1">
      <c r="A323" s="596" t="s">
        <v>0</v>
      </c>
      <c r="B323" s="596"/>
      <c r="C323" s="735"/>
      <c r="D323" s="690"/>
      <c r="E323" s="600">
        <f>+C325+C355+C374</f>
        <v>21950610</v>
      </c>
      <c r="F323" s="77"/>
    </row>
    <row r="324" spans="1:7" s="10" customFormat="1" ht="13.5" customHeight="1" thickBot="1">
      <c r="A324" s="71"/>
      <c r="B324" s="71"/>
      <c r="C324" s="23"/>
      <c r="D324" s="22"/>
      <c r="F324" s="327"/>
      <c r="G324" s="398"/>
    </row>
    <row r="325" spans="1:6" s="249" customFormat="1" ht="13.5" customHeight="1" thickBot="1">
      <c r="A325" s="992" t="s">
        <v>2</v>
      </c>
      <c r="B325" s="993"/>
      <c r="C325" s="602">
        <f>C326+C328+C331+C333+C345+C348+C339+C337</f>
        <v>5520300</v>
      </c>
      <c r="D325" s="340"/>
      <c r="F325" s="327"/>
    </row>
    <row r="326" spans="1:8" s="100" customFormat="1" ht="13.5" customHeight="1">
      <c r="A326" s="11" t="s">
        <v>103</v>
      </c>
      <c r="B326" s="281" t="s">
        <v>104</v>
      </c>
      <c r="C326" s="32">
        <f>SUM(C327)</f>
        <v>3312500</v>
      </c>
      <c r="D326" s="340"/>
      <c r="F326" s="329"/>
      <c r="H326" s="12"/>
    </row>
    <row r="327" spans="1:8" s="12" customFormat="1" ht="13.5" customHeight="1">
      <c r="A327" s="12" t="s">
        <v>46</v>
      </c>
      <c r="B327" s="12" t="s">
        <v>45</v>
      </c>
      <c r="C327" s="24">
        <v>3312500</v>
      </c>
      <c r="H327" s="5"/>
    </row>
    <row r="328" spans="1:8" s="12" customFormat="1" ht="13.5" customHeight="1">
      <c r="A328" s="11" t="s">
        <v>200</v>
      </c>
      <c r="B328" s="11" t="s">
        <v>220</v>
      </c>
      <c r="C328" s="31">
        <f>SUM(C329:C330)</f>
        <v>74700</v>
      </c>
      <c r="H328" s="5"/>
    </row>
    <row r="329" spans="1:8" s="12" customFormat="1" ht="13.5" customHeight="1">
      <c r="A329" s="12" t="s">
        <v>198</v>
      </c>
      <c r="B329" s="12" t="s">
        <v>452</v>
      </c>
      <c r="C329" s="24">
        <v>32580</v>
      </c>
      <c r="H329" s="5"/>
    </row>
    <row r="330" spans="1:8" s="12" customFormat="1" ht="13.5" customHeight="1">
      <c r="A330" s="12" t="s">
        <v>228</v>
      </c>
      <c r="B330" s="69" t="s">
        <v>227</v>
      </c>
      <c r="C330" s="24">
        <v>42120</v>
      </c>
      <c r="H330" s="5"/>
    </row>
    <row r="331" spans="1:8" s="12" customFormat="1" ht="13.5" customHeight="1">
      <c r="A331" s="11" t="s">
        <v>105</v>
      </c>
      <c r="B331" s="11" t="s">
        <v>106</v>
      </c>
      <c r="C331" s="31">
        <f>SUM(C332)</f>
        <v>24000</v>
      </c>
      <c r="H331" s="5"/>
    </row>
    <row r="332" spans="1:6" ht="13.5">
      <c r="A332" s="12" t="s">
        <v>86</v>
      </c>
      <c r="B332" s="71" t="s">
        <v>66</v>
      </c>
      <c r="C332" s="24">
        <v>24000</v>
      </c>
      <c r="D332" s="3"/>
      <c r="E332" s="3"/>
      <c r="F332" s="3"/>
    </row>
    <row r="333" spans="1:6" ht="13.5">
      <c r="A333" s="11" t="s">
        <v>107</v>
      </c>
      <c r="B333" s="249" t="s">
        <v>108</v>
      </c>
      <c r="C333" s="31">
        <f>SUM(C334:C336)</f>
        <v>386900</v>
      </c>
      <c r="D333" s="3"/>
      <c r="E333" s="3"/>
      <c r="F333" s="3"/>
    </row>
    <row r="334" spans="1:7" s="5" customFormat="1" ht="13.5">
      <c r="A334" s="12" t="s">
        <v>47</v>
      </c>
      <c r="B334" s="23" t="s">
        <v>48</v>
      </c>
      <c r="C334" s="24">
        <v>81250</v>
      </c>
      <c r="D334" s="466"/>
      <c r="E334" s="461"/>
      <c r="F334" s="453"/>
      <c r="G334" s="390"/>
    </row>
    <row r="335" spans="1:8" ht="13.5">
      <c r="A335" s="12" t="s">
        <v>453</v>
      </c>
      <c r="B335" s="23" t="s">
        <v>454</v>
      </c>
      <c r="C335" s="24">
        <v>273500</v>
      </c>
      <c r="D335" s="3"/>
      <c r="E335" s="3"/>
      <c r="F335" s="3"/>
      <c r="H335" s="5"/>
    </row>
    <row r="336" spans="1:9" s="5" customFormat="1" ht="13.5">
      <c r="A336" s="71" t="s">
        <v>455</v>
      </c>
      <c r="B336" s="71" t="s">
        <v>456</v>
      </c>
      <c r="C336" s="24">
        <v>32150</v>
      </c>
      <c r="E336" s="336"/>
      <c r="F336" s="336"/>
      <c r="G336" s="390"/>
      <c r="I336" s="403"/>
    </row>
    <row r="337" spans="1:9" s="289" customFormat="1" ht="13.5" customHeight="1">
      <c r="A337" s="11" t="s">
        <v>689</v>
      </c>
      <c r="B337" s="31" t="s">
        <v>195</v>
      </c>
      <c r="C337" s="31">
        <f>SUM(C338:C338)</f>
        <v>83750</v>
      </c>
      <c r="D337" s="285"/>
      <c r="E337" s="283"/>
      <c r="F337" s="25"/>
      <c r="I337" s="290"/>
    </row>
    <row r="338" spans="1:9" s="289" customFormat="1" ht="13.5" customHeight="1">
      <c r="A338" s="12" t="s">
        <v>260</v>
      </c>
      <c r="B338" s="24" t="s">
        <v>261</v>
      </c>
      <c r="C338" s="24">
        <v>83750</v>
      </c>
      <c r="D338" s="285"/>
      <c r="E338" s="283"/>
      <c r="F338" s="25"/>
      <c r="I338" s="290"/>
    </row>
    <row r="339" spans="1:8" s="5" customFormat="1" ht="13.5">
      <c r="A339" s="11" t="s">
        <v>119</v>
      </c>
      <c r="B339" s="505" t="s">
        <v>192</v>
      </c>
      <c r="C339" s="31">
        <f>SUM(C340:C344)</f>
        <v>199500</v>
      </c>
      <c r="D339" s="384"/>
      <c r="E339" s="336"/>
      <c r="F339" s="336"/>
      <c r="G339" s="385"/>
      <c r="H339" s="142"/>
    </row>
    <row r="340" spans="1:8" s="5" customFormat="1" ht="13.5">
      <c r="A340" s="12" t="s">
        <v>149</v>
      </c>
      <c r="B340" s="42" t="s">
        <v>639</v>
      </c>
      <c r="C340" s="24">
        <v>18000</v>
      </c>
      <c r="D340" s="384"/>
      <c r="E340" s="336"/>
      <c r="F340" s="336"/>
      <c r="G340" s="385"/>
      <c r="H340" s="142"/>
    </row>
    <row r="341" spans="1:8" s="5" customFormat="1" ht="13.5">
      <c r="A341" s="12" t="s">
        <v>641</v>
      </c>
      <c r="B341" s="42" t="s">
        <v>640</v>
      </c>
      <c r="C341" s="24">
        <v>29000</v>
      </c>
      <c r="D341" s="384"/>
      <c r="E341" s="336"/>
      <c r="F341" s="336"/>
      <c r="G341" s="385"/>
      <c r="H341" s="142"/>
    </row>
    <row r="342" spans="1:5" s="65" customFormat="1" ht="13.5">
      <c r="A342" s="71" t="s">
        <v>758</v>
      </c>
      <c r="B342" s="24" t="s">
        <v>753</v>
      </c>
      <c r="C342" s="24">
        <v>66250</v>
      </c>
      <c r="D342" s="77"/>
      <c r="E342" s="25"/>
    </row>
    <row r="343" spans="1:5" s="65" customFormat="1" ht="13.5">
      <c r="A343" s="71" t="s">
        <v>762</v>
      </c>
      <c r="B343" s="24" t="s">
        <v>763</v>
      </c>
      <c r="C343" s="24">
        <v>56250</v>
      </c>
      <c r="D343" s="77"/>
      <c r="E343" s="25"/>
    </row>
    <row r="344" spans="1:5" s="65" customFormat="1" ht="13.5">
      <c r="A344" s="71" t="s">
        <v>754</v>
      </c>
      <c r="B344" s="24" t="s">
        <v>755</v>
      </c>
      <c r="C344" s="24">
        <v>30000</v>
      </c>
      <c r="D344" s="77"/>
      <c r="E344" s="25"/>
    </row>
    <row r="345" spans="1:8" ht="13.5">
      <c r="A345" s="249" t="s">
        <v>124</v>
      </c>
      <c r="B345" s="25" t="s">
        <v>123</v>
      </c>
      <c r="C345" s="31">
        <f>SUM(C346:C347)</f>
        <v>122500</v>
      </c>
      <c r="D345" s="3"/>
      <c r="E345" s="3"/>
      <c r="F345" s="3"/>
      <c r="H345" s="5"/>
    </row>
    <row r="346" spans="1:5" s="65" customFormat="1" ht="13.5">
      <c r="A346" s="12" t="s">
        <v>231</v>
      </c>
      <c r="B346" s="42" t="s">
        <v>230</v>
      </c>
      <c r="C346" s="24">
        <v>85000</v>
      </c>
      <c r="D346" s="56"/>
      <c r="E346" s="56"/>
    </row>
    <row r="347" spans="1:8" s="5" customFormat="1" ht="13.5">
      <c r="A347" s="71" t="s">
        <v>93</v>
      </c>
      <c r="B347" s="24" t="s">
        <v>72</v>
      </c>
      <c r="C347" s="24">
        <v>37500</v>
      </c>
      <c r="H347" s="71"/>
    </row>
    <row r="348" spans="1:8" s="5" customFormat="1" ht="13.5">
      <c r="A348" s="249" t="s">
        <v>150</v>
      </c>
      <c r="B348" s="25" t="s">
        <v>125</v>
      </c>
      <c r="C348" s="31">
        <f>SUM(C349:C353)</f>
        <v>1316450</v>
      </c>
      <c r="H348" s="71"/>
    </row>
    <row r="349" spans="1:8" s="5" customFormat="1" ht="13.5">
      <c r="A349" s="71" t="s">
        <v>151</v>
      </c>
      <c r="B349" s="24" t="s">
        <v>65</v>
      </c>
      <c r="C349" s="24">
        <v>830000</v>
      </c>
      <c r="H349" s="3"/>
    </row>
    <row r="350" spans="1:8" s="5" customFormat="1" ht="13.5">
      <c r="A350" s="71" t="s">
        <v>243</v>
      </c>
      <c r="B350" s="24" t="s">
        <v>244</v>
      </c>
      <c r="C350" s="24">
        <v>297000</v>
      </c>
      <c r="H350" s="249"/>
    </row>
    <row r="351" spans="1:8" s="5" customFormat="1" ht="13.5">
      <c r="A351" s="71" t="s">
        <v>152</v>
      </c>
      <c r="B351" s="24" t="s">
        <v>70</v>
      </c>
      <c r="C351" s="24">
        <v>11700</v>
      </c>
      <c r="H351" s="71"/>
    </row>
    <row r="352" spans="1:8" ht="13.5">
      <c r="A352" s="71" t="s">
        <v>154</v>
      </c>
      <c r="B352" s="23" t="s">
        <v>125</v>
      </c>
      <c r="C352" s="24">
        <v>65550</v>
      </c>
      <c r="D352" s="3"/>
      <c r="E352" s="3"/>
      <c r="F352" s="3"/>
      <c r="H352" s="71"/>
    </row>
    <row r="353" spans="1:8" s="249" customFormat="1" ht="13.5" customHeight="1">
      <c r="A353" s="71" t="s">
        <v>643</v>
      </c>
      <c r="B353" s="42" t="s">
        <v>642</v>
      </c>
      <c r="C353" s="24">
        <v>112200</v>
      </c>
      <c r="D353" s="386"/>
      <c r="E353" s="336"/>
      <c r="F353" s="336"/>
      <c r="G353" s="385"/>
      <c r="H353" s="11"/>
    </row>
    <row r="354" spans="1:8" s="5" customFormat="1" ht="14.25" thickBot="1">
      <c r="A354" s="71"/>
      <c r="B354" s="24"/>
      <c r="C354" s="24"/>
      <c r="H354" s="71"/>
    </row>
    <row r="355" spans="1:8" s="249" customFormat="1" ht="13.5" customHeight="1" thickBot="1">
      <c r="A355" s="994" t="s">
        <v>3</v>
      </c>
      <c r="B355" s="995"/>
      <c r="C355" s="603">
        <f>C356+C359+C363+C366+C368</f>
        <v>16040630</v>
      </c>
      <c r="H355" s="71"/>
    </row>
    <row r="356" spans="1:3" s="100" customFormat="1" ht="13.5" customHeight="1">
      <c r="A356" s="249" t="s">
        <v>110</v>
      </c>
      <c r="B356" s="281" t="s">
        <v>111</v>
      </c>
      <c r="C356" s="32">
        <f>SUM(C357:C358)</f>
        <v>97880</v>
      </c>
    </row>
    <row r="357" spans="1:8" s="71" customFormat="1" ht="13.5" customHeight="1">
      <c r="A357" s="71" t="s">
        <v>268</v>
      </c>
      <c r="B357" s="24" t="s">
        <v>269</v>
      </c>
      <c r="C357" s="24">
        <v>86000</v>
      </c>
      <c r="F357" s="339"/>
      <c r="G357" s="450"/>
      <c r="H357" s="24"/>
    </row>
    <row r="358" spans="1:4" s="71" customFormat="1" ht="13.5" customHeight="1">
      <c r="A358" s="71" t="s">
        <v>52</v>
      </c>
      <c r="B358" s="24" t="s">
        <v>15</v>
      </c>
      <c r="C358" s="24">
        <v>11880</v>
      </c>
      <c r="D358" s="344"/>
    </row>
    <row r="359" spans="1:4" s="71" customFormat="1" ht="13.5" customHeight="1">
      <c r="A359" s="11" t="s">
        <v>120</v>
      </c>
      <c r="B359" s="31" t="s">
        <v>121</v>
      </c>
      <c r="C359" s="31">
        <f>SUM(C360:C362)</f>
        <v>288880</v>
      </c>
      <c r="D359" s="344"/>
    </row>
    <row r="360" spans="1:4" s="71" customFormat="1" ht="13.5" customHeight="1">
      <c r="A360" s="12" t="s">
        <v>245</v>
      </c>
      <c r="B360" s="42" t="s">
        <v>246</v>
      </c>
      <c r="C360" s="24">
        <v>108000</v>
      </c>
      <c r="D360" s="344"/>
    </row>
    <row r="361" spans="1:9" s="65" customFormat="1" ht="13.5" customHeight="1">
      <c r="A361" s="58" t="s">
        <v>140</v>
      </c>
      <c r="B361" s="42" t="s">
        <v>141</v>
      </c>
      <c r="C361" s="59">
        <v>100000</v>
      </c>
      <c r="G361" s="59"/>
      <c r="H361" s="56"/>
      <c r="I361" s="56"/>
    </row>
    <row r="362" spans="1:4" s="71" customFormat="1" ht="13.5" customHeight="1">
      <c r="A362" s="12" t="s">
        <v>136</v>
      </c>
      <c r="B362" s="12" t="s">
        <v>71</v>
      </c>
      <c r="C362" s="24">
        <v>80880</v>
      </c>
      <c r="D362" s="336"/>
    </row>
    <row r="363" spans="1:4" s="71" customFormat="1" ht="13.5" customHeight="1">
      <c r="A363" s="249" t="s">
        <v>112</v>
      </c>
      <c r="B363" s="31" t="s">
        <v>156</v>
      </c>
      <c r="C363" s="31">
        <f>SUM(C364:C365)</f>
        <v>8058900</v>
      </c>
      <c r="D363" s="336"/>
    </row>
    <row r="364" spans="1:5" s="71" customFormat="1" ht="13.5" customHeight="1">
      <c r="A364" s="71" t="s">
        <v>138</v>
      </c>
      <c r="B364" s="12" t="s">
        <v>137</v>
      </c>
      <c r="C364" s="24">
        <v>16700</v>
      </c>
      <c r="D364" s="336"/>
      <c r="E364" s="12"/>
    </row>
    <row r="365" spans="1:11" s="71" customFormat="1" ht="13.5" customHeight="1">
      <c r="A365" s="71" t="s">
        <v>49</v>
      </c>
      <c r="B365" s="24" t="s">
        <v>87</v>
      </c>
      <c r="C365" s="24">
        <v>8042200</v>
      </c>
      <c r="H365" s="341"/>
      <c r="I365" s="336"/>
      <c r="J365" s="117"/>
      <c r="K365" s="387"/>
    </row>
    <row r="366" spans="1:9" s="71" customFormat="1" ht="13.5" customHeight="1">
      <c r="A366" s="11" t="s">
        <v>113</v>
      </c>
      <c r="B366" s="31" t="s">
        <v>114</v>
      </c>
      <c r="C366" s="31">
        <f>SUM(C367:C367)</f>
        <v>93200</v>
      </c>
      <c r="H366" s="336"/>
      <c r="I366" s="12"/>
    </row>
    <row r="367" spans="1:256" s="71" customFormat="1" ht="13.5" customHeight="1">
      <c r="A367" s="12" t="s">
        <v>163</v>
      </c>
      <c r="B367" s="12" t="s">
        <v>74</v>
      </c>
      <c r="C367" s="24">
        <v>93200</v>
      </c>
      <c r="H367" s="404"/>
      <c r="I367" s="142"/>
      <c r="K367" s="142"/>
      <c r="L367" s="142"/>
      <c r="M367" s="142"/>
      <c r="N367" s="142"/>
      <c r="O367" s="142"/>
      <c r="P367" s="142"/>
      <c r="Q367" s="142"/>
      <c r="R367" s="142"/>
      <c r="S367" s="142"/>
      <c r="T367" s="142"/>
      <c r="U367" s="142"/>
      <c r="V367" s="142"/>
      <c r="W367" s="142"/>
      <c r="X367" s="142"/>
      <c r="Y367" s="142"/>
      <c r="Z367" s="142"/>
      <c r="AA367" s="142"/>
      <c r="AB367" s="142"/>
      <c r="AC367" s="142"/>
      <c r="AD367" s="142"/>
      <c r="AE367" s="142"/>
      <c r="AF367" s="142"/>
      <c r="AG367" s="142"/>
      <c r="AH367" s="142"/>
      <c r="AI367" s="142"/>
      <c r="AJ367" s="142"/>
      <c r="AK367" s="142"/>
      <c r="AL367" s="142"/>
      <c r="AM367" s="142"/>
      <c r="AN367" s="142"/>
      <c r="AO367" s="142"/>
      <c r="AP367" s="142"/>
      <c r="AQ367" s="142"/>
      <c r="AR367" s="142"/>
      <c r="AS367" s="142"/>
      <c r="AT367" s="142"/>
      <c r="AU367" s="142"/>
      <c r="AV367" s="142"/>
      <c r="AW367" s="142"/>
      <c r="AX367" s="142"/>
      <c r="AY367" s="142"/>
      <c r="AZ367" s="142"/>
      <c r="BA367" s="142"/>
      <c r="BB367" s="142"/>
      <c r="BC367" s="142"/>
      <c r="BD367" s="142"/>
      <c r="BE367" s="142"/>
      <c r="BF367" s="142"/>
      <c r="BG367" s="142"/>
      <c r="BH367" s="142"/>
      <c r="BI367" s="142"/>
      <c r="BJ367" s="142"/>
      <c r="BK367" s="142"/>
      <c r="BL367" s="142"/>
      <c r="BM367" s="142"/>
      <c r="BN367" s="142"/>
      <c r="BO367" s="142"/>
      <c r="BP367" s="142"/>
      <c r="BQ367" s="142"/>
      <c r="BR367" s="142"/>
      <c r="BS367" s="142"/>
      <c r="BT367" s="142"/>
      <c r="BU367" s="142"/>
      <c r="BV367" s="142"/>
      <c r="BW367" s="142"/>
      <c r="BX367" s="142"/>
      <c r="BY367" s="142"/>
      <c r="BZ367" s="142"/>
      <c r="CA367" s="142"/>
      <c r="CB367" s="142"/>
      <c r="CC367" s="142"/>
      <c r="CD367" s="142"/>
      <c r="CE367" s="142"/>
      <c r="CF367" s="142"/>
      <c r="CG367" s="142"/>
      <c r="CH367" s="142"/>
      <c r="CI367" s="142"/>
      <c r="CJ367" s="142"/>
      <c r="CK367" s="142"/>
      <c r="CL367" s="142"/>
      <c r="CM367" s="142"/>
      <c r="CN367" s="142"/>
      <c r="CO367" s="142"/>
      <c r="CP367" s="142"/>
      <c r="CQ367" s="142"/>
      <c r="CR367" s="142"/>
      <c r="CS367" s="142"/>
      <c r="CT367" s="142"/>
      <c r="CU367" s="142"/>
      <c r="CV367" s="142"/>
      <c r="CW367" s="142"/>
      <c r="CX367" s="142"/>
      <c r="CY367" s="142"/>
      <c r="CZ367" s="142"/>
      <c r="DA367" s="142"/>
      <c r="DB367" s="142"/>
      <c r="DC367" s="142"/>
      <c r="DD367" s="142"/>
      <c r="DE367" s="142"/>
      <c r="DF367" s="142"/>
      <c r="DG367" s="142"/>
      <c r="DH367" s="142"/>
      <c r="DI367" s="142"/>
      <c r="DJ367" s="142"/>
      <c r="DK367" s="142"/>
      <c r="DL367" s="142"/>
      <c r="DM367" s="142"/>
      <c r="DN367" s="142"/>
      <c r="DO367" s="142"/>
      <c r="DP367" s="142"/>
      <c r="DQ367" s="142"/>
      <c r="DR367" s="142"/>
      <c r="DS367" s="142"/>
      <c r="DT367" s="142"/>
      <c r="DU367" s="142"/>
      <c r="DV367" s="142"/>
      <c r="DW367" s="142"/>
      <c r="DX367" s="142"/>
      <c r="DY367" s="142"/>
      <c r="DZ367" s="142"/>
      <c r="EA367" s="142"/>
      <c r="EB367" s="142"/>
      <c r="EC367" s="142"/>
      <c r="ED367" s="142"/>
      <c r="EE367" s="142"/>
      <c r="EF367" s="142"/>
      <c r="EG367" s="142"/>
      <c r="EH367" s="142"/>
      <c r="EI367" s="142"/>
      <c r="EJ367" s="142"/>
      <c r="EK367" s="142"/>
      <c r="EL367" s="142"/>
      <c r="EM367" s="142"/>
      <c r="EN367" s="142"/>
      <c r="EO367" s="142"/>
      <c r="EP367" s="142"/>
      <c r="EQ367" s="142"/>
      <c r="ER367" s="142"/>
      <c r="ES367" s="142"/>
      <c r="ET367" s="142"/>
      <c r="EU367" s="142"/>
      <c r="EV367" s="142"/>
      <c r="EW367" s="142"/>
      <c r="EX367" s="142"/>
      <c r="EY367" s="142"/>
      <c r="EZ367" s="142"/>
      <c r="FA367" s="142"/>
      <c r="FB367" s="142"/>
      <c r="FC367" s="142"/>
      <c r="FD367" s="142"/>
      <c r="FE367" s="142"/>
      <c r="FF367" s="142"/>
      <c r="FG367" s="142"/>
      <c r="FH367" s="142"/>
      <c r="FI367" s="142"/>
      <c r="FJ367" s="142"/>
      <c r="FK367" s="142"/>
      <c r="FL367" s="142"/>
      <c r="FM367" s="142"/>
      <c r="FN367" s="142"/>
      <c r="FO367" s="142"/>
      <c r="FP367" s="142"/>
      <c r="FQ367" s="142"/>
      <c r="FR367" s="142"/>
      <c r="FS367" s="142"/>
      <c r="FT367" s="142"/>
      <c r="FU367" s="142"/>
      <c r="FV367" s="142"/>
      <c r="FW367" s="142"/>
      <c r="FX367" s="142"/>
      <c r="FY367" s="142"/>
      <c r="FZ367" s="142"/>
      <c r="GA367" s="142"/>
      <c r="GB367" s="142"/>
      <c r="GC367" s="142"/>
      <c r="GD367" s="142"/>
      <c r="GE367" s="142"/>
      <c r="GF367" s="142"/>
      <c r="GG367" s="142"/>
      <c r="GH367" s="142"/>
      <c r="GI367" s="142"/>
      <c r="GJ367" s="142"/>
      <c r="GK367" s="142"/>
      <c r="GL367" s="142"/>
      <c r="GM367" s="142"/>
      <c r="GN367" s="142"/>
      <c r="GO367" s="142"/>
      <c r="GP367" s="142"/>
      <c r="GQ367" s="142"/>
      <c r="GR367" s="142"/>
      <c r="GS367" s="142"/>
      <c r="GT367" s="142"/>
      <c r="GU367" s="142"/>
      <c r="GV367" s="142"/>
      <c r="GW367" s="142"/>
      <c r="GX367" s="142"/>
      <c r="GY367" s="142"/>
      <c r="GZ367" s="142"/>
      <c r="HA367" s="142"/>
      <c r="HB367" s="142"/>
      <c r="HC367" s="142"/>
      <c r="HD367" s="142"/>
      <c r="HE367" s="142"/>
      <c r="HF367" s="142"/>
      <c r="HG367" s="142"/>
      <c r="HH367" s="142"/>
      <c r="HI367" s="142"/>
      <c r="HJ367" s="142"/>
      <c r="HK367" s="142"/>
      <c r="HL367" s="142"/>
      <c r="HM367" s="142"/>
      <c r="HN367" s="142"/>
      <c r="HO367" s="142"/>
      <c r="HP367" s="142"/>
      <c r="HQ367" s="142"/>
      <c r="HR367" s="142"/>
      <c r="HS367" s="142"/>
      <c r="HT367" s="142"/>
      <c r="HU367" s="142"/>
      <c r="HV367" s="142"/>
      <c r="HW367" s="142"/>
      <c r="HX367" s="142"/>
      <c r="HY367" s="142"/>
      <c r="HZ367" s="142"/>
      <c r="IA367" s="142"/>
      <c r="IB367" s="142"/>
      <c r="IC367" s="142"/>
      <c r="ID367" s="142"/>
      <c r="IE367" s="142"/>
      <c r="IF367" s="142"/>
      <c r="IG367" s="142"/>
      <c r="IH367" s="142"/>
      <c r="II367" s="142"/>
      <c r="IJ367" s="142"/>
      <c r="IK367" s="142"/>
      <c r="IL367" s="142"/>
      <c r="IM367" s="142"/>
      <c r="IN367" s="142"/>
      <c r="IO367" s="142"/>
      <c r="IP367" s="142"/>
      <c r="IQ367" s="142"/>
      <c r="IR367" s="142"/>
      <c r="IS367" s="142"/>
      <c r="IT367" s="142"/>
      <c r="IU367" s="142"/>
      <c r="IV367" s="142"/>
    </row>
    <row r="368" spans="1:256" s="71" customFormat="1" ht="13.5" customHeight="1">
      <c r="A368" s="249" t="s">
        <v>115</v>
      </c>
      <c r="B368" s="31" t="s">
        <v>8</v>
      </c>
      <c r="C368" s="31">
        <f>SUM(C369:C372)</f>
        <v>7501770</v>
      </c>
      <c r="H368" s="806"/>
      <c r="I368" s="346"/>
      <c r="K368" s="142"/>
      <c r="L368" s="142"/>
      <c r="M368" s="142"/>
      <c r="N368" s="142"/>
      <c r="O368" s="142"/>
      <c r="P368" s="142"/>
      <c r="Q368" s="142"/>
      <c r="R368" s="142"/>
      <c r="S368" s="142"/>
      <c r="T368" s="142"/>
      <c r="U368" s="142"/>
      <c r="V368" s="142"/>
      <c r="W368" s="142"/>
      <c r="X368" s="142"/>
      <c r="Y368" s="142"/>
      <c r="Z368" s="142"/>
      <c r="AA368" s="142"/>
      <c r="AB368" s="142"/>
      <c r="AC368" s="142"/>
      <c r="AD368" s="142"/>
      <c r="AE368" s="142"/>
      <c r="AF368" s="142"/>
      <c r="AG368" s="142"/>
      <c r="AH368" s="142"/>
      <c r="AI368" s="142"/>
      <c r="AJ368" s="142"/>
      <c r="AK368" s="142"/>
      <c r="AL368" s="142"/>
      <c r="AM368" s="142"/>
      <c r="AN368" s="142"/>
      <c r="AO368" s="142"/>
      <c r="AP368" s="142"/>
      <c r="AQ368" s="142"/>
      <c r="AR368" s="142"/>
      <c r="AS368" s="142"/>
      <c r="AT368" s="142"/>
      <c r="AU368" s="142"/>
      <c r="AV368" s="142"/>
      <c r="AW368" s="142"/>
      <c r="AX368" s="142"/>
      <c r="AY368" s="142"/>
      <c r="AZ368" s="142"/>
      <c r="BA368" s="142"/>
      <c r="BB368" s="142"/>
      <c r="BC368" s="142"/>
      <c r="BD368" s="142"/>
      <c r="BE368" s="142"/>
      <c r="BF368" s="142"/>
      <c r="BG368" s="142"/>
      <c r="BH368" s="142"/>
      <c r="BI368" s="142"/>
      <c r="BJ368" s="142"/>
      <c r="BK368" s="142"/>
      <c r="BL368" s="142"/>
      <c r="BM368" s="142"/>
      <c r="BN368" s="142"/>
      <c r="BO368" s="142"/>
      <c r="BP368" s="142"/>
      <c r="BQ368" s="142"/>
      <c r="BR368" s="142"/>
      <c r="BS368" s="142"/>
      <c r="BT368" s="142"/>
      <c r="BU368" s="142"/>
      <c r="BV368" s="142"/>
      <c r="BW368" s="142"/>
      <c r="BX368" s="142"/>
      <c r="BY368" s="142"/>
      <c r="BZ368" s="142"/>
      <c r="CA368" s="142"/>
      <c r="CB368" s="142"/>
      <c r="CC368" s="142"/>
      <c r="CD368" s="142"/>
      <c r="CE368" s="142"/>
      <c r="CF368" s="142"/>
      <c r="CG368" s="142"/>
      <c r="CH368" s="142"/>
      <c r="CI368" s="142"/>
      <c r="CJ368" s="142"/>
      <c r="CK368" s="142"/>
      <c r="CL368" s="142"/>
      <c r="CM368" s="142"/>
      <c r="CN368" s="142"/>
      <c r="CO368" s="142"/>
      <c r="CP368" s="142"/>
      <c r="CQ368" s="142"/>
      <c r="CR368" s="142"/>
      <c r="CS368" s="142"/>
      <c r="CT368" s="142"/>
      <c r="CU368" s="142"/>
      <c r="CV368" s="142"/>
      <c r="CW368" s="142"/>
      <c r="CX368" s="142"/>
      <c r="CY368" s="142"/>
      <c r="CZ368" s="142"/>
      <c r="DA368" s="142"/>
      <c r="DB368" s="142"/>
      <c r="DC368" s="142"/>
      <c r="DD368" s="142"/>
      <c r="DE368" s="142"/>
      <c r="DF368" s="142"/>
      <c r="DG368" s="142"/>
      <c r="DH368" s="142"/>
      <c r="DI368" s="142"/>
      <c r="DJ368" s="142"/>
      <c r="DK368" s="142"/>
      <c r="DL368" s="142"/>
      <c r="DM368" s="142"/>
      <c r="DN368" s="142"/>
      <c r="DO368" s="142"/>
      <c r="DP368" s="142"/>
      <c r="DQ368" s="142"/>
      <c r="DR368" s="142"/>
      <c r="DS368" s="142"/>
      <c r="DT368" s="142"/>
      <c r="DU368" s="142"/>
      <c r="DV368" s="142"/>
      <c r="DW368" s="142"/>
      <c r="DX368" s="142"/>
      <c r="DY368" s="142"/>
      <c r="DZ368" s="142"/>
      <c r="EA368" s="142"/>
      <c r="EB368" s="142"/>
      <c r="EC368" s="142"/>
      <c r="ED368" s="142"/>
      <c r="EE368" s="142"/>
      <c r="EF368" s="142"/>
      <c r="EG368" s="142"/>
      <c r="EH368" s="142"/>
      <c r="EI368" s="142"/>
      <c r="EJ368" s="142"/>
      <c r="EK368" s="142"/>
      <c r="EL368" s="142"/>
      <c r="EM368" s="142"/>
      <c r="EN368" s="142"/>
      <c r="EO368" s="142"/>
      <c r="EP368" s="142"/>
      <c r="EQ368" s="142"/>
      <c r="ER368" s="142"/>
      <c r="ES368" s="142"/>
      <c r="ET368" s="142"/>
      <c r="EU368" s="142"/>
      <c r="EV368" s="142"/>
      <c r="EW368" s="142"/>
      <c r="EX368" s="142"/>
      <c r="EY368" s="142"/>
      <c r="EZ368" s="142"/>
      <c r="FA368" s="142"/>
      <c r="FB368" s="142"/>
      <c r="FC368" s="142"/>
      <c r="FD368" s="142"/>
      <c r="FE368" s="142"/>
      <c r="FF368" s="142"/>
      <c r="FG368" s="142"/>
      <c r="FH368" s="142"/>
      <c r="FI368" s="142"/>
      <c r="FJ368" s="142"/>
      <c r="FK368" s="142"/>
      <c r="FL368" s="142"/>
      <c r="FM368" s="142"/>
      <c r="FN368" s="142"/>
      <c r="FO368" s="142"/>
      <c r="FP368" s="142"/>
      <c r="FQ368" s="142"/>
      <c r="FR368" s="142"/>
      <c r="FS368" s="142"/>
      <c r="FT368" s="142"/>
      <c r="FU368" s="142"/>
      <c r="FV368" s="142"/>
      <c r="FW368" s="142"/>
      <c r="FX368" s="142"/>
      <c r="FY368" s="142"/>
      <c r="FZ368" s="142"/>
      <c r="GA368" s="142"/>
      <c r="GB368" s="142"/>
      <c r="GC368" s="142"/>
      <c r="GD368" s="142"/>
      <c r="GE368" s="142"/>
      <c r="GF368" s="142"/>
      <c r="GG368" s="142"/>
      <c r="GH368" s="142"/>
      <c r="GI368" s="142"/>
      <c r="GJ368" s="142"/>
      <c r="GK368" s="142"/>
      <c r="GL368" s="142"/>
      <c r="GM368" s="142"/>
      <c r="GN368" s="142"/>
      <c r="GO368" s="142"/>
      <c r="GP368" s="142"/>
      <c r="GQ368" s="142"/>
      <c r="GR368" s="142"/>
      <c r="GS368" s="142"/>
      <c r="GT368" s="142"/>
      <c r="GU368" s="142"/>
      <c r="GV368" s="142"/>
      <c r="GW368" s="142"/>
      <c r="GX368" s="142"/>
      <c r="GY368" s="142"/>
      <c r="GZ368" s="142"/>
      <c r="HA368" s="142"/>
      <c r="HB368" s="142"/>
      <c r="HC368" s="142"/>
      <c r="HD368" s="142"/>
      <c r="HE368" s="142"/>
      <c r="HF368" s="142"/>
      <c r="HG368" s="142"/>
      <c r="HH368" s="142"/>
      <c r="HI368" s="142"/>
      <c r="HJ368" s="142"/>
      <c r="HK368" s="142"/>
      <c r="HL368" s="142"/>
      <c r="HM368" s="142"/>
      <c r="HN368" s="142"/>
      <c r="HO368" s="142"/>
      <c r="HP368" s="142"/>
      <c r="HQ368" s="142"/>
      <c r="HR368" s="142"/>
      <c r="HS368" s="142"/>
      <c r="HT368" s="142"/>
      <c r="HU368" s="142"/>
      <c r="HV368" s="142"/>
      <c r="HW368" s="142"/>
      <c r="HX368" s="142"/>
      <c r="HY368" s="142"/>
      <c r="HZ368" s="142"/>
      <c r="IA368" s="142"/>
      <c r="IB368" s="142"/>
      <c r="IC368" s="142"/>
      <c r="ID368" s="142"/>
      <c r="IE368" s="142"/>
      <c r="IF368" s="142"/>
      <c r="IG368" s="142"/>
      <c r="IH368" s="142"/>
      <c r="II368" s="142"/>
      <c r="IJ368" s="142"/>
      <c r="IK368" s="142"/>
      <c r="IL368" s="142"/>
      <c r="IM368" s="142"/>
      <c r="IN368" s="142"/>
      <c r="IO368" s="142"/>
      <c r="IP368" s="142"/>
      <c r="IQ368" s="142"/>
      <c r="IR368" s="142"/>
      <c r="IS368" s="142"/>
      <c r="IT368" s="142"/>
      <c r="IU368" s="142"/>
      <c r="IV368" s="142"/>
    </row>
    <row r="369" spans="1:11" s="71" customFormat="1" ht="13.5" customHeight="1">
      <c r="A369" s="71" t="s">
        <v>92</v>
      </c>
      <c r="B369" s="95" t="s">
        <v>8</v>
      </c>
      <c r="C369" s="24">
        <v>6657000</v>
      </c>
      <c r="H369" s="404"/>
      <c r="J369" s="335"/>
      <c r="K369" s="346"/>
    </row>
    <row r="370" spans="1:3" s="71" customFormat="1" ht="13.5" customHeight="1">
      <c r="A370" s="71" t="s">
        <v>182</v>
      </c>
      <c r="B370" s="24" t="s">
        <v>50</v>
      </c>
      <c r="C370" s="24">
        <v>35750</v>
      </c>
    </row>
    <row r="371" spans="1:11" s="11" customFormat="1" ht="13.5" customHeight="1">
      <c r="A371" s="71" t="s">
        <v>223</v>
      </c>
      <c r="B371" s="12" t="s">
        <v>222</v>
      </c>
      <c r="C371" s="24">
        <v>291520</v>
      </c>
      <c r="H371" s="352"/>
      <c r="I371" s="336"/>
      <c r="J371" s="336"/>
      <c r="K371" s="344"/>
    </row>
    <row r="372" spans="1:11" s="71" customFormat="1" ht="13.5" customHeight="1">
      <c r="A372" s="71" t="s">
        <v>90</v>
      </c>
      <c r="B372" s="24" t="s">
        <v>7</v>
      </c>
      <c r="C372" s="24">
        <v>517500</v>
      </c>
      <c r="H372" s="339"/>
      <c r="I372" s="336"/>
      <c r="J372" s="335"/>
      <c r="K372" s="346"/>
    </row>
    <row r="373" spans="2:14" s="71" customFormat="1" ht="13.5" customHeight="1" thickBot="1">
      <c r="B373" s="24"/>
      <c r="C373" s="24"/>
      <c r="H373" s="519"/>
      <c r="I373" s="519"/>
      <c r="J373" s="520"/>
      <c r="K373" s="520"/>
      <c r="L373" s="520"/>
      <c r="M373" s="1"/>
      <c r="N373" s="1"/>
    </row>
    <row r="374" spans="1:14" s="249" customFormat="1" ht="13.5" customHeight="1" thickBot="1">
      <c r="A374" s="996" t="s">
        <v>4</v>
      </c>
      <c r="B374" s="997"/>
      <c r="C374" s="605">
        <f>C375+C380</f>
        <v>389680</v>
      </c>
      <c r="H374" s="519"/>
      <c r="I374" s="519"/>
      <c r="J374" s="520"/>
      <c r="K374" s="520"/>
      <c r="L374" s="520"/>
      <c r="M374" s="1"/>
      <c r="N374" s="1"/>
    </row>
    <row r="375" spans="1:14" s="100" customFormat="1" ht="13.5" customHeight="1">
      <c r="A375" s="249" t="s">
        <v>116</v>
      </c>
      <c r="B375" s="281" t="s">
        <v>117</v>
      </c>
      <c r="C375" s="32">
        <f>SUM(C376:C379)</f>
        <v>365480</v>
      </c>
      <c r="D375" s="340"/>
      <c r="F375" s="340"/>
      <c r="G375" s="341"/>
      <c r="H375" s="519"/>
      <c r="I375" s="519"/>
      <c r="J375" s="520"/>
      <c r="K375" s="520"/>
      <c r="L375" s="520"/>
      <c r="M375" s="1"/>
      <c r="N375" s="1"/>
    </row>
    <row r="376" spans="1:14" s="5" customFormat="1" ht="13.5">
      <c r="A376" s="71" t="s">
        <v>91</v>
      </c>
      <c r="B376" s="71" t="s">
        <v>139</v>
      </c>
      <c r="C376" s="24">
        <v>116700</v>
      </c>
      <c r="D376" s="390"/>
      <c r="E376" s="336"/>
      <c r="F376" s="336"/>
      <c r="G376" s="390"/>
      <c r="H376" s="519"/>
      <c r="I376" s="519"/>
      <c r="J376" s="520"/>
      <c r="K376" s="520"/>
      <c r="L376" s="520"/>
      <c r="M376" s="1"/>
      <c r="N376" s="1"/>
    </row>
    <row r="377" spans="1:14" s="5" customFormat="1" ht="13.5">
      <c r="A377" s="71" t="s">
        <v>204</v>
      </c>
      <c r="B377" s="42" t="s">
        <v>557</v>
      </c>
      <c r="C377" s="24">
        <v>26700</v>
      </c>
      <c r="D377" s="336"/>
      <c r="E377" s="336"/>
      <c r="F377" s="336"/>
      <c r="G377" s="390"/>
      <c r="H377" s="519"/>
      <c r="I377" s="519"/>
      <c r="J377" s="520"/>
      <c r="K377" s="520"/>
      <c r="L377" s="519"/>
      <c r="M377" s="1"/>
      <c r="N377" s="1"/>
    </row>
    <row r="378" spans="1:14" s="5" customFormat="1" ht="13.5">
      <c r="A378" s="71" t="s">
        <v>57</v>
      </c>
      <c r="B378" s="71" t="s">
        <v>58</v>
      </c>
      <c r="C378" s="24">
        <v>46160</v>
      </c>
      <c r="D378" s="346"/>
      <c r="E378" s="336"/>
      <c r="F378" s="336"/>
      <c r="G378" s="390"/>
      <c r="H378" s="519"/>
      <c r="I378" s="519"/>
      <c r="J378" s="520"/>
      <c r="K378" s="520"/>
      <c r="L378" s="519"/>
      <c r="M378" s="1"/>
      <c r="N378" s="1"/>
    </row>
    <row r="379" spans="1:8" s="8" customFormat="1" ht="13.5" customHeight="1">
      <c r="A379" s="71" t="s">
        <v>756</v>
      </c>
      <c r="B379" s="23" t="s">
        <v>757</v>
      </c>
      <c r="C379" s="24">
        <v>175920</v>
      </c>
      <c r="D379" s="77"/>
      <c r="E379" s="25"/>
      <c r="F379" s="98"/>
      <c r="G379" s="54"/>
      <c r="H379" s="42"/>
    </row>
    <row r="380" spans="1:14" s="5" customFormat="1" ht="13.5">
      <c r="A380" s="249" t="s">
        <v>165</v>
      </c>
      <c r="B380" s="25" t="s">
        <v>134</v>
      </c>
      <c r="C380" s="31">
        <f>SUM(C381)</f>
        <v>24200</v>
      </c>
      <c r="D380" s="336"/>
      <c r="E380" s="336"/>
      <c r="F380" s="336"/>
      <c r="G380" s="390"/>
      <c r="H380" s="519"/>
      <c r="I380" s="519"/>
      <c r="J380" s="520"/>
      <c r="K380" s="520"/>
      <c r="L380" s="520"/>
      <c r="M380" s="1"/>
      <c r="N380" s="1"/>
    </row>
    <row r="381" spans="1:14" s="5" customFormat="1" ht="13.5">
      <c r="A381" s="71" t="s">
        <v>166</v>
      </c>
      <c r="B381" s="23" t="s">
        <v>51</v>
      </c>
      <c r="C381" s="24">
        <v>24200</v>
      </c>
      <c r="D381" s="346"/>
      <c r="E381" s="336"/>
      <c r="F381" s="336"/>
      <c r="G381" s="390"/>
      <c r="H381" s="519"/>
      <c r="I381" s="519"/>
      <c r="J381" s="520"/>
      <c r="K381" s="520"/>
      <c r="L381" s="520"/>
      <c r="M381" s="1"/>
      <c r="N381" s="1"/>
    </row>
    <row r="382" spans="1:14" s="142" customFormat="1" ht="13.5">
      <c r="A382" s="12"/>
      <c r="B382" s="24"/>
      <c r="C382" s="24"/>
      <c r="D382" s="344"/>
      <c r="E382" s="336"/>
      <c r="F382" s="336"/>
      <c r="G382" s="374"/>
      <c r="H382" s="519"/>
      <c r="I382" s="519"/>
      <c r="J382" s="520"/>
      <c r="K382" s="520"/>
      <c r="L382" s="520"/>
      <c r="M382" s="1"/>
      <c r="N382" s="1"/>
    </row>
    <row r="383" spans="1:14" ht="14.25" thickBot="1">
      <c r="A383" s="74"/>
      <c r="C383" s="450"/>
      <c r="H383" s="519"/>
      <c r="I383" s="519"/>
      <c r="J383" s="520"/>
      <c r="K383" s="521"/>
      <c r="L383" s="742"/>
      <c r="M383" s="1"/>
      <c r="N383" s="1"/>
    </row>
    <row r="384" spans="1:14" ht="13.5">
      <c r="A384" s="988" t="s">
        <v>819</v>
      </c>
      <c r="B384" s="1009"/>
      <c r="C384" s="989"/>
      <c r="D384" s="627" t="s">
        <v>6</v>
      </c>
      <c r="E384" s="757" t="s">
        <v>1034</v>
      </c>
      <c r="H384" s="519"/>
      <c r="I384" s="519"/>
      <c r="J384" s="520"/>
      <c r="K384" s="520"/>
      <c r="L384" s="520"/>
      <c r="M384" s="1"/>
      <c r="N384" s="1"/>
    </row>
    <row r="385" spans="1:14" ht="14.25" thickBot="1">
      <c r="A385" s="990"/>
      <c r="B385" s="1010"/>
      <c r="C385" s="991"/>
      <c r="D385" s="669"/>
      <c r="E385" s="670"/>
      <c r="H385" s="519"/>
      <c r="I385" s="519"/>
      <c r="J385" s="520"/>
      <c r="K385" s="520"/>
      <c r="L385" s="520"/>
      <c r="M385" s="1"/>
      <c r="N385" s="1"/>
    </row>
    <row r="386" spans="1:12" s="1" customFormat="1" ht="13.5">
      <c r="A386" s="998" t="s">
        <v>821</v>
      </c>
      <c r="B386" s="999"/>
      <c r="C386" s="999"/>
      <c r="D386" s="999"/>
      <c r="E386" s="1000"/>
      <c r="F386" s="447"/>
      <c r="H386" s="519"/>
      <c r="I386" s="519"/>
      <c r="J386" s="520"/>
      <c r="K386" s="520"/>
      <c r="L386" s="520"/>
    </row>
    <row r="387" spans="1:12" s="1" customFormat="1" ht="13.5">
      <c r="A387" s="1001"/>
      <c r="B387" s="1002"/>
      <c r="C387" s="1002"/>
      <c r="D387" s="1002"/>
      <c r="E387" s="1003"/>
      <c r="F387" s="447"/>
      <c r="H387" s="519"/>
      <c r="I387" s="519"/>
      <c r="J387" s="520"/>
      <c r="K387" s="520"/>
      <c r="L387" s="520"/>
    </row>
    <row r="388" spans="1:12" s="1" customFormat="1" ht="13.5">
      <c r="A388" s="1001"/>
      <c r="B388" s="1002"/>
      <c r="C388" s="1002"/>
      <c r="D388" s="1002"/>
      <c r="E388" s="1003"/>
      <c r="F388" s="447"/>
      <c r="H388" s="519"/>
      <c r="I388" s="519"/>
      <c r="J388" s="520"/>
      <c r="K388" s="520"/>
      <c r="L388" s="520"/>
    </row>
    <row r="389" spans="1:12" s="1" customFormat="1" ht="13.5">
      <c r="A389" s="1001"/>
      <c r="B389" s="1002"/>
      <c r="C389" s="1002"/>
      <c r="D389" s="1002"/>
      <c r="E389" s="1003"/>
      <c r="F389" s="447"/>
      <c r="H389" s="743"/>
      <c r="I389" s="519"/>
      <c r="J389" s="520"/>
      <c r="K389" s="520"/>
      <c r="L389" s="520"/>
    </row>
    <row r="390" spans="1:12" s="1" customFormat="1" ht="13.5">
      <c r="A390" s="1001"/>
      <c r="B390" s="1002"/>
      <c r="C390" s="1002"/>
      <c r="D390" s="1002"/>
      <c r="E390" s="1003"/>
      <c r="F390" s="447"/>
      <c r="H390" s="743"/>
      <c r="I390" s="519"/>
      <c r="J390" s="520"/>
      <c r="K390" s="520"/>
      <c r="L390" s="520"/>
    </row>
    <row r="391" spans="1:12" s="1" customFormat="1" ht="29.25" customHeight="1" thickBot="1">
      <c r="A391" s="1004"/>
      <c r="B391" s="1005"/>
      <c r="C391" s="1005"/>
      <c r="D391" s="1005"/>
      <c r="E391" s="1006"/>
      <c r="F391" s="447"/>
      <c r="H391" s="519"/>
      <c r="I391" s="519"/>
      <c r="J391" s="520"/>
      <c r="K391" s="520"/>
      <c r="L391" s="520"/>
    </row>
    <row r="392" spans="1:12" s="1" customFormat="1" ht="13.5">
      <c r="A392" s="40" t="s">
        <v>809</v>
      </c>
      <c r="B392" s="12"/>
      <c r="C392" s="24"/>
      <c r="D392" s="24"/>
      <c r="E392" s="303"/>
      <c r="F392" s="447"/>
      <c r="G392" s="142"/>
      <c r="H392" s="519"/>
      <c r="I392" s="519"/>
      <c r="J392" s="520"/>
      <c r="K392" s="520"/>
      <c r="L392" s="520"/>
    </row>
    <row r="393" spans="1:12" s="1" customFormat="1" ht="13.5">
      <c r="A393" s="40" t="s">
        <v>569</v>
      </c>
      <c r="B393" s="12"/>
      <c r="C393" s="24"/>
      <c r="D393" s="24"/>
      <c r="E393" s="303"/>
      <c r="F393" s="447"/>
      <c r="G393" s="142"/>
      <c r="H393" s="743"/>
      <c r="I393" s="519"/>
      <c r="J393" s="520"/>
      <c r="K393" s="520"/>
      <c r="L393" s="520"/>
    </row>
    <row r="394" spans="1:12" s="1" customFormat="1" ht="13.5">
      <c r="A394" s="40" t="s">
        <v>747</v>
      </c>
      <c r="B394" s="12"/>
      <c r="C394" s="24"/>
      <c r="D394" s="24"/>
      <c r="E394" s="303"/>
      <c r="F394" s="447"/>
      <c r="G394" s="142"/>
      <c r="H394" s="743"/>
      <c r="I394" s="519"/>
      <c r="J394" s="520"/>
      <c r="K394" s="520"/>
      <c r="L394" s="520"/>
    </row>
    <row r="395" spans="1:7" s="1" customFormat="1" ht="14.25" thickBot="1">
      <c r="A395" s="75" t="s">
        <v>13</v>
      </c>
      <c r="B395" s="135"/>
      <c r="C395" s="360"/>
      <c r="D395" s="360"/>
      <c r="E395" s="361"/>
      <c r="F395" s="447"/>
      <c r="G395" s="14"/>
    </row>
    <row r="396" spans="1:7" s="1" customFormat="1" ht="14.25" thickBot="1">
      <c r="A396" s="697" t="s">
        <v>748</v>
      </c>
      <c r="B396" s="698"/>
      <c r="C396" s="699"/>
      <c r="D396" s="701"/>
      <c r="E396" s="707">
        <f>+C398+C414+C432</f>
        <v>1183700</v>
      </c>
      <c r="F396" s="447"/>
      <c r="G396" s="14"/>
    </row>
    <row r="397" spans="1:7" s="1" customFormat="1" ht="14.25" thickBot="1">
      <c r="A397" s="11"/>
      <c r="B397" s="11"/>
      <c r="C397" s="31"/>
      <c r="D397" s="31"/>
      <c r="E397" s="31"/>
      <c r="F397" s="447"/>
      <c r="G397" s="14"/>
    </row>
    <row r="398" spans="1:7" s="1" customFormat="1" ht="14.25" thickBot="1">
      <c r="A398" s="992" t="s">
        <v>2</v>
      </c>
      <c r="B398" s="993"/>
      <c r="C398" s="602">
        <f>C399+C401+C403+C405+C407+C409</f>
        <v>254400</v>
      </c>
      <c r="D398" s="31"/>
      <c r="E398" s="31"/>
      <c r="F398" s="447"/>
      <c r="G398" s="14"/>
    </row>
    <row r="399" spans="1:7" s="1" customFormat="1" ht="13.5">
      <c r="A399" s="11" t="s">
        <v>103</v>
      </c>
      <c r="B399" s="281" t="s">
        <v>104</v>
      </c>
      <c r="C399" s="32">
        <f>SUM(C400)</f>
        <v>25000</v>
      </c>
      <c r="D399" s="31"/>
      <c r="E399" s="31"/>
      <c r="F399" s="447"/>
      <c r="G399" s="14"/>
    </row>
    <row r="400" spans="1:7" s="1" customFormat="1" ht="13.5">
      <c r="A400" s="12" t="s">
        <v>46</v>
      </c>
      <c r="B400" s="12" t="s">
        <v>45</v>
      </c>
      <c r="C400" s="24">
        <v>25000</v>
      </c>
      <c r="D400" s="31"/>
      <c r="E400" s="31"/>
      <c r="F400" s="447"/>
      <c r="G400" s="14"/>
    </row>
    <row r="401" spans="1:7" s="1" customFormat="1" ht="13.5">
      <c r="A401" s="11" t="s">
        <v>200</v>
      </c>
      <c r="B401" s="505" t="s">
        <v>199</v>
      </c>
      <c r="C401" s="31">
        <f>SUM(C402)</f>
        <v>25000</v>
      </c>
      <c r="D401" s="31"/>
      <c r="E401" s="31"/>
      <c r="F401" s="447"/>
      <c r="G401" s="14"/>
    </row>
    <row r="402" spans="1:7" s="1" customFormat="1" ht="13.5">
      <c r="A402" s="12" t="s">
        <v>228</v>
      </c>
      <c r="B402" s="100" t="s">
        <v>227</v>
      </c>
      <c r="C402" s="24">
        <v>25000</v>
      </c>
      <c r="D402" s="31"/>
      <c r="E402" s="31"/>
      <c r="F402" s="447"/>
      <c r="G402" s="14"/>
    </row>
    <row r="403" spans="1:7" s="1" customFormat="1" ht="13.5">
      <c r="A403" s="11" t="s">
        <v>105</v>
      </c>
      <c r="B403" s="11" t="s">
        <v>106</v>
      </c>
      <c r="C403" s="31">
        <f>SUM(C404)</f>
        <v>56700</v>
      </c>
      <c r="D403" s="31"/>
      <c r="E403" s="31"/>
      <c r="F403" s="447"/>
      <c r="G403" s="14"/>
    </row>
    <row r="404" spans="1:7" s="1" customFormat="1" ht="13.5">
      <c r="A404" s="12" t="s">
        <v>86</v>
      </c>
      <c r="B404" s="71" t="s">
        <v>66</v>
      </c>
      <c r="C404" s="24">
        <v>56700</v>
      </c>
      <c r="D404" s="31"/>
      <c r="E404" s="31"/>
      <c r="F404" s="447"/>
      <c r="G404" s="14"/>
    </row>
    <row r="405" spans="1:7" s="1" customFormat="1" ht="13.5">
      <c r="A405" s="11" t="s">
        <v>107</v>
      </c>
      <c r="B405" s="249" t="s">
        <v>108</v>
      </c>
      <c r="C405" s="31">
        <f>SUM(C406)</f>
        <v>24000</v>
      </c>
      <c r="D405" s="31"/>
      <c r="E405" s="31"/>
      <c r="F405" s="447"/>
      <c r="G405" s="14"/>
    </row>
    <row r="406" spans="1:7" s="1" customFormat="1" ht="13.5">
      <c r="A406" s="12" t="s">
        <v>47</v>
      </c>
      <c r="B406" s="23" t="s">
        <v>48</v>
      </c>
      <c r="C406" s="24">
        <v>24000</v>
      </c>
      <c r="D406" s="31"/>
      <c r="E406" s="31"/>
      <c r="F406" s="447"/>
      <c r="G406" s="14"/>
    </row>
    <row r="407" spans="1:7" s="1" customFormat="1" ht="13.5">
      <c r="A407" s="249" t="s">
        <v>124</v>
      </c>
      <c r="B407" s="31" t="s">
        <v>123</v>
      </c>
      <c r="C407" s="31">
        <f>SUM(C408)</f>
        <v>6800</v>
      </c>
      <c r="D407" s="31"/>
      <c r="E407" s="31"/>
      <c r="F407" s="447"/>
      <c r="G407" s="14"/>
    </row>
    <row r="408" spans="1:7" s="1" customFormat="1" ht="13.5">
      <c r="A408" s="71" t="s">
        <v>93</v>
      </c>
      <c r="B408" s="24" t="s">
        <v>72</v>
      </c>
      <c r="C408" s="24">
        <v>6800</v>
      </c>
      <c r="D408" s="31"/>
      <c r="E408" s="31"/>
      <c r="F408" s="447"/>
      <c r="G408" s="14"/>
    </row>
    <row r="409" spans="1:7" s="1" customFormat="1" ht="13.5">
      <c r="A409" s="249" t="s">
        <v>150</v>
      </c>
      <c r="B409" s="25" t="s">
        <v>125</v>
      </c>
      <c r="C409" s="31">
        <f>SUM(C410:C412)</f>
        <v>116900</v>
      </c>
      <c r="D409" s="31"/>
      <c r="E409" s="31"/>
      <c r="F409" s="447"/>
      <c r="G409" s="14"/>
    </row>
    <row r="410" spans="1:7" s="1" customFormat="1" ht="13.5">
      <c r="A410" s="71" t="s">
        <v>152</v>
      </c>
      <c r="B410" s="24" t="s">
        <v>70</v>
      </c>
      <c r="C410" s="24">
        <v>17000</v>
      </c>
      <c r="D410" s="31"/>
      <c r="E410" s="31"/>
      <c r="F410" s="447"/>
      <c r="G410" s="14"/>
    </row>
    <row r="411" spans="1:7" s="1" customFormat="1" ht="13.5">
      <c r="A411" s="71" t="s">
        <v>154</v>
      </c>
      <c r="B411" s="23" t="s">
        <v>125</v>
      </c>
      <c r="C411" s="24">
        <v>34900</v>
      </c>
      <c r="D411" s="31"/>
      <c r="E411" s="31"/>
      <c r="F411" s="447"/>
      <c r="G411" s="14"/>
    </row>
    <row r="412" spans="1:8" s="249" customFormat="1" ht="13.5" customHeight="1">
      <c r="A412" s="71" t="s">
        <v>643</v>
      </c>
      <c r="B412" s="42" t="s">
        <v>642</v>
      </c>
      <c r="C412" s="24">
        <v>65000</v>
      </c>
      <c r="D412" s="386"/>
      <c r="E412" s="336"/>
      <c r="F412" s="336"/>
      <c r="G412" s="385"/>
      <c r="H412" s="11"/>
    </row>
    <row r="413" spans="1:7" s="1" customFormat="1" ht="14.25" thickBot="1">
      <c r="A413" s="71"/>
      <c r="B413" s="24"/>
      <c r="C413" s="23"/>
      <c r="D413" s="31"/>
      <c r="E413" s="31"/>
      <c r="F413" s="447"/>
      <c r="G413" s="14"/>
    </row>
    <row r="414" spans="1:7" s="1" customFormat="1" ht="14.25" thickBot="1">
      <c r="A414" s="994" t="s">
        <v>3</v>
      </c>
      <c r="B414" s="995"/>
      <c r="C414" s="603">
        <f>C415+C417+C419+C422+C425</f>
        <v>904300</v>
      </c>
      <c r="D414" s="31"/>
      <c r="E414" s="31"/>
      <c r="F414" s="447"/>
      <c r="G414" s="14"/>
    </row>
    <row r="415" spans="1:7" s="1" customFormat="1" ht="13.5">
      <c r="A415" s="249" t="s">
        <v>110</v>
      </c>
      <c r="B415" s="281" t="s">
        <v>111</v>
      </c>
      <c r="C415" s="32">
        <f>SUM(C416)</f>
        <v>34000</v>
      </c>
      <c r="D415" s="31"/>
      <c r="E415" s="31"/>
      <c r="F415" s="447"/>
      <c r="G415" s="14"/>
    </row>
    <row r="416" spans="1:7" s="1" customFormat="1" ht="13.5">
      <c r="A416" s="71" t="s">
        <v>52</v>
      </c>
      <c r="B416" s="24" t="s">
        <v>15</v>
      </c>
      <c r="C416" s="24">
        <v>34000</v>
      </c>
      <c r="D416" s="31"/>
      <c r="E416" s="31"/>
      <c r="F416" s="447"/>
      <c r="G416" s="14"/>
    </row>
    <row r="417" spans="1:7" s="1" customFormat="1" ht="13.5">
      <c r="A417" s="11" t="s">
        <v>120</v>
      </c>
      <c r="B417" s="31" t="s">
        <v>121</v>
      </c>
      <c r="C417" s="31">
        <f>SUM(C418)</f>
        <v>26500</v>
      </c>
      <c r="D417" s="31"/>
      <c r="E417" s="31"/>
      <c r="F417" s="447"/>
      <c r="G417" s="14"/>
    </row>
    <row r="418" spans="1:7" s="1" customFormat="1" ht="13.5">
      <c r="A418" s="12" t="s">
        <v>136</v>
      </c>
      <c r="B418" s="12" t="s">
        <v>71</v>
      </c>
      <c r="C418" s="24">
        <v>26500</v>
      </c>
      <c r="D418" s="31"/>
      <c r="E418" s="31"/>
      <c r="F418" s="447"/>
      <c r="G418" s="14"/>
    </row>
    <row r="419" spans="1:7" s="1" customFormat="1" ht="13.5">
      <c r="A419" s="249" t="s">
        <v>112</v>
      </c>
      <c r="B419" s="31" t="s">
        <v>156</v>
      </c>
      <c r="C419" s="31">
        <f>SUM(C420:C421)</f>
        <v>255800</v>
      </c>
      <c r="D419" s="31"/>
      <c r="E419" s="31"/>
      <c r="F419" s="447"/>
      <c r="G419" s="14"/>
    </row>
    <row r="420" spans="1:7" s="1" customFormat="1" ht="13.5">
      <c r="A420" s="71" t="s">
        <v>138</v>
      </c>
      <c r="B420" s="12" t="s">
        <v>137</v>
      </c>
      <c r="C420" s="24">
        <v>5800</v>
      </c>
      <c r="D420" s="31"/>
      <c r="E420" s="31"/>
      <c r="F420" s="447"/>
      <c r="G420" s="14"/>
    </row>
    <row r="421" spans="1:7" s="1" customFormat="1" ht="13.5">
      <c r="A421" s="71" t="s">
        <v>155</v>
      </c>
      <c r="B421" s="12" t="s">
        <v>87</v>
      </c>
      <c r="C421" s="24">
        <v>250000</v>
      </c>
      <c r="D421" s="31"/>
      <c r="E421" s="31"/>
      <c r="F421" s="447"/>
      <c r="G421" s="14"/>
    </row>
    <row r="422" spans="1:7" s="1" customFormat="1" ht="13.5">
      <c r="A422" s="11" t="s">
        <v>113</v>
      </c>
      <c r="B422" s="11" t="s">
        <v>114</v>
      </c>
      <c r="C422" s="31">
        <f>SUM(C423:C424)</f>
        <v>115000</v>
      </c>
      <c r="D422" s="31"/>
      <c r="E422" s="31"/>
      <c r="F422" s="447"/>
      <c r="G422" s="14"/>
    </row>
    <row r="423" spans="1:7" s="1" customFormat="1" ht="13.5">
      <c r="A423" s="12" t="s">
        <v>53</v>
      </c>
      <c r="B423" s="12" t="s">
        <v>54</v>
      </c>
      <c r="C423" s="24">
        <v>90000</v>
      </c>
      <c r="D423" s="31"/>
      <c r="E423" s="31"/>
      <c r="F423" s="447"/>
      <c r="G423" s="14"/>
    </row>
    <row r="424" spans="1:7" s="1" customFormat="1" ht="13.5">
      <c r="A424" s="12" t="s">
        <v>163</v>
      </c>
      <c r="B424" s="12" t="s">
        <v>74</v>
      </c>
      <c r="C424" s="24">
        <v>25000</v>
      </c>
      <c r="D424" s="31"/>
      <c r="E424" s="31"/>
      <c r="F424" s="447"/>
      <c r="G424" s="14"/>
    </row>
    <row r="425" spans="1:7" s="1" customFormat="1" ht="13.5">
      <c r="A425" s="249" t="s">
        <v>115</v>
      </c>
      <c r="B425" s="31" t="s">
        <v>8</v>
      </c>
      <c r="C425" s="31">
        <f>SUM(C426:C430)</f>
        <v>473000</v>
      </c>
      <c r="D425" s="31"/>
      <c r="E425" s="31"/>
      <c r="F425" s="447"/>
      <c r="G425" s="14"/>
    </row>
    <row r="426" spans="1:7" s="1" customFormat="1" ht="13.5">
      <c r="A426" s="71" t="s">
        <v>92</v>
      </c>
      <c r="B426" s="24" t="s">
        <v>8</v>
      </c>
      <c r="C426" s="24">
        <v>270000</v>
      </c>
      <c r="D426" s="31"/>
      <c r="E426" s="31"/>
      <c r="F426" s="447"/>
      <c r="G426" s="14"/>
    </row>
    <row r="427" spans="1:7" s="1" customFormat="1" ht="13.5">
      <c r="A427" s="71" t="s">
        <v>94</v>
      </c>
      <c r="B427" s="24" t="s">
        <v>50</v>
      </c>
      <c r="C427" s="24">
        <v>18000</v>
      </c>
      <c r="D427" s="31"/>
      <c r="E427" s="31"/>
      <c r="F427" s="447"/>
      <c r="G427" s="14"/>
    </row>
    <row r="428" spans="1:7" s="1" customFormat="1" ht="13.5">
      <c r="A428" s="71" t="s">
        <v>225</v>
      </c>
      <c r="B428" s="42" t="s">
        <v>224</v>
      </c>
      <c r="C428" s="24">
        <v>45000</v>
      </c>
      <c r="D428" s="31"/>
      <c r="E428" s="31"/>
      <c r="F428" s="447"/>
      <c r="G428" s="14"/>
    </row>
    <row r="429" spans="1:7" s="1" customFormat="1" ht="13.5">
      <c r="A429" s="71" t="s">
        <v>223</v>
      </c>
      <c r="B429" s="12" t="s">
        <v>222</v>
      </c>
      <c r="C429" s="24">
        <f>150000-30000</f>
        <v>120000</v>
      </c>
      <c r="D429" s="31"/>
      <c r="E429" s="31"/>
      <c r="F429" s="447"/>
      <c r="G429" s="14"/>
    </row>
    <row r="430" spans="1:7" s="1" customFormat="1" ht="13.5">
      <c r="A430" s="71" t="s">
        <v>90</v>
      </c>
      <c r="B430" s="24" t="s">
        <v>7</v>
      </c>
      <c r="C430" s="24">
        <v>20000</v>
      </c>
      <c r="D430" s="31"/>
      <c r="E430" s="31"/>
      <c r="F430" s="447"/>
      <c r="G430" s="14"/>
    </row>
    <row r="431" spans="1:7" s="1" customFormat="1" ht="14.25" thickBot="1">
      <c r="A431" s="71"/>
      <c r="B431" s="24"/>
      <c r="C431" s="23"/>
      <c r="D431" s="31"/>
      <c r="E431" s="31"/>
      <c r="F431" s="447"/>
      <c r="G431" s="14"/>
    </row>
    <row r="432" spans="1:7" s="1" customFormat="1" ht="14.25" thickBot="1">
      <c r="A432" s="996" t="s">
        <v>4</v>
      </c>
      <c r="B432" s="997"/>
      <c r="C432" s="660">
        <f>C433</f>
        <v>25000</v>
      </c>
      <c r="D432" s="31"/>
      <c r="E432" s="31"/>
      <c r="F432" s="447"/>
      <c r="G432" s="14"/>
    </row>
    <row r="433" spans="1:7" s="1" customFormat="1" ht="13.5">
      <c r="A433" s="249" t="s">
        <v>165</v>
      </c>
      <c r="B433" s="25" t="s">
        <v>134</v>
      </c>
      <c r="C433" s="32">
        <f>SUM(C434)</f>
        <v>25000</v>
      </c>
      <c r="D433" s="31"/>
      <c r="E433" s="31"/>
      <c r="F433" s="447"/>
      <c r="G433" s="14"/>
    </row>
    <row r="434" spans="1:7" s="1" customFormat="1" ht="13.5">
      <c r="A434" s="71" t="s">
        <v>166</v>
      </c>
      <c r="B434" s="23" t="s">
        <v>51</v>
      </c>
      <c r="C434" s="24">
        <v>25000</v>
      </c>
      <c r="D434" s="31"/>
      <c r="E434" s="31"/>
      <c r="F434" s="447"/>
      <c r="G434" s="14"/>
    </row>
    <row r="435" spans="1:7" s="1" customFormat="1" ht="13.5">
      <c r="A435" s="11"/>
      <c r="B435" s="11"/>
      <c r="C435" s="31"/>
      <c r="D435" s="31"/>
      <c r="E435" s="31"/>
      <c r="F435" s="447"/>
      <c r="G435" s="14"/>
    </row>
    <row r="436" ht="13.5" thickBot="1">
      <c r="G436" s="1"/>
    </row>
    <row r="437" spans="1:6" s="1" customFormat="1" ht="12.75">
      <c r="A437" s="583" t="s">
        <v>749</v>
      </c>
      <c r="B437" s="584"/>
      <c r="C437" s="625"/>
      <c r="D437" s="627" t="s">
        <v>6</v>
      </c>
      <c r="E437" s="757" t="s">
        <v>1035</v>
      </c>
      <c r="F437" s="447"/>
    </row>
    <row r="438" spans="1:6" s="1" customFormat="1" ht="13.5" thickBot="1">
      <c r="A438" s="587"/>
      <c r="B438" s="588"/>
      <c r="C438" s="628"/>
      <c r="D438" s="630"/>
      <c r="E438" s="653"/>
      <c r="F438" s="447"/>
    </row>
    <row r="439" spans="1:6" s="1" customFormat="1" ht="12.75">
      <c r="A439" s="979" t="s">
        <v>823</v>
      </c>
      <c r="B439" s="980"/>
      <c r="C439" s="980"/>
      <c r="D439" s="980"/>
      <c r="E439" s="981"/>
      <c r="F439" s="447"/>
    </row>
    <row r="440" spans="1:11" s="1" customFormat="1" ht="12.75">
      <c r="A440" s="982"/>
      <c r="B440" s="983"/>
      <c r="C440" s="983"/>
      <c r="D440" s="983"/>
      <c r="E440" s="984"/>
      <c r="F440" s="447"/>
      <c r="G440" s="142"/>
      <c r="H440" s="142"/>
      <c r="I440" s="142"/>
      <c r="J440" s="142"/>
      <c r="K440" s="142"/>
    </row>
    <row r="441" spans="1:11" s="1" customFormat="1" ht="12.75">
      <c r="A441" s="982"/>
      <c r="B441" s="983"/>
      <c r="C441" s="983"/>
      <c r="D441" s="983"/>
      <c r="E441" s="984"/>
      <c r="F441" s="447"/>
      <c r="G441" s="142"/>
      <c r="H441" s="142"/>
      <c r="I441" s="117"/>
      <c r="J441" s="117"/>
      <c r="K441" s="117"/>
    </row>
    <row r="442" spans="1:11" s="1" customFormat="1" ht="12.75">
      <c r="A442" s="982"/>
      <c r="B442" s="983"/>
      <c r="C442" s="983"/>
      <c r="D442" s="983"/>
      <c r="E442" s="984"/>
      <c r="F442" s="515"/>
      <c r="G442" s="142"/>
      <c r="H442" s="142"/>
      <c r="I442" s="117"/>
      <c r="J442" s="117"/>
      <c r="K442" s="117"/>
    </row>
    <row r="443" spans="1:11" s="1" customFormat="1" ht="12.75">
      <c r="A443" s="982"/>
      <c r="B443" s="983"/>
      <c r="C443" s="983"/>
      <c r="D443" s="983"/>
      <c r="E443" s="984"/>
      <c r="F443" s="452"/>
      <c r="G443" s="142"/>
      <c r="H443" s="142"/>
      <c r="I443" s="117"/>
      <c r="J443" s="117"/>
      <c r="K443" s="117"/>
    </row>
    <row r="444" spans="1:11" s="1" customFormat="1" ht="13.5" thickBot="1">
      <c r="A444" s="982"/>
      <c r="B444" s="983"/>
      <c r="C444" s="983"/>
      <c r="D444" s="983"/>
      <c r="E444" s="984"/>
      <c r="F444" s="447"/>
      <c r="G444" s="142"/>
      <c r="H444" s="142"/>
      <c r="I444" s="117"/>
      <c r="J444" s="117"/>
      <c r="K444" s="117"/>
    </row>
    <row r="445" spans="1:11" s="1" customFormat="1" ht="13.5">
      <c r="A445" s="116" t="s">
        <v>809</v>
      </c>
      <c r="B445" s="167"/>
      <c r="C445" s="400"/>
      <c r="D445" s="400"/>
      <c r="E445" s="402"/>
      <c r="G445" s="142"/>
      <c r="H445" s="142"/>
      <c r="I445" s="117"/>
      <c r="J445" s="117"/>
      <c r="K445" s="117"/>
    </row>
    <row r="446" spans="1:11" s="1" customFormat="1" ht="13.5">
      <c r="A446" s="40" t="s">
        <v>569</v>
      </c>
      <c r="B446" s="12"/>
      <c r="C446" s="24"/>
      <c r="D446" s="24"/>
      <c r="E446" s="303"/>
      <c r="G446" s="117"/>
      <c r="H446" s="142"/>
      <c r="I446" s="117"/>
      <c r="J446" s="117"/>
      <c r="K446" s="117"/>
    </row>
    <row r="447" spans="1:11" s="1" customFormat="1" ht="13.5">
      <c r="A447" s="40" t="s">
        <v>570</v>
      </c>
      <c r="B447" s="11"/>
      <c r="C447" s="31"/>
      <c r="D447" s="31"/>
      <c r="E447" s="144"/>
      <c r="G447" s="117"/>
      <c r="H447" s="142"/>
      <c r="I447" s="142"/>
      <c r="J447" s="142"/>
      <c r="K447" s="142"/>
    </row>
    <row r="448" spans="1:5" s="1" customFormat="1" ht="14.25" thickBot="1">
      <c r="A448" s="75" t="s">
        <v>13</v>
      </c>
      <c r="B448" s="445"/>
      <c r="C448" s="47"/>
      <c r="D448" s="47"/>
      <c r="E448" s="154"/>
    </row>
    <row r="449" spans="1:7" s="1" customFormat="1" ht="14.25" thickBot="1">
      <c r="A449" s="697" t="s">
        <v>14</v>
      </c>
      <c r="B449" s="731"/>
      <c r="C449" s="699"/>
      <c r="D449" s="701"/>
      <c r="E449" s="707">
        <f>+C451+C466+C480</f>
        <v>2391080</v>
      </c>
      <c r="F449" s="447"/>
      <c r="G449" s="3"/>
    </row>
    <row r="450" ht="14.25" thickBot="1">
      <c r="F450" s="351"/>
    </row>
    <row r="451" spans="1:7" ht="14.25" thickBot="1">
      <c r="A451" s="992" t="s">
        <v>2</v>
      </c>
      <c r="B451" s="993"/>
      <c r="C451" s="602">
        <f>C452+C454+C456+C458+C460+C462</f>
        <v>127800</v>
      </c>
      <c r="F451" s="803"/>
      <c r="G451" s="332"/>
    </row>
    <row r="452" spans="1:7" s="332" customFormat="1" ht="13.5">
      <c r="A452" s="11" t="s">
        <v>103</v>
      </c>
      <c r="B452" s="281" t="s">
        <v>104</v>
      </c>
      <c r="C452" s="32">
        <f>SUM(C453)</f>
        <v>35000</v>
      </c>
      <c r="D452" s="331"/>
      <c r="E452" s="331"/>
      <c r="F452" s="386"/>
      <c r="G452" s="374"/>
    </row>
    <row r="453" spans="1:7" s="12" customFormat="1" ht="13.5" customHeight="1">
      <c r="A453" s="12" t="s">
        <v>46</v>
      </c>
      <c r="B453" s="12" t="s">
        <v>45</v>
      </c>
      <c r="C453" s="24">
        <v>35000</v>
      </c>
      <c r="D453" s="383"/>
      <c r="E453" s="336"/>
      <c r="F453" s="452"/>
      <c r="G453" s="3"/>
    </row>
    <row r="454" spans="1:6" ht="13.5">
      <c r="A454" s="11" t="s">
        <v>200</v>
      </c>
      <c r="B454" s="505" t="s">
        <v>199</v>
      </c>
      <c r="C454" s="31">
        <f>SUM(C455)</f>
        <v>12800</v>
      </c>
      <c r="F454" s="803"/>
    </row>
    <row r="455" spans="1:7" ht="13.5">
      <c r="A455" s="12" t="s">
        <v>228</v>
      </c>
      <c r="B455" s="100" t="s">
        <v>227</v>
      </c>
      <c r="C455" s="24">
        <v>12800</v>
      </c>
      <c r="F455" s="803"/>
      <c r="G455" s="374"/>
    </row>
    <row r="456" spans="1:7" s="12" customFormat="1" ht="13.5" customHeight="1">
      <c r="A456" s="11" t="s">
        <v>105</v>
      </c>
      <c r="B456" s="11" t="s">
        <v>106</v>
      </c>
      <c r="C456" s="31">
        <f>SUM(C457)</f>
        <v>25000</v>
      </c>
      <c r="D456" s="339"/>
      <c r="F456" s="415"/>
      <c r="G456" s="5"/>
    </row>
    <row r="457" spans="1:6" s="5" customFormat="1" ht="13.5">
      <c r="A457" s="12" t="s">
        <v>86</v>
      </c>
      <c r="B457" s="71" t="s">
        <v>66</v>
      </c>
      <c r="C457" s="24">
        <v>25000</v>
      </c>
      <c r="D457" s="456"/>
      <c r="E457" s="463"/>
      <c r="F457" s="453"/>
    </row>
    <row r="458" spans="1:7" s="5" customFormat="1" ht="13.5">
      <c r="A458" s="11" t="s">
        <v>107</v>
      </c>
      <c r="B458" s="249" t="s">
        <v>108</v>
      </c>
      <c r="C458" s="31">
        <f>SUM(C459)</f>
        <v>25000</v>
      </c>
      <c r="D458" s="456"/>
      <c r="E458" s="463"/>
      <c r="F458" s="453"/>
      <c r="G458" s="390"/>
    </row>
    <row r="459" spans="1:7" s="5" customFormat="1" ht="13.5">
      <c r="A459" s="12" t="s">
        <v>47</v>
      </c>
      <c r="B459" s="23" t="s">
        <v>48</v>
      </c>
      <c r="C459" s="24">
        <v>25000</v>
      </c>
      <c r="D459" s="456"/>
      <c r="E459" s="464"/>
      <c r="F459" s="453"/>
      <c r="G459" s="390"/>
    </row>
    <row r="460" spans="1:7" s="5" customFormat="1" ht="13.5">
      <c r="A460" s="249" t="s">
        <v>124</v>
      </c>
      <c r="B460" s="31" t="s">
        <v>123</v>
      </c>
      <c r="C460" s="31">
        <f>SUM(C461)</f>
        <v>6500</v>
      </c>
      <c r="D460" s="456"/>
      <c r="E460" s="464"/>
      <c r="F460" s="453"/>
      <c r="G460" s="390"/>
    </row>
    <row r="461" spans="1:7" s="5" customFormat="1" ht="13.5">
      <c r="A461" s="71" t="s">
        <v>93</v>
      </c>
      <c r="B461" s="24" t="s">
        <v>72</v>
      </c>
      <c r="C461" s="24">
        <v>6500</v>
      </c>
      <c r="D461" s="65"/>
      <c r="E461" s="463"/>
      <c r="F461" s="453"/>
      <c r="G461" s="390"/>
    </row>
    <row r="462" spans="1:7" s="5" customFormat="1" ht="13.5">
      <c r="A462" s="249" t="s">
        <v>150</v>
      </c>
      <c r="B462" s="25" t="s">
        <v>125</v>
      </c>
      <c r="C462" s="31">
        <f>SUM(C463:C464)</f>
        <v>23500</v>
      </c>
      <c r="D462" s="383"/>
      <c r="E462" s="465"/>
      <c r="F462" s="453"/>
      <c r="G462" s="390"/>
    </row>
    <row r="463" spans="1:7" s="5" customFormat="1" ht="13.5">
      <c r="A463" s="71" t="s">
        <v>152</v>
      </c>
      <c r="B463" s="24" t="s">
        <v>70</v>
      </c>
      <c r="C463" s="24">
        <v>12500</v>
      </c>
      <c r="E463" s="454"/>
      <c r="F463" s="453"/>
      <c r="G463" s="390"/>
    </row>
    <row r="464" spans="1:7" s="5" customFormat="1" ht="13.5">
      <c r="A464" s="71" t="s">
        <v>154</v>
      </c>
      <c r="B464" s="23" t="s">
        <v>125</v>
      </c>
      <c r="C464" s="24">
        <v>11000</v>
      </c>
      <c r="E464" s="454"/>
      <c r="F464" s="453"/>
      <c r="G464" s="390"/>
    </row>
    <row r="465" spans="1:7" s="5" customFormat="1" ht="14.25" thickBot="1">
      <c r="A465" s="71"/>
      <c r="B465" s="24"/>
      <c r="C465" s="23"/>
      <c r="D465" s="383"/>
      <c r="E465" s="465"/>
      <c r="F465" s="453"/>
      <c r="G465" s="3"/>
    </row>
    <row r="466" spans="1:7" ht="14.25" thickBot="1">
      <c r="A466" s="994" t="s">
        <v>3</v>
      </c>
      <c r="B466" s="995"/>
      <c r="C466" s="603">
        <f>C467+C469+C471+C473</f>
        <v>2238280</v>
      </c>
      <c r="D466" s="457"/>
      <c r="E466" s="457"/>
      <c r="G466" s="332"/>
    </row>
    <row r="467" spans="1:7" s="332" customFormat="1" ht="13.5">
      <c r="A467" s="249" t="s">
        <v>110</v>
      </c>
      <c r="B467" s="281" t="s">
        <v>111</v>
      </c>
      <c r="C467" s="32">
        <f>SUM(C468:C468)</f>
        <v>18000</v>
      </c>
      <c r="D467" s="359"/>
      <c r="E467" s="359"/>
      <c r="F467" s="386"/>
      <c r="G467" s="344"/>
    </row>
    <row r="468" spans="1:8" s="71" customFormat="1" ht="13.5" customHeight="1">
      <c r="A468" s="71" t="s">
        <v>52</v>
      </c>
      <c r="B468" s="24" t="s">
        <v>15</v>
      </c>
      <c r="C468" s="24">
        <v>18000</v>
      </c>
      <c r="D468" s="339"/>
      <c r="E468" s="465"/>
      <c r="F468" s="453"/>
      <c r="G468" s="344"/>
      <c r="H468" s="24"/>
    </row>
    <row r="469" spans="1:8" s="71" customFormat="1" ht="13.5" customHeight="1">
      <c r="A469" s="11" t="s">
        <v>120</v>
      </c>
      <c r="B469" s="31" t="s">
        <v>121</v>
      </c>
      <c r="C469" s="31">
        <f>SUM(C470)</f>
        <v>5100</v>
      </c>
      <c r="D469" s="339"/>
      <c r="E469" s="465"/>
      <c r="F469" s="453"/>
      <c r="G469" s="344"/>
      <c r="H469" s="24"/>
    </row>
    <row r="470" spans="1:8" s="71" customFormat="1" ht="13.5" customHeight="1">
      <c r="A470" s="12" t="s">
        <v>136</v>
      </c>
      <c r="B470" s="12" t="s">
        <v>71</v>
      </c>
      <c r="C470" s="24">
        <v>5100</v>
      </c>
      <c r="D470" s="339"/>
      <c r="E470" s="465"/>
      <c r="F470" s="453"/>
      <c r="G470" s="344"/>
      <c r="H470" s="24"/>
    </row>
    <row r="471" spans="1:8" s="71" customFormat="1" ht="13.5" customHeight="1">
      <c r="A471" s="249" t="s">
        <v>112</v>
      </c>
      <c r="B471" s="31" t="s">
        <v>156</v>
      </c>
      <c r="C471" s="31">
        <f>SUM(C472:C472)</f>
        <v>180000</v>
      </c>
      <c r="D471" s="339"/>
      <c r="E471" s="465"/>
      <c r="F471" s="453"/>
      <c r="G471" s="344"/>
      <c r="H471" s="24"/>
    </row>
    <row r="472" spans="1:8" s="71" customFormat="1" ht="13.5" customHeight="1">
      <c r="A472" s="71" t="s">
        <v>155</v>
      </c>
      <c r="B472" s="12" t="s">
        <v>87</v>
      </c>
      <c r="C472" s="24">
        <v>180000</v>
      </c>
      <c r="D472" s="339"/>
      <c r="F472" s="465"/>
      <c r="G472" s="453"/>
      <c r="H472" s="344"/>
    </row>
    <row r="473" spans="1:8" s="71" customFormat="1" ht="13.5" customHeight="1">
      <c r="A473" s="249" t="s">
        <v>115</v>
      </c>
      <c r="B473" s="31" t="s">
        <v>8</v>
      </c>
      <c r="C473" s="31">
        <f>SUM(C474:C478)</f>
        <v>2035180</v>
      </c>
      <c r="D473" s="339"/>
      <c r="F473" s="465"/>
      <c r="G473" s="453"/>
      <c r="H473" s="344"/>
    </row>
    <row r="474" spans="1:8" s="71" customFormat="1" ht="13.5" customHeight="1">
      <c r="A474" s="71" t="s">
        <v>92</v>
      </c>
      <c r="B474" s="24" t="s">
        <v>8</v>
      </c>
      <c r="C474" s="24">
        <v>1734380</v>
      </c>
      <c r="D474" s="455"/>
      <c r="F474" s="340"/>
      <c r="G474" s="346"/>
      <c r="H474" s="346"/>
    </row>
    <row r="475" spans="1:10" s="11" customFormat="1" ht="13.5" customHeight="1">
      <c r="A475" s="71" t="s">
        <v>94</v>
      </c>
      <c r="B475" s="24" t="s">
        <v>50</v>
      </c>
      <c r="C475" s="24">
        <v>50000</v>
      </c>
      <c r="D475" s="339"/>
      <c r="E475" s="454"/>
      <c r="F475" s="453"/>
      <c r="G475" s="346"/>
      <c r="H475" s="71"/>
      <c r="I475" s="71"/>
      <c r="J475" s="71"/>
    </row>
    <row r="476" spans="1:10" s="11" customFormat="1" ht="13.5" customHeight="1">
      <c r="A476" s="71" t="s">
        <v>225</v>
      </c>
      <c r="B476" s="42" t="s">
        <v>224</v>
      </c>
      <c r="C476" s="24">
        <v>35000</v>
      </c>
      <c r="D476" s="339"/>
      <c r="E476" s="454"/>
      <c r="F476" s="453"/>
      <c r="G476" s="336"/>
      <c r="H476" s="71"/>
      <c r="I476" s="71"/>
      <c r="J476" s="71"/>
    </row>
    <row r="477" spans="1:7" s="71" customFormat="1" ht="13.5" customHeight="1">
      <c r="A477" s="71" t="s">
        <v>223</v>
      </c>
      <c r="B477" s="12" t="s">
        <v>222</v>
      </c>
      <c r="C477" s="24">
        <v>190000</v>
      </c>
      <c r="G477" s="344"/>
    </row>
    <row r="478" spans="1:10" s="71" customFormat="1" ht="13.5" customHeight="1">
      <c r="A478" s="71" t="s">
        <v>90</v>
      </c>
      <c r="B478" s="24" t="s">
        <v>7</v>
      </c>
      <c r="C478" s="24">
        <v>25800</v>
      </c>
      <c r="D478" s="339"/>
      <c r="E478" s="465"/>
      <c r="F478" s="452"/>
      <c r="G478" s="346"/>
      <c r="H478" s="12"/>
      <c r="J478" s="23"/>
    </row>
    <row r="479" spans="2:7" s="71" customFormat="1" ht="13.5" customHeight="1" thickBot="1">
      <c r="B479" s="24"/>
      <c r="C479" s="23"/>
      <c r="D479" s="455"/>
      <c r="E479" s="336"/>
      <c r="F479" s="453"/>
      <c r="G479" s="3"/>
    </row>
    <row r="480" spans="1:7" ht="14.25" thickBot="1">
      <c r="A480" s="996" t="s">
        <v>4</v>
      </c>
      <c r="B480" s="997"/>
      <c r="C480" s="660">
        <f>C481</f>
        <v>25000</v>
      </c>
      <c r="G480" s="332"/>
    </row>
    <row r="481" spans="1:7" s="332" customFormat="1" ht="13.5">
      <c r="A481" s="249" t="s">
        <v>165</v>
      </c>
      <c r="B481" s="25" t="s">
        <v>134</v>
      </c>
      <c r="C481" s="32">
        <f>SUM(C482)</f>
        <v>25000</v>
      </c>
      <c r="D481" s="331"/>
      <c r="E481" s="331"/>
      <c r="F481" s="386"/>
      <c r="G481" s="390"/>
    </row>
    <row r="482" spans="1:7" s="5" customFormat="1" ht="13.5">
      <c r="A482" s="71" t="s">
        <v>166</v>
      </c>
      <c r="B482" s="23" t="s">
        <v>51</v>
      </c>
      <c r="C482" s="24">
        <v>25000</v>
      </c>
      <c r="D482" s="335"/>
      <c r="E482" s="335"/>
      <c r="F482" s="453"/>
      <c r="G482" s="3"/>
    </row>
    <row r="483" spans="1:7" s="142" customFormat="1" ht="13.5">
      <c r="A483" s="12"/>
      <c r="B483" s="24"/>
      <c r="C483" s="24"/>
      <c r="D483" s="31"/>
      <c r="E483" s="31"/>
      <c r="F483" s="452"/>
      <c r="G483" s="117"/>
    </row>
    <row r="484" spans="1:7" s="142" customFormat="1" ht="14.25" thickBot="1">
      <c r="A484" s="11"/>
      <c r="B484" s="31"/>
      <c r="C484" s="31"/>
      <c r="D484" s="31"/>
      <c r="E484" s="31"/>
      <c r="F484" s="452"/>
      <c r="G484" s="117"/>
    </row>
    <row r="485" spans="1:9" ht="12.75">
      <c r="A485" s="583" t="s">
        <v>615</v>
      </c>
      <c r="B485" s="584"/>
      <c r="C485" s="625"/>
      <c r="D485" s="627" t="s">
        <v>6</v>
      </c>
      <c r="E485" s="757" t="s">
        <v>1036</v>
      </c>
      <c r="F485" s="447"/>
      <c r="G485" s="1"/>
      <c r="H485" s="1"/>
      <c r="I485" s="1"/>
    </row>
    <row r="486" spans="1:9" ht="13.5" thickBot="1">
      <c r="A486" s="587"/>
      <c r="B486" s="588"/>
      <c r="C486" s="628"/>
      <c r="D486" s="630"/>
      <c r="E486" s="653"/>
      <c r="F486" s="447"/>
      <c r="G486" s="1"/>
      <c r="H486" s="1"/>
      <c r="I486" s="1"/>
    </row>
    <row r="487" spans="1:9" ht="12.75">
      <c r="A487" s="979" t="s">
        <v>825</v>
      </c>
      <c r="B487" s="980"/>
      <c r="C487" s="980"/>
      <c r="D487" s="980"/>
      <c r="E487" s="981"/>
      <c r="F487" s="452"/>
      <c r="G487" s="142"/>
      <c r="H487" s="142"/>
      <c r="I487" s="142"/>
    </row>
    <row r="488" spans="1:9" ht="12.75">
      <c r="A488" s="982"/>
      <c r="B488" s="983"/>
      <c r="C488" s="983"/>
      <c r="D488" s="983"/>
      <c r="E488" s="984"/>
      <c r="F488" s="452"/>
      <c r="G488" s="142"/>
      <c r="H488" s="142"/>
      <c r="I488" s="142"/>
    </row>
    <row r="489" spans="1:9" ht="12.75">
      <c r="A489" s="982"/>
      <c r="B489" s="983"/>
      <c r="C489" s="983"/>
      <c r="D489" s="983"/>
      <c r="E489" s="984"/>
      <c r="F489" s="452"/>
      <c r="G489" s="142"/>
      <c r="H489" s="142"/>
      <c r="I489" s="142"/>
    </row>
    <row r="490" spans="1:9" ht="12.75">
      <c r="A490" s="982"/>
      <c r="B490" s="983"/>
      <c r="C490" s="983"/>
      <c r="D490" s="983"/>
      <c r="E490" s="984"/>
      <c r="F490" s="452"/>
      <c r="G490" s="142"/>
      <c r="H490" s="142"/>
      <c r="I490" s="142"/>
    </row>
    <row r="491" spans="1:9" ht="12.75">
      <c r="A491" s="982"/>
      <c r="B491" s="983"/>
      <c r="C491" s="983"/>
      <c r="D491" s="983"/>
      <c r="E491" s="984"/>
      <c r="F491" s="452"/>
      <c r="G491" s="142"/>
      <c r="H491" s="142"/>
      <c r="I491" s="142"/>
    </row>
    <row r="492" spans="1:9" ht="12.75">
      <c r="A492" s="982"/>
      <c r="B492" s="983"/>
      <c r="C492" s="983"/>
      <c r="D492" s="983"/>
      <c r="E492" s="984"/>
      <c r="F492" s="452"/>
      <c r="G492" s="142"/>
      <c r="H492" s="142"/>
      <c r="I492" s="142"/>
    </row>
    <row r="493" spans="1:9" ht="12.75">
      <c r="A493" s="982"/>
      <c r="B493" s="983"/>
      <c r="C493" s="983"/>
      <c r="D493" s="983"/>
      <c r="E493" s="984"/>
      <c r="F493" s="452"/>
      <c r="G493" s="142"/>
      <c r="H493" s="142"/>
      <c r="I493" s="142"/>
    </row>
    <row r="494" spans="1:9" ht="12.75">
      <c r="A494" s="982"/>
      <c r="B494" s="983"/>
      <c r="C494" s="983"/>
      <c r="D494" s="983"/>
      <c r="E494" s="984"/>
      <c r="F494" s="452"/>
      <c r="G494" s="142"/>
      <c r="H494" s="142"/>
      <c r="I494" s="142"/>
    </row>
    <row r="495" spans="1:9" ht="12.75">
      <c r="A495" s="982"/>
      <c r="B495" s="983"/>
      <c r="C495" s="983"/>
      <c r="D495" s="983"/>
      <c r="E495" s="984"/>
      <c r="F495" s="452"/>
      <c r="G495" s="142"/>
      <c r="H495" s="142"/>
      <c r="I495" s="142"/>
    </row>
    <row r="496" spans="1:9" ht="12.75">
      <c r="A496" s="982"/>
      <c r="B496" s="983"/>
      <c r="C496" s="983"/>
      <c r="D496" s="983"/>
      <c r="E496" s="984"/>
      <c r="F496" s="452"/>
      <c r="G496" s="142"/>
      <c r="H496" s="142"/>
      <c r="I496" s="142"/>
    </row>
    <row r="497" spans="1:9" ht="12.75">
      <c r="A497" s="982"/>
      <c r="B497" s="983"/>
      <c r="C497" s="983"/>
      <c r="D497" s="983"/>
      <c r="E497" s="984"/>
      <c r="F497" s="452"/>
      <c r="G497" s="142"/>
      <c r="H497" s="142"/>
      <c r="I497" s="142"/>
    </row>
    <row r="498" spans="1:9" ht="12.75">
      <c r="A498" s="982"/>
      <c r="B498" s="983"/>
      <c r="C498" s="983"/>
      <c r="D498" s="983"/>
      <c r="E498" s="984"/>
      <c r="F498" s="452"/>
      <c r="G498" s="142"/>
      <c r="H498" s="142"/>
      <c r="I498" s="142"/>
    </row>
    <row r="499" spans="1:9" ht="12.75">
      <c r="A499" s="982"/>
      <c r="B499" s="983"/>
      <c r="C499" s="983"/>
      <c r="D499" s="983"/>
      <c r="E499" s="984"/>
      <c r="F499" s="452"/>
      <c r="G499" s="142"/>
      <c r="H499" s="142"/>
      <c r="I499" s="142"/>
    </row>
    <row r="500" spans="1:9" ht="12.75">
      <c r="A500" s="982"/>
      <c r="B500" s="983"/>
      <c r="C500" s="983"/>
      <c r="D500" s="983"/>
      <c r="E500" s="984"/>
      <c r="F500" s="452"/>
      <c r="G500" s="142"/>
      <c r="H500" s="142"/>
      <c r="I500" s="142"/>
    </row>
    <row r="501" spans="1:9" ht="12.75">
      <c r="A501" s="982"/>
      <c r="B501" s="983"/>
      <c r="C501" s="983"/>
      <c r="D501" s="983"/>
      <c r="E501" s="984"/>
      <c r="F501" s="452"/>
      <c r="G501" s="142"/>
      <c r="H501" s="142"/>
      <c r="I501" s="142"/>
    </row>
    <row r="502" spans="1:9" ht="12.75">
      <c r="A502" s="982"/>
      <c r="B502" s="983"/>
      <c r="C502" s="983"/>
      <c r="D502" s="983"/>
      <c r="E502" s="984"/>
      <c r="F502" s="452"/>
      <c r="G502" s="142"/>
      <c r="H502" s="142"/>
      <c r="I502" s="142"/>
    </row>
    <row r="503" spans="1:9" ht="12.75">
      <c r="A503" s="982"/>
      <c r="B503" s="983"/>
      <c r="C503" s="983"/>
      <c r="D503" s="983"/>
      <c r="E503" s="984"/>
      <c r="F503" s="452"/>
      <c r="G503" s="142"/>
      <c r="H503" s="142"/>
      <c r="I503" s="142"/>
    </row>
    <row r="504" spans="1:9" ht="13.5" thickBot="1">
      <c r="A504" s="982"/>
      <c r="B504" s="983"/>
      <c r="C504" s="983"/>
      <c r="D504" s="983"/>
      <c r="E504" s="984"/>
      <c r="F504" s="452"/>
      <c r="G504" s="142"/>
      <c r="H504" s="142"/>
      <c r="I504" s="142"/>
    </row>
    <row r="505" spans="1:9" ht="13.5">
      <c r="A505" s="116" t="s">
        <v>809</v>
      </c>
      <c r="B505" s="167"/>
      <c r="C505" s="400"/>
      <c r="D505" s="400"/>
      <c r="E505" s="402"/>
      <c r="F505" s="1"/>
      <c r="G505" s="12"/>
      <c r="H505" s="1"/>
      <c r="I505" s="1"/>
    </row>
    <row r="506" spans="1:9" ht="13.5">
      <c r="A506" s="40" t="s">
        <v>586</v>
      </c>
      <c r="B506" s="12"/>
      <c r="C506" s="24"/>
      <c r="D506" s="24"/>
      <c r="E506" s="303"/>
      <c r="F506" s="447"/>
      <c r="G506" s="1"/>
      <c r="H506" s="1"/>
      <c r="I506" s="1"/>
    </row>
    <row r="507" spans="1:9" ht="13.5">
      <c r="A507" s="40" t="s">
        <v>587</v>
      </c>
      <c r="B507" s="11"/>
      <c r="C507" s="31"/>
      <c r="D507" s="31"/>
      <c r="E507" s="144"/>
      <c r="F507" s="447"/>
      <c r="G507" s="14"/>
      <c r="H507" s="1"/>
      <c r="I507" s="1"/>
    </row>
    <row r="508" spans="1:9" ht="14.25" thickBot="1">
      <c r="A508" s="75" t="s">
        <v>13</v>
      </c>
      <c r="B508" s="445"/>
      <c r="C508" s="47"/>
      <c r="D508" s="47"/>
      <c r="E508" s="154"/>
      <c r="F508" s="447"/>
      <c r="G508" s="14"/>
      <c r="H508" s="1"/>
      <c r="I508" s="1"/>
    </row>
    <row r="509" spans="1:9" ht="14.25" thickBot="1">
      <c r="A509" s="697" t="s">
        <v>14</v>
      </c>
      <c r="B509" s="731"/>
      <c r="C509" s="699"/>
      <c r="D509" s="701"/>
      <c r="E509" s="707">
        <f>+C511+C538+C557+C562</f>
        <v>6570140</v>
      </c>
      <c r="F509" s="447"/>
      <c r="G509" s="1"/>
      <c r="H509" s="14"/>
      <c r="I509" s="1"/>
    </row>
    <row r="510" spans="1:9" ht="14.25" thickBot="1">
      <c r="A510" s="11"/>
      <c r="B510" s="12"/>
      <c r="C510" s="31"/>
      <c r="D510" s="14"/>
      <c r="E510" s="1"/>
      <c r="F510" s="351"/>
      <c r="G510" s="1"/>
      <c r="H510" s="1"/>
      <c r="I510" s="1"/>
    </row>
    <row r="511" spans="1:6" ht="14.25" thickBot="1">
      <c r="A511" s="992" t="s">
        <v>2</v>
      </c>
      <c r="B511" s="993"/>
      <c r="C511" s="602">
        <f>C512+C519+C514+C516+C522+C532+C529</f>
        <v>1727050</v>
      </c>
      <c r="D511" s="450"/>
      <c r="F511" s="803"/>
    </row>
    <row r="512" spans="1:9" ht="13.5">
      <c r="A512" s="11" t="s">
        <v>103</v>
      </c>
      <c r="B512" s="281" t="s">
        <v>104</v>
      </c>
      <c r="C512" s="32">
        <f>SUM(C513)</f>
        <v>140000</v>
      </c>
      <c r="D512" s="331"/>
      <c r="E512" s="331"/>
      <c r="F512" s="386"/>
      <c r="G512" s="332"/>
      <c r="H512" s="332"/>
      <c r="I512" s="332"/>
    </row>
    <row r="513" spans="1:9" ht="13.5">
      <c r="A513" s="12" t="s">
        <v>46</v>
      </c>
      <c r="B513" s="12" t="s">
        <v>45</v>
      </c>
      <c r="C513" s="24">
        <v>140000</v>
      </c>
      <c r="D513" s="383"/>
      <c r="E513" s="336"/>
      <c r="F513" s="452"/>
      <c r="G513" s="374"/>
      <c r="H513" s="12"/>
      <c r="I513" s="12"/>
    </row>
    <row r="514" spans="1:9" ht="13.5">
      <c r="A514" s="11" t="s">
        <v>105</v>
      </c>
      <c r="B514" s="11" t="s">
        <v>106</v>
      </c>
      <c r="C514" s="31">
        <f>SUM(C515)</f>
        <v>177840</v>
      </c>
      <c r="D514" s="383"/>
      <c r="E514" s="12"/>
      <c r="F514" s="415"/>
      <c r="G514" s="374"/>
      <c r="H514" s="12"/>
      <c r="I514" s="12"/>
    </row>
    <row r="515" spans="1:9" ht="13.5">
      <c r="A515" s="12" t="s">
        <v>86</v>
      </c>
      <c r="B515" s="71" t="s">
        <v>66</v>
      </c>
      <c r="C515" s="24">
        <v>177840</v>
      </c>
      <c r="D515" s="459"/>
      <c r="E515" s="336"/>
      <c r="F515" s="453"/>
      <c r="G515" s="5"/>
      <c r="H515" s="5"/>
      <c r="I515" s="5"/>
    </row>
    <row r="516" spans="1:9" ht="13.5">
      <c r="A516" s="11" t="s">
        <v>107</v>
      </c>
      <c r="B516" s="249" t="s">
        <v>108</v>
      </c>
      <c r="C516" s="31">
        <f>SUM(C517:C518)</f>
        <v>186840</v>
      </c>
      <c r="D516" s="456"/>
      <c r="E516" s="461"/>
      <c r="F516" s="453"/>
      <c r="G516" s="5"/>
      <c r="H516" s="5"/>
      <c r="I516" s="5"/>
    </row>
    <row r="517" spans="1:9" ht="13.5">
      <c r="A517" s="12" t="s">
        <v>47</v>
      </c>
      <c r="B517" s="23" t="s">
        <v>48</v>
      </c>
      <c r="C517" s="24">
        <v>62240</v>
      </c>
      <c r="D517" s="456"/>
      <c r="E517" s="461"/>
      <c r="F517" s="453"/>
      <c r="G517" s="390"/>
      <c r="H517" s="5"/>
      <c r="I517" s="5"/>
    </row>
    <row r="518" spans="1:9" ht="13.5">
      <c r="A518" s="12" t="s">
        <v>453</v>
      </c>
      <c r="B518" s="42" t="s">
        <v>454</v>
      </c>
      <c r="C518" s="24">
        <v>124600</v>
      </c>
      <c r="D518" s="456"/>
      <c r="E518" s="461"/>
      <c r="F518" s="453"/>
      <c r="G518" s="390"/>
      <c r="H518" s="5"/>
      <c r="I518" s="5"/>
    </row>
    <row r="519" spans="1:9" ht="13.5">
      <c r="A519" s="11" t="s">
        <v>196</v>
      </c>
      <c r="B519" s="25" t="s">
        <v>195</v>
      </c>
      <c r="C519" s="31">
        <f>SUM(C520:C521)</f>
        <v>24240</v>
      </c>
      <c r="D519" s="77"/>
      <c r="E519" s="25"/>
      <c r="F519" s="100"/>
      <c r="G519" s="24"/>
      <c r="H519" s="12"/>
      <c r="I519" s="265"/>
    </row>
    <row r="520" spans="1:9" ht="13.5">
      <c r="A520" s="12" t="s">
        <v>194</v>
      </c>
      <c r="B520" s="71" t="s">
        <v>216</v>
      </c>
      <c r="C520" s="24">
        <v>12240</v>
      </c>
      <c r="D520" s="22"/>
      <c r="E520" s="25"/>
      <c r="F520" s="127"/>
      <c r="G520" s="127"/>
      <c r="H520" s="127"/>
      <c r="I520" s="265"/>
    </row>
    <row r="521" spans="1:9" ht="13.5">
      <c r="A521" s="12" t="s">
        <v>215</v>
      </c>
      <c r="B521" s="71" t="s">
        <v>214</v>
      </c>
      <c r="C521" s="24">
        <v>12000</v>
      </c>
      <c r="D521" s="22"/>
      <c r="E521" s="25"/>
      <c r="F521" s="127"/>
      <c r="G521" s="127"/>
      <c r="H521" s="127"/>
      <c r="I521" s="265"/>
    </row>
    <row r="522" spans="1:9" ht="13.5">
      <c r="A522" s="249" t="s">
        <v>119</v>
      </c>
      <c r="B522" s="25" t="s">
        <v>109</v>
      </c>
      <c r="C522" s="31">
        <f>SUM(C523:C528)</f>
        <v>218700</v>
      </c>
      <c r="D522" s="456"/>
      <c r="E522" s="461"/>
      <c r="F522" s="453"/>
      <c r="G522" s="390"/>
      <c r="H522" s="5"/>
      <c r="I522" s="5"/>
    </row>
    <row r="523" spans="1:9" ht="13.5">
      <c r="A523" s="71" t="s">
        <v>149</v>
      </c>
      <c r="B523" s="24" t="s">
        <v>338</v>
      </c>
      <c r="C523" s="24">
        <v>67800</v>
      </c>
      <c r="D523" s="456"/>
      <c r="E523" s="461"/>
      <c r="F523" s="453"/>
      <c r="G523" s="390"/>
      <c r="H523" s="5"/>
      <c r="I523" s="5"/>
    </row>
    <row r="524" spans="1:9" ht="13.5">
      <c r="A524" s="71" t="s">
        <v>545</v>
      </c>
      <c r="B524" s="42" t="s">
        <v>653</v>
      </c>
      <c r="C524" s="24">
        <v>41100</v>
      </c>
      <c r="D524" s="5"/>
      <c r="E524" s="336"/>
      <c r="F524" s="453"/>
      <c r="G524" s="390"/>
      <c r="H524" s="5"/>
      <c r="I524" s="5"/>
    </row>
    <row r="525" spans="1:9" ht="13.5">
      <c r="A525" s="71" t="s">
        <v>641</v>
      </c>
      <c r="B525" s="42" t="s">
        <v>640</v>
      </c>
      <c r="C525" s="24">
        <v>16800</v>
      </c>
      <c r="D525" s="5"/>
      <c r="E525" s="336"/>
      <c r="F525" s="453"/>
      <c r="G525" s="390"/>
      <c r="H525" s="5"/>
      <c r="I525" s="5"/>
    </row>
    <row r="526" spans="1:5" s="65" customFormat="1" ht="13.5">
      <c r="A526" s="71" t="s">
        <v>758</v>
      </c>
      <c r="B526" s="24" t="s">
        <v>753</v>
      </c>
      <c r="C526" s="24">
        <v>23000</v>
      </c>
      <c r="D526" s="77"/>
      <c r="E526" s="25"/>
    </row>
    <row r="527" spans="1:5" s="65" customFormat="1" ht="13.5">
      <c r="A527" s="71" t="s">
        <v>762</v>
      </c>
      <c r="B527" s="24" t="s">
        <v>763</v>
      </c>
      <c r="C527" s="24">
        <v>55000</v>
      </c>
      <c r="D527" s="77"/>
      <c r="E527" s="25"/>
    </row>
    <row r="528" spans="1:5" s="65" customFormat="1" ht="13.5">
      <c r="A528" s="71" t="s">
        <v>754</v>
      </c>
      <c r="B528" s="24" t="s">
        <v>755</v>
      </c>
      <c r="C528" s="24">
        <v>15000</v>
      </c>
      <c r="D528" s="77"/>
      <c r="E528" s="25"/>
    </row>
    <row r="529" spans="1:8" s="71" customFormat="1" ht="13.5" customHeight="1">
      <c r="A529" s="249" t="s">
        <v>124</v>
      </c>
      <c r="B529" s="25" t="s">
        <v>123</v>
      </c>
      <c r="C529" s="31">
        <f>SUM(C530:C531)</f>
        <v>102550</v>
      </c>
      <c r="D529" s="21"/>
      <c r="E529" s="21"/>
      <c r="F529" s="5"/>
      <c r="G529" s="333"/>
      <c r="H529" s="119"/>
    </row>
    <row r="530" spans="1:5" s="65" customFormat="1" ht="13.5">
      <c r="A530" s="12" t="s">
        <v>231</v>
      </c>
      <c r="B530" s="42" t="s">
        <v>230</v>
      </c>
      <c r="C530" s="24">
        <v>40800</v>
      </c>
      <c r="D530" s="56"/>
      <c r="E530" s="56"/>
    </row>
    <row r="531" spans="1:8" s="71" customFormat="1" ht="13.5" customHeight="1">
      <c r="A531" s="71" t="s">
        <v>93</v>
      </c>
      <c r="B531" s="23" t="s">
        <v>72</v>
      </c>
      <c r="C531" s="24">
        <v>61750</v>
      </c>
      <c r="D531" s="21"/>
      <c r="E531" s="21"/>
      <c r="F531" s="5"/>
      <c r="G531" s="333"/>
      <c r="H531" s="119"/>
    </row>
    <row r="532" spans="1:9" ht="13.5">
      <c r="A532" s="249" t="s">
        <v>150</v>
      </c>
      <c r="B532" s="25" t="s">
        <v>125</v>
      </c>
      <c r="C532" s="31">
        <f>SUM(C533:C536)</f>
        <v>876880</v>
      </c>
      <c r="D532" s="335"/>
      <c r="E532" s="335"/>
      <c r="F532" s="453"/>
      <c r="G532" s="390"/>
      <c r="H532" s="5"/>
      <c r="I532" s="5"/>
    </row>
    <row r="533" spans="1:7" s="8" customFormat="1" ht="13.5" customHeight="1">
      <c r="A533" s="12" t="s">
        <v>151</v>
      </c>
      <c r="B533" s="42" t="s">
        <v>65</v>
      </c>
      <c r="C533" s="24">
        <v>27760</v>
      </c>
      <c r="F533" s="100"/>
      <c r="G533" s="9"/>
    </row>
    <row r="534" spans="1:9" ht="13.5">
      <c r="A534" s="71" t="s">
        <v>152</v>
      </c>
      <c r="B534" s="24" t="s">
        <v>70</v>
      </c>
      <c r="C534" s="24">
        <v>17620</v>
      </c>
      <c r="D534" s="336"/>
      <c r="E534" s="336"/>
      <c r="F534" s="453"/>
      <c r="G534" s="390"/>
      <c r="H534" s="5"/>
      <c r="I534" s="5"/>
    </row>
    <row r="535" spans="1:9" ht="13.5">
      <c r="A535" s="71" t="s">
        <v>154</v>
      </c>
      <c r="B535" s="23" t="s">
        <v>125</v>
      </c>
      <c r="C535" s="24">
        <v>51500</v>
      </c>
      <c r="D535" s="336"/>
      <c r="E535" s="336"/>
      <c r="F535" s="453"/>
      <c r="G535" s="390"/>
      <c r="H535" s="5"/>
      <c r="I535" s="5"/>
    </row>
    <row r="536" spans="1:9" ht="13.5">
      <c r="A536" s="71" t="s">
        <v>643</v>
      </c>
      <c r="B536" s="42" t="s">
        <v>642</v>
      </c>
      <c r="C536" s="24">
        <v>780000</v>
      </c>
      <c r="D536" s="336"/>
      <c r="E536" s="336"/>
      <c r="F536" s="453"/>
      <c r="G536" s="390"/>
      <c r="H536" s="5"/>
      <c r="I536" s="5"/>
    </row>
    <row r="537" spans="1:9" ht="14.25" thickBot="1">
      <c r="A537" s="71"/>
      <c r="B537" s="24"/>
      <c r="C537" s="23"/>
      <c r="D537" s="335"/>
      <c r="E537" s="335"/>
      <c r="F537" s="453"/>
      <c r="G537" s="390"/>
      <c r="H537" s="5"/>
      <c r="I537" s="5"/>
    </row>
    <row r="538" spans="1:3" ht="14.25" thickBot="1">
      <c r="A538" s="994" t="s">
        <v>3</v>
      </c>
      <c r="B538" s="995"/>
      <c r="C538" s="603">
        <f>+C544+C541+C548+C550+C539</f>
        <v>4639790</v>
      </c>
    </row>
    <row r="539" spans="1:9" ht="13.5">
      <c r="A539" s="249" t="s">
        <v>110</v>
      </c>
      <c r="B539" s="281" t="s">
        <v>111</v>
      </c>
      <c r="C539" s="32">
        <f>SUM(C540:C540)</f>
        <v>314290</v>
      </c>
      <c r="D539" s="331"/>
      <c r="E539" s="331"/>
      <c r="F539" s="386"/>
      <c r="G539" s="332"/>
      <c r="H539" s="332"/>
      <c r="I539" s="332"/>
    </row>
    <row r="540" spans="1:9" ht="13.5">
      <c r="A540" s="71" t="s">
        <v>52</v>
      </c>
      <c r="B540" s="24" t="s">
        <v>15</v>
      </c>
      <c r="C540" s="24">
        <v>314290</v>
      </c>
      <c r="D540" s="71"/>
      <c r="E540" s="71"/>
      <c r="F540" s="339"/>
      <c r="G540" s="344"/>
      <c r="H540" s="24"/>
      <c r="I540" s="71"/>
    </row>
    <row r="541" spans="1:9" ht="13.5">
      <c r="A541" s="11" t="s">
        <v>120</v>
      </c>
      <c r="B541" s="31" t="s">
        <v>121</v>
      </c>
      <c r="C541" s="31">
        <f>SUM(C542:C543)</f>
        <v>69290</v>
      </c>
      <c r="D541" s="71"/>
      <c r="E541" s="335"/>
      <c r="F541" s="336"/>
      <c r="G541" s="344"/>
      <c r="H541" s="24"/>
      <c r="I541" s="71"/>
    </row>
    <row r="542" spans="1:9" ht="13.5" customHeight="1">
      <c r="A542" s="12" t="s">
        <v>245</v>
      </c>
      <c r="B542" s="12" t="s">
        <v>246</v>
      </c>
      <c r="C542" s="24">
        <v>59930</v>
      </c>
      <c r="D542" s="71"/>
      <c r="E542" s="335"/>
      <c r="F542" s="383"/>
      <c r="G542" s="344"/>
      <c r="H542" s="24"/>
      <c r="I542" s="71"/>
    </row>
    <row r="543" spans="1:9" ht="13.5" customHeight="1">
      <c r="A543" s="12" t="s">
        <v>136</v>
      </c>
      <c r="B543" s="12" t="s">
        <v>71</v>
      </c>
      <c r="C543" s="24">
        <v>9360</v>
      </c>
      <c r="D543" s="71"/>
      <c r="E543" s="335"/>
      <c r="F543" s="336"/>
      <c r="G543" s="344"/>
      <c r="H543" s="24"/>
      <c r="I543" s="71"/>
    </row>
    <row r="544" spans="1:9" ht="13.5">
      <c r="A544" s="249" t="s">
        <v>112</v>
      </c>
      <c r="B544" s="31" t="s">
        <v>156</v>
      </c>
      <c r="C544" s="31">
        <f>SUM(C545:C547)</f>
        <v>752150</v>
      </c>
      <c r="D544" s="71"/>
      <c r="E544" s="340"/>
      <c r="F544" s="339"/>
      <c r="G544" s="344"/>
      <c r="H544" s="24"/>
      <c r="I544" s="71"/>
    </row>
    <row r="545" spans="1:9" ht="13.5">
      <c r="A545" s="71" t="s">
        <v>138</v>
      </c>
      <c r="B545" s="58" t="s">
        <v>810</v>
      </c>
      <c r="C545" s="24">
        <v>7150</v>
      </c>
      <c r="D545" s="71"/>
      <c r="E545" s="335"/>
      <c r="F545" s="336"/>
      <c r="G545" s="344"/>
      <c r="H545" s="24"/>
      <c r="I545" s="71"/>
    </row>
    <row r="546" spans="1:9" ht="13.5">
      <c r="A546" s="71" t="s">
        <v>155</v>
      </c>
      <c r="B546" s="12" t="s">
        <v>87</v>
      </c>
      <c r="C546" s="24">
        <v>165000</v>
      </c>
      <c r="D546" s="71"/>
      <c r="E546" s="335"/>
      <c r="F546" s="336"/>
      <c r="G546" s="344"/>
      <c r="H546" s="24"/>
      <c r="I546" s="71"/>
    </row>
    <row r="547" spans="1:10" s="71" customFormat="1" ht="13.5" customHeight="1">
      <c r="A547" s="71" t="s">
        <v>813</v>
      </c>
      <c r="B547" s="42" t="s">
        <v>814</v>
      </c>
      <c r="C547" s="24">
        <v>580000</v>
      </c>
      <c r="D547" s="346"/>
      <c r="E547" s="407"/>
      <c r="F547" s="335"/>
      <c r="G547" s="346"/>
      <c r="H547" s="12"/>
      <c r="J547" s="23"/>
    </row>
    <row r="548" spans="1:9" ht="13.5">
      <c r="A548" s="11" t="s">
        <v>113</v>
      </c>
      <c r="B548" s="11" t="s">
        <v>114</v>
      </c>
      <c r="C548" s="31">
        <f>SUM(C549:C549)</f>
        <v>24000</v>
      </c>
      <c r="D548" s="71"/>
      <c r="E548" s="335"/>
      <c r="F548" s="336"/>
      <c r="G548" s="344"/>
      <c r="H548" s="24"/>
      <c r="I548" s="71"/>
    </row>
    <row r="549" spans="1:9" ht="13.5">
      <c r="A549" s="12" t="s">
        <v>163</v>
      </c>
      <c r="B549" s="12" t="s">
        <v>74</v>
      </c>
      <c r="C549" s="24">
        <v>24000</v>
      </c>
      <c r="D549" s="71"/>
      <c r="E549" s="335"/>
      <c r="F549" s="336"/>
      <c r="G549" s="344"/>
      <c r="H549" s="12"/>
      <c r="I549" s="71"/>
    </row>
    <row r="550" spans="1:9" ht="13.5">
      <c r="A550" s="249" t="s">
        <v>115</v>
      </c>
      <c r="B550" s="31" t="s">
        <v>8</v>
      </c>
      <c r="C550" s="31">
        <f>SUM(C551:C555)</f>
        <v>3480060</v>
      </c>
      <c r="D550" s="71"/>
      <c r="E550" s="335"/>
      <c r="F550" s="339"/>
      <c r="G550" s="344"/>
      <c r="H550" s="12"/>
      <c r="I550" s="71"/>
    </row>
    <row r="551" spans="1:9" ht="13.5">
      <c r="A551" s="71" t="s">
        <v>92</v>
      </c>
      <c r="B551" s="24" t="s">
        <v>8</v>
      </c>
      <c r="C551" s="24">
        <v>1087460</v>
      </c>
      <c r="D551" s="71"/>
      <c r="E551" s="71"/>
      <c r="F551" s="340"/>
      <c r="G551" s="462"/>
      <c r="H551" s="71"/>
      <c r="I551" s="71"/>
    </row>
    <row r="552" spans="1:9" ht="13.5">
      <c r="A552" s="71" t="s">
        <v>182</v>
      </c>
      <c r="B552" s="24" t="s">
        <v>50</v>
      </c>
      <c r="C552" s="24">
        <v>17020</v>
      </c>
      <c r="D552" s="11"/>
      <c r="E552" s="336"/>
      <c r="F552" s="336"/>
      <c r="G552" s="490"/>
      <c r="H552" s="71"/>
      <c r="I552" s="71"/>
    </row>
    <row r="553" spans="1:9" ht="13.5">
      <c r="A553" s="71" t="s">
        <v>225</v>
      </c>
      <c r="B553" s="42" t="s">
        <v>224</v>
      </c>
      <c r="C553" s="24">
        <v>191580</v>
      </c>
      <c r="D553" s="11"/>
      <c r="E553" s="336"/>
      <c r="F553" s="11"/>
      <c r="G553" s="335"/>
      <c r="H553" s="807"/>
      <c r="I553" s="71"/>
    </row>
    <row r="554" spans="1:9" ht="13.5">
      <c r="A554" s="71" t="s">
        <v>223</v>
      </c>
      <c r="B554" s="12" t="s">
        <v>222</v>
      </c>
      <c r="C554" s="24">
        <v>1597000</v>
      </c>
      <c r="D554" s="71"/>
      <c r="E554" s="336"/>
      <c r="F554" s="71"/>
      <c r="G554" s="490"/>
      <c r="H554" s="71"/>
      <c r="I554" s="71"/>
    </row>
    <row r="555" spans="1:9" ht="13.5">
      <c r="A555" s="71" t="s">
        <v>90</v>
      </c>
      <c r="B555" s="24" t="s">
        <v>7</v>
      </c>
      <c r="C555" s="24">
        <v>587000</v>
      </c>
      <c r="D555" s="71"/>
      <c r="E555" s="335"/>
      <c r="F555" s="339"/>
      <c r="G555" s="491"/>
      <c r="H555" s="12"/>
      <c r="I555" s="71"/>
    </row>
    <row r="556" spans="1:9" ht="14.25" thickBot="1">
      <c r="A556" s="71"/>
      <c r="B556" s="24"/>
      <c r="C556" s="23"/>
      <c r="D556" s="71"/>
      <c r="E556" s="336"/>
      <c r="F556" s="462"/>
      <c r="G556" s="490"/>
      <c r="H556" s="71"/>
      <c r="I556" s="71"/>
    </row>
    <row r="557" spans="1:7" ht="14.25" thickBot="1">
      <c r="A557" s="1007" t="s">
        <v>5</v>
      </c>
      <c r="B557" s="1008"/>
      <c r="C557" s="604">
        <f>C558</f>
        <v>69500</v>
      </c>
      <c r="G557" s="492"/>
    </row>
    <row r="558" spans="1:9" ht="13.5">
      <c r="A558" s="249" t="s">
        <v>128</v>
      </c>
      <c r="B558" s="281" t="s">
        <v>129</v>
      </c>
      <c r="C558" s="32">
        <f>SUM(C559:C560)</f>
        <v>69500</v>
      </c>
      <c r="D558" s="331"/>
      <c r="E558" s="331"/>
      <c r="F558" s="386"/>
      <c r="G558" s="493"/>
      <c r="H558" s="332"/>
      <c r="I558" s="332"/>
    </row>
    <row r="559" spans="1:7" ht="13.5">
      <c r="A559" s="71" t="s">
        <v>507</v>
      </c>
      <c r="B559" s="71" t="s">
        <v>508</v>
      </c>
      <c r="C559" s="24">
        <v>50000</v>
      </c>
      <c r="G559" s="492"/>
    </row>
    <row r="560" spans="1:7" ht="13.5">
      <c r="A560" s="71" t="s">
        <v>144</v>
      </c>
      <c r="B560" s="71" t="s">
        <v>12</v>
      </c>
      <c r="C560" s="24">
        <v>19500</v>
      </c>
      <c r="G560" s="492"/>
    </row>
    <row r="561" spans="1:7" ht="14.25" thickBot="1">
      <c r="A561" s="71"/>
      <c r="B561" s="71"/>
      <c r="C561" s="23"/>
      <c r="G561" s="492"/>
    </row>
    <row r="562" spans="1:7" ht="14.25" thickBot="1">
      <c r="A562" s="996" t="s">
        <v>4</v>
      </c>
      <c r="B562" s="997"/>
      <c r="C562" s="660">
        <f>C563+C568</f>
        <v>133800</v>
      </c>
      <c r="G562" s="492"/>
    </row>
    <row r="563" spans="1:9" ht="13.5">
      <c r="A563" s="249" t="s">
        <v>116</v>
      </c>
      <c r="B563" s="281" t="s">
        <v>117</v>
      </c>
      <c r="C563" s="32">
        <f>SUM(C564:C567)</f>
        <v>124200</v>
      </c>
      <c r="D563" s="331"/>
      <c r="E563" s="331"/>
      <c r="F563" s="386"/>
      <c r="G563" s="493"/>
      <c r="H563" s="332"/>
      <c r="I563" s="332"/>
    </row>
    <row r="564" spans="1:9" ht="13.5">
      <c r="A564" s="71" t="s">
        <v>91</v>
      </c>
      <c r="B564" s="71" t="s">
        <v>139</v>
      </c>
      <c r="C564" s="24">
        <v>19800</v>
      </c>
      <c r="D564" s="335"/>
      <c r="E564" s="335"/>
      <c r="F564" s="453"/>
      <c r="G564" s="494"/>
      <c r="H564" s="5"/>
      <c r="I564" s="5"/>
    </row>
    <row r="565" spans="1:9" ht="13.5">
      <c r="A565" s="71" t="s">
        <v>57</v>
      </c>
      <c r="B565" s="12" t="s">
        <v>58</v>
      </c>
      <c r="C565" s="209">
        <v>35400</v>
      </c>
      <c r="F565" s="447"/>
      <c r="G565" s="495"/>
      <c r="H565" s="1"/>
      <c r="I565" s="1"/>
    </row>
    <row r="566" spans="1:9" ht="13.5">
      <c r="A566" s="71" t="s">
        <v>517</v>
      </c>
      <c r="B566" s="12" t="s">
        <v>518</v>
      </c>
      <c r="C566" s="209">
        <v>39000</v>
      </c>
      <c r="G566" s="495"/>
      <c r="H566" s="1"/>
      <c r="I566" s="1"/>
    </row>
    <row r="567" spans="1:8" s="8" customFormat="1" ht="13.5" customHeight="1">
      <c r="A567" s="71" t="s">
        <v>756</v>
      </c>
      <c r="B567" s="23" t="s">
        <v>757</v>
      </c>
      <c r="C567" s="24">
        <v>30000</v>
      </c>
      <c r="D567" s="77"/>
      <c r="E567" s="25"/>
      <c r="F567" s="98"/>
      <c r="G567" s="54"/>
      <c r="H567" s="42"/>
    </row>
    <row r="568" spans="1:9" ht="13.5">
      <c r="A568" s="249" t="s">
        <v>165</v>
      </c>
      <c r="B568" s="25" t="s">
        <v>134</v>
      </c>
      <c r="C568" s="31">
        <f>SUM(C569)</f>
        <v>9600</v>
      </c>
      <c r="D568" s="335"/>
      <c r="E568" s="335"/>
      <c r="F568" s="453"/>
      <c r="G568" s="494"/>
      <c r="H568" s="5"/>
      <c r="I568" s="5"/>
    </row>
    <row r="569" spans="1:9" ht="13.5">
      <c r="A569" s="71" t="s">
        <v>166</v>
      </c>
      <c r="B569" s="23" t="s">
        <v>51</v>
      </c>
      <c r="C569" s="24">
        <v>9600</v>
      </c>
      <c r="D569" s="335"/>
      <c r="E569" s="335"/>
      <c r="F569" s="453"/>
      <c r="G569" s="494"/>
      <c r="H569" s="5"/>
      <c r="I569" s="5"/>
    </row>
    <row r="570" spans="1:9" ht="13.5">
      <c r="A570" s="71"/>
      <c r="B570" s="23"/>
      <c r="C570" s="24"/>
      <c r="D570" s="335"/>
      <c r="E570" s="335"/>
      <c r="F570" s="453"/>
      <c r="G570" s="494"/>
      <c r="H570" s="5"/>
      <c r="I570" s="5"/>
    </row>
    <row r="571" spans="1:7" ht="14.25" thickBot="1">
      <c r="A571" s="71"/>
      <c r="B571" s="71"/>
      <c r="C571" s="23"/>
      <c r="G571" s="492"/>
    </row>
    <row r="572" spans="1:6" s="1" customFormat="1" ht="12.75" customHeight="1">
      <c r="A572" s="988" t="s">
        <v>826</v>
      </c>
      <c r="B572" s="1009"/>
      <c r="C572" s="989"/>
      <c r="D572" s="627" t="s">
        <v>6</v>
      </c>
      <c r="E572" s="757" t="s">
        <v>997</v>
      </c>
      <c r="F572" s="531"/>
    </row>
    <row r="573" spans="1:6" s="1" customFormat="1" ht="13.5" thickBot="1">
      <c r="A573" s="990"/>
      <c r="B573" s="1010"/>
      <c r="C573" s="991"/>
      <c r="D573" s="669"/>
      <c r="E573" s="670"/>
      <c r="F573" s="447"/>
    </row>
    <row r="574" spans="1:6" s="1" customFormat="1" ht="12.75">
      <c r="A574" s="979" t="s">
        <v>827</v>
      </c>
      <c r="B574" s="980"/>
      <c r="C574" s="980"/>
      <c r="D574" s="980"/>
      <c r="E574" s="981"/>
      <c r="F574" s="447"/>
    </row>
    <row r="575" spans="1:6" s="1" customFormat="1" ht="12.75">
      <c r="A575" s="982"/>
      <c r="B575" s="983"/>
      <c r="C575" s="983"/>
      <c r="D575" s="983"/>
      <c r="E575" s="984"/>
      <c r="F575" s="447"/>
    </row>
    <row r="576" spans="1:6" s="1" customFormat="1" ht="12.75">
      <c r="A576" s="982"/>
      <c r="B576" s="983"/>
      <c r="C576" s="983"/>
      <c r="D576" s="983"/>
      <c r="E576" s="984"/>
      <c r="F576" s="447"/>
    </row>
    <row r="577" spans="1:5" s="1" customFormat="1" ht="12.75">
      <c r="A577" s="982"/>
      <c r="B577" s="983"/>
      <c r="C577" s="983"/>
      <c r="D577" s="983"/>
      <c r="E577" s="984"/>
    </row>
    <row r="578" spans="1:5" s="1" customFormat="1" ht="13.5" thickBot="1">
      <c r="A578" s="985"/>
      <c r="B578" s="986"/>
      <c r="C578" s="986"/>
      <c r="D578" s="986"/>
      <c r="E578" s="987"/>
    </row>
    <row r="579" spans="1:6" s="1" customFormat="1" ht="13.5">
      <c r="A579" s="40" t="s">
        <v>809</v>
      </c>
      <c r="B579" s="12"/>
      <c r="C579" s="24"/>
      <c r="D579" s="24"/>
      <c r="E579" s="303"/>
      <c r="F579" s="447"/>
    </row>
    <row r="580" spans="1:6" s="1" customFormat="1" ht="14.25" customHeight="1">
      <c r="A580" s="40" t="s">
        <v>586</v>
      </c>
      <c r="B580" s="12"/>
      <c r="C580" s="24"/>
      <c r="D580" s="24"/>
      <c r="E580" s="303"/>
      <c r="F580" s="447"/>
    </row>
    <row r="581" spans="1:6" s="1" customFormat="1" ht="13.5">
      <c r="A581" s="40" t="s">
        <v>587</v>
      </c>
      <c r="B581" s="12"/>
      <c r="C581" s="24"/>
      <c r="D581" s="24"/>
      <c r="E581" s="303"/>
      <c r="F581" s="447"/>
    </row>
    <row r="582" spans="1:6" s="1" customFormat="1" ht="14.25" thickBot="1">
      <c r="A582" s="75" t="s">
        <v>13</v>
      </c>
      <c r="B582" s="135"/>
      <c r="C582" s="360"/>
      <c r="D582" s="360"/>
      <c r="E582" s="361"/>
      <c r="F582" s="447"/>
    </row>
    <row r="583" spans="1:8" s="1" customFormat="1" ht="14.25" thickBot="1">
      <c r="A583" s="697" t="s">
        <v>14</v>
      </c>
      <c r="B583" s="698"/>
      <c r="C583" s="699"/>
      <c r="D583" s="701"/>
      <c r="E583" s="707">
        <f>(D599+D675+D760)</f>
        <v>12851736</v>
      </c>
      <c r="F583" s="447"/>
      <c r="G583" s="14"/>
      <c r="H583" s="14"/>
    </row>
    <row r="584" spans="1:3" ht="14.25" thickBot="1">
      <c r="A584" s="71"/>
      <c r="B584" s="71"/>
      <c r="C584" s="28"/>
    </row>
    <row r="585" spans="1:6" s="1" customFormat="1" ht="12.75">
      <c r="A585" s="988" t="s">
        <v>828</v>
      </c>
      <c r="B585" s="989"/>
      <c r="C585" s="627" t="s">
        <v>6</v>
      </c>
      <c r="D585" s="757" t="s">
        <v>1037</v>
      </c>
      <c r="F585" s="531"/>
    </row>
    <row r="586" spans="1:6" s="1" customFormat="1" ht="13.5" thickBot="1">
      <c r="A586" s="990"/>
      <c r="B586" s="991"/>
      <c r="C586" s="630"/>
      <c r="D586" s="653"/>
      <c r="F586" s="447"/>
    </row>
    <row r="587" spans="1:6" s="1" customFormat="1" ht="12.75" customHeight="1">
      <c r="A587" s="979" t="s">
        <v>829</v>
      </c>
      <c r="B587" s="980"/>
      <c r="C587" s="980"/>
      <c r="D587" s="981"/>
      <c r="F587" s="447"/>
    </row>
    <row r="588" spans="1:6" s="1" customFormat="1" ht="12.75">
      <c r="A588" s="982"/>
      <c r="B588" s="983"/>
      <c r="C588" s="983"/>
      <c r="D588" s="984"/>
      <c r="F588" s="447"/>
    </row>
    <row r="589" spans="1:11" s="4" customFormat="1" ht="13.5">
      <c r="A589" s="982"/>
      <c r="B589" s="983"/>
      <c r="C589" s="983"/>
      <c r="D589" s="984"/>
      <c r="E589" s="762"/>
      <c r="F589" s="152"/>
      <c r="G589" s="488"/>
      <c r="H589" s="488"/>
      <c r="I589" s="488"/>
      <c r="J589" s="488"/>
      <c r="K589" s="488"/>
    </row>
    <row r="590" spans="1:6" s="1" customFormat="1" ht="12.75">
      <c r="A590" s="982"/>
      <c r="B590" s="983"/>
      <c r="C590" s="983"/>
      <c r="D590" s="984"/>
      <c r="F590" s="447"/>
    </row>
    <row r="591" spans="1:4" s="1" customFormat="1" ht="12.75">
      <c r="A591" s="982"/>
      <c r="B591" s="983"/>
      <c r="C591" s="983"/>
      <c r="D591" s="984"/>
    </row>
    <row r="592" spans="1:4" s="1" customFormat="1" ht="12.75">
      <c r="A592" s="982"/>
      <c r="B592" s="983"/>
      <c r="C592" s="983"/>
      <c r="D592" s="984"/>
    </row>
    <row r="593" spans="1:4" s="1" customFormat="1" ht="12.75">
      <c r="A593" s="982"/>
      <c r="B593" s="983"/>
      <c r="C593" s="983"/>
      <c r="D593" s="984"/>
    </row>
    <row r="594" spans="1:4" s="1" customFormat="1" ht="13.5" thickBot="1">
      <c r="A594" s="982"/>
      <c r="B594" s="983"/>
      <c r="C594" s="983"/>
      <c r="D594" s="984"/>
    </row>
    <row r="595" spans="1:6" s="1" customFormat="1" ht="13.5">
      <c r="A595" s="116" t="s">
        <v>809</v>
      </c>
      <c r="B595" s="167"/>
      <c r="C595" s="400"/>
      <c r="D595" s="402"/>
      <c r="F595" s="447"/>
    </row>
    <row r="596" spans="1:6" s="1" customFormat="1" ht="13.5">
      <c r="A596" s="40" t="s">
        <v>612</v>
      </c>
      <c r="B596" s="12"/>
      <c r="C596" s="24"/>
      <c r="D596" s="303"/>
      <c r="F596" s="447"/>
    </row>
    <row r="597" spans="1:6" s="1" customFormat="1" ht="13.5">
      <c r="A597" s="40" t="s">
        <v>633</v>
      </c>
      <c r="B597" s="12"/>
      <c r="C597" s="24"/>
      <c r="D597" s="303"/>
      <c r="F597" s="447"/>
    </row>
    <row r="598" spans="1:6" s="1" customFormat="1" ht="14.25" thickBot="1">
      <c r="A598" s="75" t="s">
        <v>13</v>
      </c>
      <c r="B598" s="135"/>
      <c r="C598" s="360"/>
      <c r="D598" s="361"/>
      <c r="F598" s="447"/>
    </row>
    <row r="599" spans="1:7" s="1" customFormat="1" ht="14.25" thickBot="1">
      <c r="A599" s="697" t="s">
        <v>535</v>
      </c>
      <c r="B599" s="698"/>
      <c r="C599" s="701"/>
      <c r="D599" s="707">
        <f>+C601+C630+C650</f>
        <v>4558016</v>
      </c>
      <c r="F599" s="447"/>
      <c r="G599" s="14"/>
    </row>
    <row r="600" spans="1:6" ht="14.25" thickBot="1">
      <c r="A600" s="74"/>
      <c r="F600" s="351"/>
    </row>
    <row r="601" spans="1:6" ht="14.25" thickBot="1">
      <c r="A601" s="992" t="s">
        <v>2</v>
      </c>
      <c r="B601" s="993"/>
      <c r="C601" s="602">
        <f>C602+C604+C607+C609+C612+C619+C623</f>
        <v>826050</v>
      </c>
      <c r="F601" s="803"/>
    </row>
    <row r="602" spans="1:6" s="332" customFormat="1" ht="13.5">
      <c r="A602" s="11" t="s">
        <v>103</v>
      </c>
      <c r="B602" s="281" t="s">
        <v>104</v>
      </c>
      <c r="C602" s="32">
        <f>SUM(C603)</f>
        <v>64510</v>
      </c>
      <c r="D602" s="331"/>
      <c r="E602" s="331"/>
      <c r="F602" s="386"/>
    </row>
    <row r="603" spans="1:7" s="12" customFormat="1" ht="13.5" customHeight="1">
      <c r="A603" s="12" t="s">
        <v>46</v>
      </c>
      <c r="B603" s="12" t="s">
        <v>45</v>
      </c>
      <c r="C603" s="24">
        <v>64510</v>
      </c>
      <c r="D603" s="383"/>
      <c r="E603" s="336"/>
      <c r="F603" s="452"/>
      <c r="G603" s="374"/>
    </row>
    <row r="604" spans="1:7" s="12" customFormat="1" ht="13.5" customHeight="1">
      <c r="A604" s="11" t="s">
        <v>200</v>
      </c>
      <c r="B604" s="505" t="s">
        <v>199</v>
      </c>
      <c r="C604" s="31">
        <f>SUM(C605:C606)</f>
        <v>34200</v>
      </c>
      <c r="D604" s="383"/>
      <c r="E604" s="336"/>
      <c r="F604" s="386"/>
      <c r="G604" s="374"/>
    </row>
    <row r="605" spans="1:7" s="12" customFormat="1" ht="13.5" customHeight="1">
      <c r="A605" s="12" t="s">
        <v>198</v>
      </c>
      <c r="B605" s="42" t="s">
        <v>197</v>
      </c>
      <c r="C605" s="24">
        <v>12600</v>
      </c>
      <c r="D605" s="383"/>
      <c r="E605" s="336"/>
      <c r="F605" s="386"/>
      <c r="G605" s="374"/>
    </row>
    <row r="606" spans="1:7" s="12" customFormat="1" ht="13.5" customHeight="1">
      <c r="A606" s="12" t="s">
        <v>228</v>
      </c>
      <c r="B606" s="42" t="s">
        <v>227</v>
      </c>
      <c r="C606" s="24">
        <v>21600</v>
      </c>
      <c r="D606" s="383"/>
      <c r="E606" s="528"/>
      <c r="F606" s="529"/>
      <c r="G606" s="530"/>
    </row>
    <row r="607" spans="1:6" s="332" customFormat="1" ht="13.5">
      <c r="A607" s="11" t="s">
        <v>105</v>
      </c>
      <c r="B607" s="11" t="s">
        <v>106</v>
      </c>
      <c r="C607" s="32">
        <f>SUM(C608)</f>
        <v>54000</v>
      </c>
      <c r="D607" s="331"/>
      <c r="F607" s="385"/>
    </row>
    <row r="608" spans="1:6" s="5" customFormat="1" ht="13.5">
      <c r="A608" s="12" t="s">
        <v>86</v>
      </c>
      <c r="B608" s="71" t="s">
        <v>66</v>
      </c>
      <c r="C608" s="24">
        <v>54000</v>
      </c>
      <c r="D608" s="336"/>
      <c r="F608" s="336"/>
    </row>
    <row r="609" spans="1:6" s="5" customFormat="1" ht="13.5">
      <c r="A609" s="11" t="s">
        <v>107</v>
      </c>
      <c r="B609" s="249" t="s">
        <v>108</v>
      </c>
      <c r="C609" s="31">
        <f>SUM(C610:C611)</f>
        <v>156070</v>
      </c>
      <c r="D609" s="336"/>
      <c r="E609" s="336"/>
      <c r="F609" s="453"/>
    </row>
    <row r="610" spans="1:7" s="5" customFormat="1" ht="13.5">
      <c r="A610" s="12" t="s">
        <v>47</v>
      </c>
      <c r="B610" s="23" t="s">
        <v>48</v>
      </c>
      <c r="C610" s="24">
        <v>62530</v>
      </c>
      <c r="D610" s="336"/>
      <c r="E610" s="336"/>
      <c r="F610" s="453"/>
      <c r="G610" s="390"/>
    </row>
    <row r="611" spans="1:7" s="5" customFormat="1" ht="13.5">
      <c r="A611" s="12" t="s">
        <v>455</v>
      </c>
      <c r="B611" s="42" t="s">
        <v>456</v>
      </c>
      <c r="C611" s="24">
        <v>93540</v>
      </c>
      <c r="D611" s="336"/>
      <c r="E611" s="336"/>
      <c r="F611" s="453"/>
      <c r="G611" s="390"/>
    </row>
    <row r="612" spans="1:7" s="5" customFormat="1" ht="13.5">
      <c r="A612" s="249" t="s">
        <v>119</v>
      </c>
      <c r="B612" s="25" t="s">
        <v>109</v>
      </c>
      <c r="C612" s="31">
        <f>SUM(C613:C618)</f>
        <v>261160</v>
      </c>
      <c r="D612" s="336"/>
      <c r="E612" s="336"/>
      <c r="F612" s="453"/>
      <c r="G612" s="390"/>
    </row>
    <row r="613" spans="1:7" s="5" customFormat="1" ht="13.5">
      <c r="A613" s="71" t="s">
        <v>149</v>
      </c>
      <c r="B613" s="24" t="s">
        <v>338</v>
      </c>
      <c r="C613" s="24">
        <v>66540</v>
      </c>
      <c r="D613" s="336"/>
      <c r="E613" s="336"/>
      <c r="F613" s="453"/>
      <c r="G613" s="390"/>
    </row>
    <row r="614" spans="1:7" s="5" customFormat="1" ht="13.5">
      <c r="A614" s="71" t="s">
        <v>187</v>
      </c>
      <c r="B614" s="42" t="s">
        <v>544</v>
      </c>
      <c r="C614" s="24">
        <v>11040</v>
      </c>
      <c r="E614" s="336"/>
      <c r="F614" s="453"/>
      <c r="G614" s="390"/>
    </row>
    <row r="615" spans="1:256" s="5" customFormat="1" ht="13.5">
      <c r="A615" s="71" t="s">
        <v>545</v>
      </c>
      <c r="B615" s="42" t="s">
        <v>558</v>
      </c>
      <c r="C615" s="24">
        <v>35280</v>
      </c>
      <c r="D615" s="42"/>
      <c r="E615" s="42"/>
      <c r="F615" s="42"/>
      <c r="G615" s="42"/>
      <c r="H615" s="42"/>
      <c r="I615" s="42"/>
      <c r="J615" s="42"/>
      <c r="K615" s="42"/>
      <c r="L615" s="42"/>
      <c r="M615" s="42"/>
      <c r="N615" s="42"/>
      <c r="O615" s="42"/>
      <c r="P615" s="42"/>
      <c r="Q615" s="42"/>
      <c r="R615" s="42"/>
      <c r="S615" s="42"/>
      <c r="T615" s="42"/>
      <c r="U615" s="42"/>
      <c r="V615" s="42"/>
      <c r="W615" s="42"/>
      <c r="X615" s="42"/>
      <c r="Y615" s="42"/>
      <c r="Z615" s="42"/>
      <c r="AA615" s="42"/>
      <c r="AB615" s="42"/>
      <c r="AC615" s="42"/>
      <c r="AD615" s="42"/>
      <c r="AE615" s="42"/>
      <c r="AF615" s="42"/>
      <c r="AG615" s="42"/>
      <c r="AH615" s="42"/>
      <c r="AI615" s="42"/>
      <c r="AJ615" s="42"/>
      <c r="AK615" s="42"/>
      <c r="AL615" s="42"/>
      <c r="AM615" s="42"/>
      <c r="AN615" s="42"/>
      <c r="AO615" s="42"/>
      <c r="AP615" s="42"/>
      <c r="AQ615" s="42"/>
      <c r="AR615" s="42"/>
      <c r="AS615" s="42"/>
      <c r="AT615" s="42"/>
      <c r="AU615" s="42"/>
      <c r="AV615" s="42"/>
      <c r="AW615" s="42"/>
      <c r="AX615" s="42"/>
      <c r="AY615" s="42"/>
      <c r="AZ615" s="42"/>
      <c r="BA615" s="42"/>
      <c r="BB615" s="42"/>
      <c r="BC615" s="42"/>
      <c r="BD615" s="42"/>
      <c r="BE615" s="42"/>
      <c r="BF615" s="42"/>
      <c r="BG615" s="42"/>
      <c r="BH615" s="42"/>
      <c r="BI615" s="42"/>
      <c r="BJ615" s="42"/>
      <c r="BK615" s="42"/>
      <c r="BL615" s="42"/>
      <c r="BM615" s="42"/>
      <c r="BN615" s="42"/>
      <c r="BO615" s="42"/>
      <c r="BP615" s="42"/>
      <c r="BQ615" s="42"/>
      <c r="BR615" s="42"/>
      <c r="BS615" s="42"/>
      <c r="BT615" s="42"/>
      <c r="BU615" s="42"/>
      <c r="BV615" s="42"/>
      <c r="BW615" s="42"/>
      <c r="BX615" s="42"/>
      <c r="BY615" s="42"/>
      <c r="BZ615" s="42"/>
      <c r="CA615" s="42"/>
      <c r="CB615" s="42"/>
      <c r="CC615" s="42"/>
      <c r="CD615" s="42"/>
      <c r="CE615" s="42"/>
      <c r="CF615" s="42"/>
      <c r="CG615" s="42"/>
      <c r="CH615" s="42"/>
      <c r="CI615" s="42"/>
      <c r="CJ615" s="42"/>
      <c r="CK615" s="42"/>
      <c r="CL615" s="42"/>
      <c r="CM615" s="42"/>
      <c r="CN615" s="42"/>
      <c r="CO615" s="42"/>
      <c r="CP615" s="42"/>
      <c r="CQ615" s="42"/>
      <c r="CR615" s="42"/>
      <c r="CS615" s="42"/>
      <c r="CT615" s="42"/>
      <c r="CU615" s="42"/>
      <c r="CV615" s="42"/>
      <c r="CW615" s="42"/>
      <c r="CX615" s="42"/>
      <c r="CY615" s="42"/>
      <c r="CZ615" s="42"/>
      <c r="DA615" s="42"/>
      <c r="DB615" s="42"/>
      <c r="DC615" s="42"/>
      <c r="DD615" s="42"/>
      <c r="DE615" s="42"/>
      <c r="DF615" s="42"/>
      <c r="DG615" s="42"/>
      <c r="DH615" s="42"/>
      <c r="DI615" s="42"/>
      <c r="DJ615" s="42"/>
      <c r="DK615" s="42"/>
      <c r="DL615" s="42"/>
      <c r="DM615" s="42"/>
      <c r="DN615" s="42"/>
      <c r="DO615" s="42"/>
      <c r="DP615" s="42"/>
      <c r="DQ615" s="42"/>
      <c r="DR615" s="42"/>
      <c r="DS615" s="42"/>
      <c r="DT615" s="42"/>
      <c r="DU615" s="42"/>
      <c r="DV615" s="42"/>
      <c r="DW615" s="42"/>
      <c r="DX615" s="42"/>
      <c r="DY615" s="42"/>
      <c r="DZ615" s="42"/>
      <c r="EA615" s="42"/>
      <c r="EB615" s="42"/>
      <c r="EC615" s="42"/>
      <c r="ED615" s="42"/>
      <c r="EE615" s="42"/>
      <c r="EF615" s="42"/>
      <c r="EG615" s="42"/>
      <c r="EH615" s="42"/>
      <c r="EI615" s="42"/>
      <c r="EJ615" s="42"/>
      <c r="EK615" s="42"/>
      <c r="EL615" s="42"/>
      <c r="EM615" s="42"/>
      <c r="EN615" s="42"/>
      <c r="EO615" s="42"/>
      <c r="EP615" s="42"/>
      <c r="EQ615" s="42"/>
      <c r="ER615" s="42"/>
      <c r="ES615" s="42"/>
      <c r="ET615" s="42"/>
      <c r="EU615" s="42"/>
      <c r="EV615" s="42"/>
      <c r="EW615" s="42"/>
      <c r="EX615" s="42"/>
      <c r="EY615" s="42"/>
      <c r="EZ615" s="42"/>
      <c r="FA615" s="42"/>
      <c r="FB615" s="42"/>
      <c r="FC615" s="42"/>
      <c r="FD615" s="42"/>
      <c r="FE615" s="42"/>
      <c r="FF615" s="42"/>
      <c r="FG615" s="42"/>
      <c r="FH615" s="42"/>
      <c r="FI615" s="42"/>
      <c r="FJ615" s="42"/>
      <c r="FK615" s="42"/>
      <c r="FL615" s="42"/>
      <c r="FM615" s="42"/>
      <c r="FN615" s="42"/>
      <c r="FO615" s="42"/>
      <c r="FP615" s="42"/>
      <c r="FQ615" s="42"/>
      <c r="FR615" s="42"/>
      <c r="FS615" s="42"/>
      <c r="FT615" s="42"/>
      <c r="FU615" s="42"/>
      <c r="FV615" s="42"/>
      <c r="FW615" s="42"/>
      <c r="FX615" s="42"/>
      <c r="FY615" s="42"/>
      <c r="FZ615" s="42"/>
      <c r="GA615" s="42"/>
      <c r="GB615" s="42"/>
      <c r="GC615" s="42"/>
      <c r="GD615" s="42"/>
      <c r="GE615" s="42"/>
      <c r="GF615" s="42"/>
      <c r="GG615" s="42"/>
      <c r="GH615" s="42"/>
      <c r="GI615" s="42"/>
      <c r="GJ615" s="42"/>
      <c r="GK615" s="42"/>
      <c r="GL615" s="42"/>
      <c r="GM615" s="42"/>
      <c r="GN615" s="42"/>
      <c r="GO615" s="42"/>
      <c r="GP615" s="42"/>
      <c r="GQ615" s="42"/>
      <c r="GR615" s="42"/>
      <c r="GS615" s="42"/>
      <c r="GT615" s="42"/>
      <c r="GU615" s="42"/>
      <c r="GV615" s="42"/>
      <c r="GW615" s="42"/>
      <c r="GX615" s="42"/>
      <c r="GY615" s="42"/>
      <c r="GZ615" s="42"/>
      <c r="HA615" s="42"/>
      <c r="HB615" s="42"/>
      <c r="HC615" s="42"/>
      <c r="HD615" s="42"/>
      <c r="HE615" s="42"/>
      <c r="HF615" s="42"/>
      <c r="HG615" s="42"/>
      <c r="HH615" s="42"/>
      <c r="HI615" s="42"/>
      <c r="HJ615" s="42"/>
      <c r="HK615" s="42"/>
      <c r="HL615" s="42"/>
      <c r="HM615" s="42"/>
      <c r="HN615" s="42"/>
      <c r="HO615" s="42"/>
      <c r="HP615" s="42"/>
      <c r="HQ615" s="42"/>
      <c r="HR615" s="42"/>
      <c r="HS615" s="42"/>
      <c r="HT615" s="42"/>
      <c r="HU615" s="42"/>
      <c r="HV615" s="42"/>
      <c r="HW615" s="42"/>
      <c r="HX615" s="42"/>
      <c r="HY615" s="42"/>
      <c r="HZ615" s="42"/>
      <c r="IA615" s="42"/>
      <c r="IB615" s="42"/>
      <c r="IC615" s="42"/>
      <c r="ID615" s="42"/>
      <c r="IE615" s="42"/>
      <c r="IF615" s="42"/>
      <c r="IG615" s="42"/>
      <c r="IH615" s="42"/>
      <c r="II615" s="42"/>
      <c r="IJ615" s="42"/>
      <c r="IK615" s="42"/>
      <c r="IL615" s="42"/>
      <c r="IM615" s="42"/>
      <c r="IN615" s="42"/>
      <c r="IO615" s="42"/>
      <c r="IP615" s="42"/>
      <c r="IQ615" s="42"/>
      <c r="IR615" s="42"/>
      <c r="IS615" s="42"/>
      <c r="IT615" s="42"/>
      <c r="IU615" s="42"/>
      <c r="IV615" s="42"/>
    </row>
    <row r="616" spans="1:9" ht="13.5">
      <c r="A616" s="71" t="s">
        <v>641</v>
      </c>
      <c r="B616" s="42" t="s">
        <v>640</v>
      </c>
      <c r="C616" s="24">
        <v>70300</v>
      </c>
      <c r="D616" s="5"/>
      <c r="E616" s="336"/>
      <c r="F616" s="453"/>
      <c r="G616" s="390"/>
      <c r="H616" s="5"/>
      <c r="I616" s="5"/>
    </row>
    <row r="617" spans="1:5" s="65" customFormat="1" ht="13.5">
      <c r="A617" s="71" t="s">
        <v>758</v>
      </c>
      <c r="B617" s="24" t="s">
        <v>753</v>
      </c>
      <c r="C617" s="24">
        <v>23000</v>
      </c>
      <c r="D617" s="77"/>
      <c r="E617" s="25"/>
    </row>
    <row r="618" spans="1:5" s="65" customFormat="1" ht="13.5">
      <c r="A618" s="71" t="s">
        <v>762</v>
      </c>
      <c r="B618" s="24" t="s">
        <v>763</v>
      </c>
      <c r="C618" s="24">
        <v>55000</v>
      </c>
      <c r="D618" s="77"/>
      <c r="E618" s="25"/>
    </row>
    <row r="619" spans="1:7" s="5" customFormat="1" ht="13.5">
      <c r="A619" s="249" t="s">
        <v>124</v>
      </c>
      <c r="B619" s="31" t="s">
        <v>123</v>
      </c>
      <c r="C619" s="31">
        <f>SUM(C620:C622)</f>
        <v>167600</v>
      </c>
      <c r="D619" s="336"/>
      <c r="E619" s="336"/>
      <c r="F619" s="453"/>
      <c r="G619" s="390"/>
    </row>
    <row r="620" spans="1:7" s="5" customFormat="1" ht="13.5">
      <c r="A620" s="71" t="s">
        <v>231</v>
      </c>
      <c r="B620" s="23" t="s">
        <v>230</v>
      </c>
      <c r="C620" s="24">
        <v>45760</v>
      </c>
      <c r="D620" s="336"/>
      <c r="E620" s="336"/>
      <c r="F620" s="453"/>
      <c r="G620" s="390"/>
    </row>
    <row r="621" spans="1:7" s="5" customFormat="1" ht="13.5">
      <c r="A621" s="12" t="s">
        <v>241</v>
      </c>
      <c r="B621" s="24" t="s">
        <v>242</v>
      </c>
      <c r="C621" s="24">
        <v>99100</v>
      </c>
      <c r="D621" s="336"/>
      <c r="E621" s="336"/>
      <c r="F621" s="453"/>
      <c r="G621" s="390"/>
    </row>
    <row r="622" spans="1:7" s="5" customFormat="1" ht="13.5">
      <c r="A622" s="71" t="s">
        <v>93</v>
      </c>
      <c r="B622" s="23" t="s">
        <v>72</v>
      </c>
      <c r="C622" s="24">
        <v>22740</v>
      </c>
      <c r="D622" s="336"/>
      <c r="E622" s="336"/>
      <c r="F622" s="453"/>
      <c r="G622" s="390"/>
    </row>
    <row r="623" spans="1:7" s="5" customFormat="1" ht="13.5">
      <c r="A623" s="249" t="s">
        <v>150</v>
      </c>
      <c r="B623" s="25" t="s">
        <v>125</v>
      </c>
      <c r="C623" s="31">
        <f>SUM(C624:C628)</f>
        <v>88510</v>
      </c>
      <c r="D623" s="335"/>
      <c r="E623" s="335"/>
      <c r="F623" s="453"/>
      <c r="G623" s="390"/>
    </row>
    <row r="624" spans="1:7" s="5" customFormat="1" ht="13.5">
      <c r="A624" s="71" t="s">
        <v>151</v>
      </c>
      <c r="B624" s="23" t="s">
        <v>65</v>
      </c>
      <c r="C624" s="24">
        <v>11160</v>
      </c>
      <c r="D624" s="335"/>
      <c r="E624" s="335"/>
      <c r="F624" s="453"/>
      <c r="G624" s="390"/>
    </row>
    <row r="625" spans="1:7" s="5" customFormat="1" ht="13.5">
      <c r="A625" s="71" t="s">
        <v>211</v>
      </c>
      <c r="B625" s="23" t="s">
        <v>210</v>
      </c>
      <c r="C625" s="24">
        <v>18600</v>
      </c>
      <c r="D625" s="335"/>
      <c r="E625" s="335"/>
      <c r="F625" s="453"/>
      <c r="G625" s="390"/>
    </row>
    <row r="626" spans="1:7" s="5" customFormat="1" ht="13.5">
      <c r="A626" s="71" t="s">
        <v>152</v>
      </c>
      <c r="B626" s="24" t="s">
        <v>70</v>
      </c>
      <c r="C626" s="24">
        <v>5260</v>
      </c>
      <c r="D626" s="336"/>
      <c r="E626" s="336"/>
      <c r="F626" s="453"/>
      <c r="G626" s="390"/>
    </row>
    <row r="627" spans="1:7" s="5" customFormat="1" ht="13.5">
      <c r="A627" s="71" t="s">
        <v>154</v>
      </c>
      <c r="B627" s="23" t="s">
        <v>125</v>
      </c>
      <c r="C627" s="24">
        <v>11730</v>
      </c>
      <c r="D627" s="336"/>
      <c r="E627" s="336"/>
      <c r="F627" s="453"/>
      <c r="G627" s="390"/>
    </row>
    <row r="628" spans="1:9" ht="13.5">
      <c r="A628" s="71" t="s">
        <v>643</v>
      </c>
      <c r="B628" s="42" t="s">
        <v>642</v>
      </c>
      <c r="C628" s="24">
        <v>41760</v>
      </c>
      <c r="D628" s="336"/>
      <c r="E628" s="336"/>
      <c r="F628" s="453"/>
      <c r="G628" s="390"/>
      <c r="H628" s="5"/>
      <c r="I628" s="5"/>
    </row>
    <row r="629" spans="1:7" s="5" customFormat="1" ht="14.25" thickBot="1">
      <c r="A629" s="71"/>
      <c r="B629" s="24"/>
      <c r="C629" s="23"/>
      <c r="D629" s="335"/>
      <c r="E629" s="335"/>
      <c r="F629" s="453"/>
      <c r="G629" s="390"/>
    </row>
    <row r="630" spans="1:3" ht="14.25" thickBot="1">
      <c r="A630" s="994" t="s">
        <v>3</v>
      </c>
      <c r="B630" s="995"/>
      <c r="C630" s="603">
        <f>C631+C633+C637+C641+C643</f>
        <v>3151326</v>
      </c>
    </row>
    <row r="631" spans="1:6" s="332" customFormat="1" ht="13.5">
      <c r="A631" s="249" t="s">
        <v>110</v>
      </c>
      <c r="B631" s="281" t="s">
        <v>111</v>
      </c>
      <c r="C631" s="32">
        <f>SUM(C632)</f>
        <v>104930</v>
      </c>
      <c r="D631" s="331"/>
      <c r="E631" s="331"/>
      <c r="F631" s="386"/>
    </row>
    <row r="632" spans="1:8" s="71" customFormat="1" ht="13.5" customHeight="1">
      <c r="A632" s="71" t="s">
        <v>52</v>
      </c>
      <c r="B632" s="24" t="s">
        <v>15</v>
      </c>
      <c r="C632" s="24">
        <v>104930</v>
      </c>
      <c r="D632" s="336"/>
      <c r="E632" s="335"/>
      <c r="F632" s="453"/>
      <c r="G632" s="344"/>
      <c r="H632" s="24"/>
    </row>
    <row r="633" spans="1:8" s="71" customFormat="1" ht="13.5" customHeight="1">
      <c r="A633" s="11" t="s">
        <v>120</v>
      </c>
      <c r="B633" s="31" t="s">
        <v>121</v>
      </c>
      <c r="C633" s="31">
        <f>SUM(C634:C636)</f>
        <v>582436</v>
      </c>
      <c r="D633" s="336"/>
      <c r="E633" s="335"/>
      <c r="F633" s="453"/>
      <c r="G633" s="344"/>
      <c r="H633" s="24"/>
    </row>
    <row r="634" spans="1:8" s="71" customFormat="1" ht="13.5" customHeight="1">
      <c r="A634" s="12" t="s">
        <v>245</v>
      </c>
      <c r="B634" s="12" t="s">
        <v>246</v>
      </c>
      <c r="C634" s="24">
        <v>258336</v>
      </c>
      <c r="E634" s="335"/>
      <c r="F634" s="383"/>
      <c r="G634" s="344"/>
      <c r="H634" s="24"/>
    </row>
    <row r="635" spans="1:9" s="125" customFormat="1" ht="13.5" customHeight="1">
      <c r="A635" s="12" t="s">
        <v>140</v>
      </c>
      <c r="B635" s="12" t="s">
        <v>540</v>
      </c>
      <c r="C635" s="286">
        <v>234600</v>
      </c>
      <c r="E635" s="286"/>
      <c r="F635" s="276"/>
      <c r="G635" s="119"/>
      <c r="H635" s="119"/>
      <c r="I635" s="260"/>
    </row>
    <row r="636" spans="1:8" s="71" customFormat="1" ht="13.5" customHeight="1">
      <c r="A636" s="12" t="s">
        <v>136</v>
      </c>
      <c r="B636" s="12" t="s">
        <v>71</v>
      </c>
      <c r="C636" s="24">
        <v>89500</v>
      </c>
      <c r="E636" s="335"/>
      <c r="F636" s="336"/>
      <c r="G636" s="344"/>
      <c r="H636" s="24"/>
    </row>
    <row r="637" spans="1:8" s="71" customFormat="1" ht="13.5" customHeight="1">
      <c r="A637" s="249" t="s">
        <v>112</v>
      </c>
      <c r="B637" s="31" t="s">
        <v>156</v>
      </c>
      <c r="C637" s="31">
        <f>SUM(C638:C640)</f>
        <v>1585000</v>
      </c>
      <c r="E637" s="335"/>
      <c r="F637" s="336"/>
      <c r="G637" s="344"/>
      <c r="H637" s="24"/>
    </row>
    <row r="638" spans="1:8" s="71" customFormat="1" ht="13.5" customHeight="1">
      <c r="A638" s="71" t="s">
        <v>138</v>
      </c>
      <c r="B638" s="58" t="s">
        <v>810</v>
      </c>
      <c r="C638" s="24">
        <v>18000</v>
      </c>
      <c r="E638" s="335"/>
      <c r="F638" s="336"/>
      <c r="G638" s="344"/>
      <c r="H638" s="24"/>
    </row>
    <row r="639" spans="1:8" s="71" customFormat="1" ht="13.5" customHeight="1">
      <c r="A639" s="71" t="s">
        <v>155</v>
      </c>
      <c r="B639" s="12" t="s">
        <v>87</v>
      </c>
      <c r="C639" s="24">
        <v>1287000</v>
      </c>
      <c r="E639" s="336"/>
      <c r="F639" s="339"/>
      <c r="G639" s="344"/>
      <c r="H639" s="24"/>
    </row>
    <row r="640" spans="1:10" s="71" customFormat="1" ht="13.5" customHeight="1">
      <c r="A640" s="71" t="s">
        <v>813</v>
      </c>
      <c r="B640" s="42" t="s">
        <v>814</v>
      </c>
      <c r="C640" s="24">
        <v>280000</v>
      </c>
      <c r="D640" s="346"/>
      <c r="E640" s="407"/>
      <c r="F640" s="335"/>
      <c r="G640" s="346"/>
      <c r="H640" s="12"/>
      <c r="J640" s="23"/>
    </row>
    <row r="641" spans="1:8" s="71" customFormat="1" ht="13.5" customHeight="1">
      <c r="A641" s="11" t="s">
        <v>113</v>
      </c>
      <c r="B641" s="11" t="s">
        <v>114</v>
      </c>
      <c r="C641" s="31">
        <f>SUM(C642:C642)</f>
        <v>33780</v>
      </c>
      <c r="F641" s="339"/>
      <c r="G641" s="344"/>
      <c r="H641" s="24"/>
    </row>
    <row r="642" spans="1:8" s="71" customFormat="1" ht="13.5" customHeight="1">
      <c r="A642" s="12" t="s">
        <v>163</v>
      </c>
      <c r="B642" s="12" t="s">
        <v>74</v>
      </c>
      <c r="C642" s="24">
        <v>33780</v>
      </c>
      <c r="E642" s="335"/>
      <c r="F642" s="336"/>
      <c r="G642" s="344"/>
      <c r="H642" s="12"/>
    </row>
    <row r="643" spans="1:8" s="71" customFormat="1" ht="13.5" customHeight="1">
      <c r="A643" s="249" t="s">
        <v>115</v>
      </c>
      <c r="B643" s="31" t="s">
        <v>8</v>
      </c>
      <c r="C643" s="31">
        <f>SUM(C644:C648)</f>
        <v>845180</v>
      </c>
      <c r="E643" s="335"/>
      <c r="F643" s="336"/>
      <c r="G643" s="344"/>
      <c r="H643" s="12"/>
    </row>
    <row r="644" spans="1:8" s="71" customFormat="1" ht="13.5" customHeight="1">
      <c r="A644" s="71" t="s">
        <v>92</v>
      </c>
      <c r="B644" s="24" t="s">
        <v>8</v>
      </c>
      <c r="C644" s="24">
        <v>456800</v>
      </c>
      <c r="E644" s="336"/>
      <c r="F644" s="339"/>
      <c r="G644" s="344"/>
      <c r="H644" s="12"/>
    </row>
    <row r="645" spans="1:10" s="11" customFormat="1" ht="13.5" customHeight="1">
      <c r="A645" s="71" t="s">
        <v>182</v>
      </c>
      <c r="B645" s="24" t="s">
        <v>50</v>
      </c>
      <c r="C645" s="24">
        <v>25020</v>
      </c>
      <c r="E645" s="336"/>
      <c r="F645" s="336"/>
      <c r="G645" s="344"/>
      <c r="H645" s="12"/>
      <c r="I645" s="71"/>
      <c r="J645" s="71"/>
    </row>
    <row r="646" spans="1:10" s="71" customFormat="1" ht="13.5" customHeight="1">
      <c r="A646" s="71" t="s">
        <v>223</v>
      </c>
      <c r="B646" s="12" t="s">
        <v>222</v>
      </c>
      <c r="C646" s="24">
        <v>108120</v>
      </c>
      <c r="E646" s="336"/>
      <c r="F646" s="336"/>
      <c r="G646" s="344"/>
      <c r="H646" s="11"/>
      <c r="I646" s="11"/>
      <c r="J646" s="11"/>
    </row>
    <row r="647" spans="1:10" s="71" customFormat="1" ht="13.5" customHeight="1" hidden="1">
      <c r="A647" s="12" t="s">
        <v>206</v>
      </c>
      <c r="B647" s="24" t="s">
        <v>459</v>
      </c>
      <c r="C647" s="24">
        <v>0</v>
      </c>
      <c r="E647" s="336"/>
      <c r="F647" s="340"/>
      <c r="G647" s="344"/>
      <c r="H647" s="11"/>
      <c r="I647" s="11"/>
      <c r="J647" s="11"/>
    </row>
    <row r="648" spans="1:10" s="71" customFormat="1" ht="13.5" customHeight="1">
      <c r="A648" s="71" t="s">
        <v>90</v>
      </c>
      <c r="B648" s="24" t="s">
        <v>7</v>
      </c>
      <c r="C648" s="24">
        <v>255240</v>
      </c>
      <c r="E648" s="335"/>
      <c r="F648" s="452"/>
      <c r="G648" s="344"/>
      <c r="H648" s="12"/>
      <c r="J648" s="23"/>
    </row>
    <row r="649" spans="2:8" s="71" customFormat="1" ht="13.5" customHeight="1" thickBot="1">
      <c r="B649" s="24"/>
      <c r="C649" s="23"/>
      <c r="D649" s="455"/>
      <c r="E649" s="336"/>
      <c r="F649" s="452"/>
      <c r="G649" s="344"/>
      <c r="H649" s="12"/>
    </row>
    <row r="650" spans="1:8" ht="14.25" thickBot="1">
      <c r="A650" s="996" t="s">
        <v>4</v>
      </c>
      <c r="B650" s="997"/>
      <c r="C650" s="660">
        <f>C651+C657</f>
        <v>580640</v>
      </c>
      <c r="F650" s="447"/>
      <c r="G650" s="1"/>
      <c r="H650" s="1"/>
    </row>
    <row r="651" spans="1:6" s="332" customFormat="1" ht="13.5">
      <c r="A651" s="249" t="s">
        <v>116</v>
      </c>
      <c r="B651" s="281" t="s">
        <v>117</v>
      </c>
      <c r="C651" s="32">
        <f>SUM(C652:C656)</f>
        <v>550640</v>
      </c>
      <c r="D651" s="331"/>
      <c r="E651" s="331"/>
      <c r="F651" s="386"/>
    </row>
    <row r="652" spans="1:6" s="332" customFormat="1" ht="13.5">
      <c r="A652" s="71" t="s">
        <v>91</v>
      </c>
      <c r="B652" s="71" t="s">
        <v>139</v>
      </c>
      <c r="C652" s="22">
        <v>34200</v>
      </c>
      <c r="D652" s="331"/>
      <c r="F652" s="331"/>
    </row>
    <row r="653" spans="1:8" s="5" customFormat="1" ht="13.5">
      <c r="A653" s="71" t="s">
        <v>204</v>
      </c>
      <c r="B653" s="42" t="s">
        <v>557</v>
      </c>
      <c r="C653" s="24">
        <v>98400</v>
      </c>
      <c r="D653" s="335"/>
      <c r="F653" s="340"/>
      <c r="G653" s="374"/>
      <c r="H653" s="142"/>
    </row>
    <row r="654" spans="1:8" s="5" customFormat="1" ht="13.5">
      <c r="A654" s="71" t="s">
        <v>57</v>
      </c>
      <c r="B654" s="12" t="s">
        <v>58</v>
      </c>
      <c r="C654" s="24">
        <v>206040</v>
      </c>
      <c r="D654" s="335"/>
      <c r="E654" s="534"/>
      <c r="F654" s="529"/>
      <c r="G654" s="530"/>
      <c r="H654" s="142"/>
    </row>
    <row r="655" spans="1:7" s="5" customFormat="1" ht="13.5">
      <c r="A655" s="71" t="s">
        <v>161</v>
      </c>
      <c r="B655" s="42" t="s">
        <v>162</v>
      </c>
      <c r="C655" s="24">
        <v>147000</v>
      </c>
      <c r="D655" s="335"/>
      <c r="E655" s="335"/>
      <c r="F655" s="453"/>
      <c r="G655" s="390"/>
    </row>
    <row r="656" spans="1:8" s="8" customFormat="1" ht="13.5" customHeight="1">
      <c r="A656" s="71" t="s">
        <v>756</v>
      </c>
      <c r="B656" s="23" t="s">
        <v>757</v>
      </c>
      <c r="C656" s="24">
        <v>65000</v>
      </c>
      <c r="D656" s="77"/>
      <c r="E656" s="25"/>
      <c r="F656" s="98"/>
      <c r="G656" s="54"/>
      <c r="H656" s="42"/>
    </row>
    <row r="657" spans="1:7" s="5" customFormat="1" ht="13.5">
      <c r="A657" s="249" t="s">
        <v>165</v>
      </c>
      <c r="B657" s="25" t="s">
        <v>134</v>
      </c>
      <c r="C657" s="31">
        <f>SUM(C658)</f>
        <v>30000</v>
      </c>
      <c r="D657" s="335"/>
      <c r="E657" s="335"/>
      <c r="F657" s="453"/>
      <c r="G657" s="390"/>
    </row>
    <row r="658" spans="1:7" s="5" customFormat="1" ht="13.5">
      <c r="A658" s="71" t="s">
        <v>166</v>
      </c>
      <c r="B658" s="23" t="s">
        <v>51</v>
      </c>
      <c r="C658" s="24">
        <v>30000</v>
      </c>
      <c r="D658" s="335"/>
      <c r="E658" s="335"/>
      <c r="F658" s="453"/>
      <c r="G658" s="390"/>
    </row>
    <row r="659" spans="1:7" s="5" customFormat="1" ht="13.5">
      <c r="A659" s="71"/>
      <c r="B659" s="23"/>
      <c r="C659" s="24"/>
      <c r="D659" s="335"/>
      <c r="E659" s="335"/>
      <c r="F659" s="453"/>
      <c r="G659" s="390"/>
    </row>
    <row r="660" ht="13.5" thickBot="1"/>
    <row r="661" spans="1:6" s="1" customFormat="1" ht="12.75">
      <c r="A661" s="988" t="s">
        <v>707</v>
      </c>
      <c r="B661" s="989"/>
      <c r="C661" s="627" t="s">
        <v>6</v>
      </c>
      <c r="D661" s="757" t="s">
        <v>1038</v>
      </c>
      <c r="F661" s="447"/>
    </row>
    <row r="662" spans="1:6" s="1" customFormat="1" ht="13.5" thickBot="1">
      <c r="A662" s="990"/>
      <c r="B662" s="991"/>
      <c r="C662" s="669"/>
      <c r="D662" s="670"/>
      <c r="F662" s="447"/>
    </row>
    <row r="663" spans="1:6" s="1" customFormat="1" ht="12.75">
      <c r="A663" s="979" t="s">
        <v>830</v>
      </c>
      <c r="B663" s="980"/>
      <c r="C663" s="980"/>
      <c r="D663" s="981"/>
      <c r="F663" s="447"/>
    </row>
    <row r="664" spans="1:6" s="1" customFormat="1" ht="12.75">
      <c r="A664" s="982"/>
      <c r="B664" s="983"/>
      <c r="C664" s="983"/>
      <c r="D664" s="984"/>
      <c r="F664" s="447"/>
    </row>
    <row r="665" spans="1:6" s="1" customFormat="1" ht="12.75">
      <c r="A665" s="982"/>
      <c r="B665" s="983"/>
      <c r="C665" s="983"/>
      <c r="D665" s="984"/>
      <c r="F665" s="447"/>
    </row>
    <row r="666" spans="1:6" s="1" customFormat="1" ht="12.75">
      <c r="A666" s="982"/>
      <c r="B666" s="983"/>
      <c r="C666" s="983"/>
      <c r="D666" s="984"/>
      <c r="F666" s="447"/>
    </row>
    <row r="667" spans="1:6" s="1" customFormat="1" ht="12.75">
      <c r="A667" s="982"/>
      <c r="B667" s="983"/>
      <c r="C667" s="983"/>
      <c r="D667" s="984"/>
      <c r="F667" s="447"/>
    </row>
    <row r="668" spans="1:6" s="187" customFormat="1" ht="13.5">
      <c r="A668" s="982"/>
      <c r="B668" s="983"/>
      <c r="C668" s="983"/>
      <c r="D668" s="984"/>
      <c r="F668" s="447"/>
    </row>
    <row r="669" spans="1:6" s="1" customFormat="1" ht="12.75">
      <c r="A669" s="982"/>
      <c r="B669" s="983"/>
      <c r="C669" s="983"/>
      <c r="D669" s="984"/>
      <c r="F669" s="447"/>
    </row>
    <row r="670" spans="1:6" s="1" customFormat="1" ht="13.5" thickBot="1">
      <c r="A670" s="985"/>
      <c r="B670" s="986"/>
      <c r="C670" s="986"/>
      <c r="D670" s="987"/>
      <c r="F670" s="447"/>
    </row>
    <row r="671" spans="1:6" s="187" customFormat="1" ht="13.5">
      <c r="A671" s="40" t="s">
        <v>809</v>
      </c>
      <c r="B671" s="12"/>
      <c r="C671" s="24"/>
      <c r="D671" s="303"/>
      <c r="F671" s="458"/>
    </row>
    <row r="672" spans="1:7" s="187" customFormat="1" ht="13.5">
      <c r="A672" s="40" t="s">
        <v>613</v>
      </c>
      <c r="B672" s="12"/>
      <c r="C672" s="24"/>
      <c r="D672" s="303"/>
      <c r="F672" s="458"/>
      <c r="G672" s="209"/>
    </row>
    <row r="673" spans="1:7" s="187" customFormat="1" ht="13.5">
      <c r="A673" s="40" t="s">
        <v>610</v>
      </c>
      <c r="B673" s="12"/>
      <c r="C673" s="24"/>
      <c r="D673" s="303"/>
      <c r="F673" s="458"/>
      <c r="G673" s="209"/>
    </row>
    <row r="674" spans="1:6" s="187" customFormat="1" ht="14.25" thickBot="1">
      <c r="A674" s="75" t="s">
        <v>13</v>
      </c>
      <c r="B674" s="135"/>
      <c r="C674" s="360"/>
      <c r="D674" s="361"/>
      <c r="F674" s="458"/>
    </row>
    <row r="675" spans="1:6" s="187" customFormat="1" ht="14.25" thickBot="1">
      <c r="A675" s="697" t="s">
        <v>535</v>
      </c>
      <c r="B675" s="698"/>
      <c r="C675" s="701"/>
      <c r="D675" s="707">
        <f>+C677+C704+C728</f>
        <v>3967600</v>
      </c>
      <c r="F675" s="458"/>
    </row>
    <row r="676" spans="1:6" s="187" customFormat="1" ht="14.25" thickBot="1">
      <c r="A676" s="11"/>
      <c r="B676" s="11"/>
      <c r="C676" s="31"/>
      <c r="D676" s="31"/>
      <c r="F676" s="351"/>
    </row>
    <row r="677" spans="1:6" ht="14.25" thickBot="1">
      <c r="A677" s="992" t="s">
        <v>2</v>
      </c>
      <c r="B677" s="993"/>
      <c r="C677" s="602">
        <f>C678+C680+C682+C685+C687+C694+C697</f>
        <v>949940</v>
      </c>
      <c r="D677" s="450"/>
      <c r="F677" s="803"/>
    </row>
    <row r="678" spans="1:6" s="332" customFormat="1" ht="13.5">
      <c r="A678" s="11" t="s">
        <v>103</v>
      </c>
      <c r="B678" s="281" t="s">
        <v>104</v>
      </c>
      <c r="C678" s="32">
        <f>SUM(C679)</f>
        <v>83800</v>
      </c>
      <c r="D678" s="331"/>
      <c r="E678" s="331"/>
      <c r="F678" s="386"/>
    </row>
    <row r="679" spans="1:7" s="12" customFormat="1" ht="13.5" customHeight="1">
      <c r="A679" s="12" t="s">
        <v>46</v>
      </c>
      <c r="B679" s="12" t="s">
        <v>45</v>
      </c>
      <c r="C679" s="24">
        <v>83800</v>
      </c>
      <c r="D679" s="383"/>
      <c r="E679" s="336"/>
      <c r="F679" s="452"/>
      <c r="G679" s="374"/>
    </row>
    <row r="680" spans="1:6" s="332" customFormat="1" ht="13.5">
      <c r="A680" s="11" t="s">
        <v>105</v>
      </c>
      <c r="B680" s="11" t="s">
        <v>106</v>
      </c>
      <c r="C680" s="32">
        <f>SUM(C681)</f>
        <v>31000</v>
      </c>
      <c r="D680" s="383"/>
      <c r="F680" s="385"/>
    </row>
    <row r="681" spans="1:6" s="5" customFormat="1" ht="13.5">
      <c r="A681" s="12" t="s">
        <v>86</v>
      </c>
      <c r="B681" s="71" t="s">
        <v>66</v>
      </c>
      <c r="C681" s="24">
        <v>31000</v>
      </c>
      <c r="E681" s="336"/>
      <c r="F681" s="453"/>
    </row>
    <row r="682" spans="1:6" s="5" customFormat="1" ht="13.5">
      <c r="A682" s="11" t="s">
        <v>107</v>
      </c>
      <c r="B682" s="249" t="s">
        <v>108</v>
      </c>
      <c r="C682" s="31">
        <f>SUM(C683:C684)</f>
        <v>185820</v>
      </c>
      <c r="D682" s="459"/>
      <c r="E682" s="336"/>
      <c r="F682" s="453"/>
    </row>
    <row r="683" spans="1:7" s="5" customFormat="1" ht="13.5">
      <c r="A683" s="12" t="s">
        <v>47</v>
      </c>
      <c r="B683" s="23" t="s">
        <v>48</v>
      </c>
      <c r="C683" s="24">
        <v>148800</v>
      </c>
      <c r="D683" s="456"/>
      <c r="E683" s="336"/>
      <c r="F683" s="453"/>
      <c r="G683" s="390"/>
    </row>
    <row r="684" spans="1:7" s="5" customFormat="1" ht="13.5">
      <c r="A684" s="12" t="s">
        <v>453</v>
      </c>
      <c r="B684" s="42" t="s">
        <v>454</v>
      </c>
      <c r="C684" s="24">
        <v>37020</v>
      </c>
      <c r="D684" s="456"/>
      <c r="E684" s="336"/>
      <c r="F684" s="453"/>
      <c r="G684" s="390"/>
    </row>
    <row r="685" spans="1:7" s="5" customFormat="1" ht="13.5">
      <c r="A685" s="11" t="s">
        <v>196</v>
      </c>
      <c r="B685" s="25" t="s">
        <v>195</v>
      </c>
      <c r="C685" s="31">
        <f>SUM(C686)</f>
        <v>225000</v>
      </c>
      <c r="D685" s="456"/>
      <c r="E685" s="336"/>
      <c r="F685" s="453"/>
      <c r="G685" s="390"/>
    </row>
    <row r="686" spans="1:7" s="5" customFormat="1" ht="13.5">
      <c r="A686" s="12" t="s">
        <v>194</v>
      </c>
      <c r="B686" s="71" t="s">
        <v>216</v>
      </c>
      <c r="C686" s="24">
        <v>225000</v>
      </c>
      <c r="D686" s="456"/>
      <c r="E686" s="336"/>
      <c r="F686" s="453"/>
      <c r="G686" s="390"/>
    </row>
    <row r="687" spans="1:7" s="5" customFormat="1" ht="13.5">
      <c r="A687" s="249" t="s">
        <v>119</v>
      </c>
      <c r="B687" s="25" t="s">
        <v>109</v>
      </c>
      <c r="C687" s="31">
        <f>SUM(C688:C693)</f>
        <v>209250</v>
      </c>
      <c r="D687" s="450"/>
      <c r="E687" s="336"/>
      <c r="F687" s="453"/>
      <c r="G687" s="390"/>
    </row>
    <row r="688" spans="1:7" s="5" customFormat="1" ht="13.5">
      <c r="A688" s="71" t="s">
        <v>191</v>
      </c>
      <c r="B688" s="24" t="s">
        <v>262</v>
      </c>
      <c r="C688" s="24">
        <v>12000</v>
      </c>
      <c r="D688" s="450"/>
      <c r="E688" s="336"/>
      <c r="F688" s="453"/>
      <c r="G688" s="390"/>
    </row>
    <row r="689" spans="1:7" s="5" customFormat="1" ht="13.5">
      <c r="A689" s="71" t="s">
        <v>149</v>
      </c>
      <c r="B689" s="24" t="s">
        <v>338</v>
      </c>
      <c r="C689" s="24">
        <v>30900</v>
      </c>
      <c r="D689" s="336"/>
      <c r="E689" s="336"/>
      <c r="F689" s="453"/>
      <c r="G689" s="390"/>
    </row>
    <row r="690" spans="1:7" s="5" customFormat="1" ht="13.5">
      <c r="A690" s="71" t="s">
        <v>189</v>
      </c>
      <c r="B690" s="71" t="s">
        <v>188</v>
      </c>
      <c r="C690" s="24">
        <v>7050</v>
      </c>
      <c r="D690" s="336"/>
      <c r="E690" s="336"/>
      <c r="F690" s="453"/>
      <c r="G690" s="390"/>
    </row>
    <row r="691" spans="1:9" ht="13.5">
      <c r="A691" s="71" t="s">
        <v>641</v>
      </c>
      <c r="B691" s="42" t="s">
        <v>640</v>
      </c>
      <c r="C691" s="24">
        <v>70300</v>
      </c>
      <c r="D691" s="5"/>
      <c r="E691" s="336"/>
      <c r="F691" s="453"/>
      <c r="G691" s="390"/>
      <c r="H691" s="5"/>
      <c r="I691" s="5"/>
    </row>
    <row r="692" spans="1:5" s="65" customFormat="1" ht="13.5">
      <c r="A692" s="71" t="s">
        <v>758</v>
      </c>
      <c r="B692" s="24" t="s">
        <v>753</v>
      </c>
      <c r="C692" s="24">
        <v>23000</v>
      </c>
      <c r="D692" s="77"/>
      <c r="E692" s="25"/>
    </row>
    <row r="693" spans="1:5" s="65" customFormat="1" ht="13.5">
      <c r="A693" s="71" t="s">
        <v>762</v>
      </c>
      <c r="B693" s="24" t="s">
        <v>763</v>
      </c>
      <c r="C693" s="24">
        <v>66000</v>
      </c>
      <c r="D693" s="77"/>
      <c r="E693" s="25"/>
    </row>
    <row r="694" spans="1:7" s="5" customFormat="1" ht="13.5">
      <c r="A694" s="249" t="s">
        <v>124</v>
      </c>
      <c r="B694" s="31" t="s">
        <v>123</v>
      </c>
      <c r="C694" s="31">
        <f>SUM(C695:C696)</f>
        <v>59710</v>
      </c>
      <c r="D694" s="336"/>
      <c r="E694" s="336"/>
      <c r="F694" s="453"/>
      <c r="G694" s="390"/>
    </row>
    <row r="695" spans="1:7" s="5" customFormat="1" ht="13.5">
      <c r="A695" s="71" t="s">
        <v>231</v>
      </c>
      <c r="B695" s="23" t="s">
        <v>230</v>
      </c>
      <c r="C695" s="24">
        <v>45760</v>
      </c>
      <c r="D695" s="336"/>
      <c r="E695" s="336"/>
      <c r="F695" s="453"/>
      <c r="G695" s="390"/>
    </row>
    <row r="696" spans="1:7" s="5" customFormat="1" ht="13.5">
      <c r="A696" s="71" t="s">
        <v>93</v>
      </c>
      <c r="B696" s="24" t="s">
        <v>72</v>
      </c>
      <c r="C696" s="24">
        <v>13950</v>
      </c>
      <c r="D696" s="335"/>
      <c r="E696" s="335"/>
      <c r="F696" s="453"/>
      <c r="G696" s="390"/>
    </row>
    <row r="697" spans="1:7" s="5" customFormat="1" ht="13.5">
      <c r="A697" s="249" t="s">
        <v>150</v>
      </c>
      <c r="B697" s="25" t="s">
        <v>125</v>
      </c>
      <c r="C697" s="31">
        <f>SUM(C698:C702)</f>
        <v>155360</v>
      </c>
      <c r="D697" s="335"/>
      <c r="E697" s="335"/>
      <c r="F697" s="453"/>
      <c r="G697" s="390"/>
    </row>
    <row r="698" spans="1:7" s="5" customFormat="1" ht="13.5">
      <c r="A698" s="71" t="s">
        <v>151</v>
      </c>
      <c r="B698" s="23" t="s">
        <v>65</v>
      </c>
      <c r="C698" s="24">
        <v>65440</v>
      </c>
      <c r="D698" s="335"/>
      <c r="E698" s="335"/>
      <c r="F698" s="453"/>
      <c r="G698" s="390"/>
    </row>
    <row r="699" spans="1:7" s="5" customFormat="1" ht="13.5">
      <c r="A699" s="71" t="s">
        <v>211</v>
      </c>
      <c r="B699" s="23" t="s">
        <v>210</v>
      </c>
      <c r="C699" s="24">
        <v>11000</v>
      </c>
      <c r="D699" s="335"/>
      <c r="E699" s="335"/>
      <c r="F699" s="453"/>
      <c r="G699" s="390"/>
    </row>
    <row r="700" spans="1:7" s="5" customFormat="1" ht="13.5">
      <c r="A700" s="71" t="s">
        <v>152</v>
      </c>
      <c r="B700" s="24" t="s">
        <v>70</v>
      </c>
      <c r="C700" s="24">
        <v>18300</v>
      </c>
      <c r="D700" s="336"/>
      <c r="E700" s="336"/>
      <c r="F700" s="453"/>
      <c r="G700" s="390"/>
    </row>
    <row r="701" spans="1:7" s="5" customFormat="1" ht="13.5">
      <c r="A701" s="71" t="s">
        <v>154</v>
      </c>
      <c r="B701" s="23" t="s">
        <v>125</v>
      </c>
      <c r="C701" s="24">
        <v>23620</v>
      </c>
      <c r="D701" s="336"/>
      <c r="E701" s="336"/>
      <c r="F701" s="453"/>
      <c r="G701" s="390"/>
    </row>
    <row r="702" spans="1:9" ht="13.5">
      <c r="A702" s="71" t="s">
        <v>643</v>
      </c>
      <c r="B702" s="42" t="s">
        <v>642</v>
      </c>
      <c r="C702" s="24">
        <v>37000</v>
      </c>
      <c r="D702" s="336"/>
      <c r="E702" s="336"/>
      <c r="F702" s="453"/>
      <c r="G702" s="390"/>
      <c r="H702" s="5"/>
      <c r="I702" s="5"/>
    </row>
    <row r="703" spans="1:7" s="5" customFormat="1" ht="14.25" thickBot="1">
      <c r="A703" s="71"/>
      <c r="B703" s="24"/>
      <c r="C703" s="23"/>
      <c r="D703" s="335"/>
      <c r="E703" s="335"/>
      <c r="F703" s="453"/>
      <c r="G703" s="390"/>
    </row>
    <row r="704" spans="1:7" ht="14.25" thickBot="1">
      <c r="A704" s="994" t="s">
        <v>3</v>
      </c>
      <c r="B704" s="995"/>
      <c r="C704" s="603">
        <f>+C707+C713+C717+C720+C705</f>
        <v>2288660</v>
      </c>
      <c r="G704" s="18"/>
    </row>
    <row r="705" spans="1:7" s="332" customFormat="1" ht="13.5">
      <c r="A705" s="249" t="s">
        <v>110</v>
      </c>
      <c r="B705" s="281" t="s">
        <v>111</v>
      </c>
      <c r="C705" s="32">
        <f>SUM(C706:C706)</f>
        <v>50000</v>
      </c>
      <c r="D705" s="331"/>
      <c r="F705" s="386"/>
      <c r="G705" s="331"/>
    </row>
    <row r="706" spans="1:8" s="71" customFormat="1" ht="13.5" customHeight="1">
      <c r="A706" s="71" t="s">
        <v>52</v>
      </c>
      <c r="B706" s="24" t="s">
        <v>15</v>
      </c>
      <c r="C706" s="24">
        <v>50000</v>
      </c>
      <c r="D706" s="336"/>
      <c r="E706" s="335"/>
      <c r="F706" s="453"/>
      <c r="G706" s="344"/>
      <c r="H706" s="24"/>
    </row>
    <row r="707" spans="1:8" s="71" customFormat="1" ht="13.5" customHeight="1">
      <c r="A707" s="11" t="s">
        <v>120</v>
      </c>
      <c r="B707" s="31" t="s">
        <v>121</v>
      </c>
      <c r="C707" s="31">
        <f>SUM(C708:C712)</f>
        <v>397960</v>
      </c>
      <c r="D707" s="336"/>
      <c r="E707" s="335"/>
      <c r="F707" s="453"/>
      <c r="G707" s="344"/>
      <c r="H707" s="24"/>
    </row>
    <row r="708" spans="1:8" s="71" customFormat="1" ht="13.5" customHeight="1">
      <c r="A708" s="12" t="s">
        <v>245</v>
      </c>
      <c r="B708" s="12" t="s">
        <v>246</v>
      </c>
      <c r="C708" s="24">
        <v>146400</v>
      </c>
      <c r="E708" s="335"/>
      <c r="F708" s="383"/>
      <c r="G708" s="344"/>
      <c r="H708" s="24"/>
    </row>
    <row r="709" spans="1:8" s="71" customFormat="1" ht="13.5" customHeight="1">
      <c r="A709" s="12" t="s">
        <v>235</v>
      </c>
      <c r="B709" s="42" t="s">
        <v>236</v>
      </c>
      <c r="C709" s="24">
        <v>6800</v>
      </c>
      <c r="E709" s="335"/>
      <c r="F709" s="383"/>
      <c r="G709" s="344"/>
      <c r="H709" s="24"/>
    </row>
    <row r="710" spans="1:8" s="71" customFormat="1" ht="13.5" customHeight="1">
      <c r="A710" s="12" t="s">
        <v>184</v>
      </c>
      <c r="B710" s="12" t="s">
        <v>272</v>
      </c>
      <c r="C710" s="24">
        <v>30000</v>
      </c>
      <c r="E710" s="335"/>
      <c r="F710" s="383"/>
      <c r="G710" s="344"/>
      <c r="H710" s="24"/>
    </row>
    <row r="711" spans="1:8" s="71" customFormat="1" ht="13.5" customHeight="1">
      <c r="A711" s="12" t="s">
        <v>140</v>
      </c>
      <c r="B711" s="12" t="s">
        <v>540</v>
      </c>
      <c r="C711" s="24">
        <f>105000-10000</f>
        <v>95000</v>
      </c>
      <c r="E711" s="335"/>
      <c r="F711" s="383"/>
      <c r="G711" s="344"/>
      <c r="H711" s="24"/>
    </row>
    <row r="712" spans="1:8" s="71" customFormat="1" ht="13.5" customHeight="1">
      <c r="A712" s="12" t="s">
        <v>136</v>
      </c>
      <c r="B712" s="12" t="s">
        <v>71</v>
      </c>
      <c r="C712" s="24">
        <v>119760</v>
      </c>
      <c r="E712" s="335"/>
      <c r="F712" s="340"/>
      <c r="G712" s="344"/>
      <c r="H712" s="24"/>
    </row>
    <row r="713" spans="1:8" s="71" customFormat="1" ht="13.5" customHeight="1">
      <c r="A713" s="249" t="s">
        <v>112</v>
      </c>
      <c r="B713" s="31" t="s">
        <v>156</v>
      </c>
      <c r="C713" s="31">
        <f>SUM(C714:C716)</f>
        <v>543200</v>
      </c>
      <c r="E713" s="335"/>
      <c r="F713" s="336"/>
      <c r="G713" s="344"/>
      <c r="H713" s="24"/>
    </row>
    <row r="714" spans="1:8" s="71" customFormat="1" ht="13.5" customHeight="1">
      <c r="A714" s="71" t="s">
        <v>138</v>
      </c>
      <c r="B714" s="58" t="s">
        <v>810</v>
      </c>
      <c r="C714" s="24">
        <v>7200</v>
      </c>
      <c r="E714" s="335"/>
      <c r="F714" s="336"/>
      <c r="G714" s="344"/>
      <c r="H714" s="24"/>
    </row>
    <row r="715" spans="1:8" s="71" customFormat="1" ht="13.5" customHeight="1">
      <c r="A715" s="71" t="s">
        <v>155</v>
      </c>
      <c r="B715" s="12" t="s">
        <v>87</v>
      </c>
      <c r="C715" s="24">
        <v>256000</v>
      </c>
      <c r="E715" s="335"/>
      <c r="F715" s="336"/>
      <c r="G715" s="344"/>
      <c r="H715" s="24"/>
    </row>
    <row r="716" spans="1:10" s="71" customFormat="1" ht="13.5" customHeight="1">
      <c r="A716" s="71" t="s">
        <v>813</v>
      </c>
      <c r="B716" s="42" t="s">
        <v>814</v>
      </c>
      <c r="C716" s="24">
        <v>280000</v>
      </c>
      <c r="D716" s="346"/>
      <c r="E716" s="407"/>
      <c r="F716" s="335"/>
      <c r="G716" s="346"/>
      <c r="H716" s="12"/>
      <c r="J716" s="23"/>
    </row>
    <row r="717" spans="1:8" s="71" customFormat="1" ht="13.5" customHeight="1">
      <c r="A717" s="11" t="s">
        <v>113</v>
      </c>
      <c r="B717" s="11" t="s">
        <v>114</v>
      </c>
      <c r="C717" s="31">
        <f>SUM(C718:C719)</f>
        <v>80450</v>
      </c>
      <c r="E717" s="335"/>
      <c r="F717" s="336"/>
      <c r="G717" s="344"/>
      <c r="H717" s="24"/>
    </row>
    <row r="718" spans="1:8" s="71" customFormat="1" ht="13.5" customHeight="1">
      <c r="A718" s="12" t="s">
        <v>53</v>
      </c>
      <c r="B718" s="12" t="s">
        <v>54</v>
      </c>
      <c r="C718" s="24">
        <v>17000</v>
      </c>
      <c r="E718" s="335"/>
      <c r="F718" s="336"/>
      <c r="G718" s="344"/>
      <c r="H718" s="12"/>
    </row>
    <row r="719" spans="1:8" s="71" customFormat="1" ht="13.5" customHeight="1">
      <c r="A719" s="12" t="s">
        <v>163</v>
      </c>
      <c r="B719" s="12" t="s">
        <v>74</v>
      </c>
      <c r="C719" s="24">
        <v>63450</v>
      </c>
      <c r="E719" s="335"/>
      <c r="F719" s="340"/>
      <c r="G719" s="344"/>
      <c r="H719" s="12"/>
    </row>
    <row r="720" spans="1:8" s="71" customFormat="1" ht="13.5" customHeight="1">
      <c r="A720" s="249" t="s">
        <v>115</v>
      </c>
      <c r="B720" s="31" t="s">
        <v>8</v>
      </c>
      <c r="C720" s="31">
        <f>SUM(C721:C726)</f>
        <v>1217050</v>
      </c>
      <c r="E720" s="335"/>
      <c r="F720" s="336"/>
      <c r="G720" s="344"/>
      <c r="H720" s="12"/>
    </row>
    <row r="721" spans="1:7" s="71" customFormat="1" ht="13.5" customHeight="1">
      <c r="A721" s="71" t="s">
        <v>92</v>
      </c>
      <c r="B721" s="24" t="s">
        <v>8</v>
      </c>
      <c r="C721" s="24">
        <v>798000</v>
      </c>
      <c r="E721" s="336"/>
      <c r="F721" s="455"/>
      <c r="G721" s="346"/>
    </row>
    <row r="722" spans="1:7" s="71" customFormat="1" ht="13.5" customHeight="1">
      <c r="A722" s="71" t="s">
        <v>94</v>
      </c>
      <c r="B722" s="24" t="s">
        <v>50</v>
      </c>
      <c r="C722" s="24">
        <v>29550</v>
      </c>
      <c r="E722" s="336"/>
      <c r="G722" s="346"/>
    </row>
    <row r="723" spans="1:7" s="71" customFormat="1" ht="13.5" customHeight="1">
      <c r="A723" s="71" t="s">
        <v>225</v>
      </c>
      <c r="B723" s="42" t="s">
        <v>224</v>
      </c>
      <c r="C723" s="24">
        <v>36900</v>
      </c>
      <c r="E723" s="336"/>
      <c r="G723" s="346"/>
    </row>
    <row r="724" spans="1:7" s="71" customFormat="1" ht="13.5" customHeight="1">
      <c r="A724" s="71" t="s">
        <v>223</v>
      </c>
      <c r="B724" s="12" t="s">
        <v>222</v>
      </c>
      <c r="C724" s="24">
        <v>328200</v>
      </c>
      <c r="E724" s="336"/>
      <c r="G724" s="346"/>
    </row>
    <row r="725" spans="1:7" s="71" customFormat="1" ht="13.5" customHeight="1" hidden="1">
      <c r="A725" s="12" t="s">
        <v>206</v>
      </c>
      <c r="B725" s="24" t="s">
        <v>459</v>
      </c>
      <c r="C725" s="24">
        <v>0</v>
      </c>
      <c r="E725" s="336"/>
      <c r="G725" s="346"/>
    </row>
    <row r="726" spans="1:10" s="71" customFormat="1" ht="13.5" customHeight="1">
      <c r="A726" s="71" t="s">
        <v>90</v>
      </c>
      <c r="B726" s="24" t="s">
        <v>7</v>
      </c>
      <c r="C726" s="24">
        <v>24400</v>
      </c>
      <c r="D726" s="336"/>
      <c r="E726" s="335"/>
      <c r="F726" s="452"/>
      <c r="G726" s="344"/>
      <c r="H726" s="12"/>
      <c r="J726" s="23"/>
    </row>
    <row r="727" spans="2:7" s="71" customFormat="1" ht="13.5" customHeight="1" thickBot="1">
      <c r="B727" s="24"/>
      <c r="C727" s="23"/>
      <c r="D727" s="455"/>
      <c r="E727" s="336"/>
      <c r="F727" s="453"/>
      <c r="G727" s="346"/>
    </row>
    <row r="728" spans="1:3" ht="14.25" thickBot="1">
      <c r="A728" s="996" t="s">
        <v>4</v>
      </c>
      <c r="B728" s="997"/>
      <c r="C728" s="660">
        <f>C729+C733+C736</f>
        <v>729000</v>
      </c>
    </row>
    <row r="729" spans="1:6" s="332" customFormat="1" ht="13.5">
      <c r="A729" s="249" t="s">
        <v>116</v>
      </c>
      <c r="B729" s="281" t="s">
        <v>117</v>
      </c>
      <c r="C729" s="32">
        <f>SUM(C730:C732)</f>
        <v>102400</v>
      </c>
      <c r="D729" s="331"/>
      <c r="E729" s="331"/>
      <c r="F729" s="386"/>
    </row>
    <row r="730" spans="1:7" s="5" customFormat="1" ht="13.5">
      <c r="A730" s="71" t="s">
        <v>91</v>
      </c>
      <c r="B730" s="71" t="s">
        <v>139</v>
      </c>
      <c r="C730" s="24">
        <v>36900</v>
      </c>
      <c r="D730" s="335"/>
      <c r="E730" s="335"/>
      <c r="F730" s="453"/>
      <c r="G730" s="390"/>
    </row>
    <row r="731" spans="1:3" ht="13.5">
      <c r="A731" s="71" t="s">
        <v>57</v>
      </c>
      <c r="B731" s="12" t="s">
        <v>58</v>
      </c>
      <c r="C731" s="209">
        <f>65500-10000-20000</f>
        <v>35500</v>
      </c>
    </row>
    <row r="732" spans="1:8" s="8" customFormat="1" ht="13.5" customHeight="1">
      <c r="A732" s="71" t="s">
        <v>756</v>
      </c>
      <c r="B732" s="23" t="s">
        <v>757</v>
      </c>
      <c r="C732" s="24">
        <v>30000</v>
      </c>
      <c r="D732" s="77"/>
      <c r="E732" s="25"/>
      <c r="F732" s="98"/>
      <c r="G732" s="54"/>
      <c r="H732" s="42"/>
    </row>
    <row r="733" spans="1:3" ht="13.5">
      <c r="A733" s="249" t="s">
        <v>118</v>
      </c>
      <c r="B733" s="11" t="s">
        <v>130</v>
      </c>
      <c r="C733" s="568">
        <f>SUM(C734:C735)</f>
        <v>615800</v>
      </c>
    </row>
    <row r="734" spans="1:3" ht="13.5">
      <c r="A734" s="71" t="s">
        <v>514</v>
      </c>
      <c r="B734" s="12" t="s">
        <v>515</v>
      </c>
      <c r="C734" s="209">
        <v>593000</v>
      </c>
    </row>
    <row r="735" spans="1:10" ht="13.5">
      <c r="A735" s="71" t="s">
        <v>203</v>
      </c>
      <c r="B735" s="12" t="s">
        <v>516</v>
      </c>
      <c r="C735" s="209">
        <v>22800</v>
      </c>
      <c r="J735" s="3" t="s">
        <v>201</v>
      </c>
    </row>
    <row r="736" spans="1:3" ht="13.5">
      <c r="A736" s="249" t="s">
        <v>165</v>
      </c>
      <c r="B736" s="25" t="s">
        <v>134</v>
      </c>
      <c r="C736" s="568">
        <f>SUM(C737)</f>
        <v>10800</v>
      </c>
    </row>
    <row r="737" spans="1:7" s="5" customFormat="1" ht="13.5">
      <c r="A737" s="71" t="s">
        <v>166</v>
      </c>
      <c r="B737" s="23" t="s">
        <v>51</v>
      </c>
      <c r="C737" s="24">
        <v>10800</v>
      </c>
      <c r="D737" s="335"/>
      <c r="E737" s="335"/>
      <c r="F737" s="453"/>
      <c r="G737" s="390"/>
    </row>
    <row r="738" spans="1:7" s="5" customFormat="1" ht="13.5">
      <c r="A738" s="71"/>
      <c r="B738" s="23"/>
      <c r="C738" s="24"/>
      <c r="D738" s="335"/>
      <c r="E738" s="335"/>
      <c r="F738" s="453"/>
      <c r="G738" s="390"/>
    </row>
    <row r="739" spans="1:7" s="5" customFormat="1" ht="14.25" thickBot="1">
      <c r="A739" s="71"/>
      <c r="B739" s="23"/>
      <c r="C739" s="24"/>
      <c r="D739" s="335"/>
      <c r="E739" s="335"/>
      <c r="F739" s="453"/>
      <c r="G739" s="390"/>
    </row>
    <row r="740" spans="1:6" s="1" customFormat="1" ht="12.75">
      <c r="A740" s="988" t="s">
        <v>831</v>
      </c>
      <c r="B740" s="989"/>
      <c r="C740" s="627" t="s">
        <v>6</v>
      </c>
      <c r="D740" s="757" t="s">
        <v>1039</v>
      </c>
      <c r="F740" s="447"/>
    </row>
    <row r="741" spans="1:6" s="1" customFormat="1" ht="13.5" thickBot="1">
      <c r="A741" s="990"/>
      <c r="B741" s="991"/>
      <c r="C741" s="630"/>
      <c r="D741" s="653"/>
      <c r="F741" s="447"/>
    </row>
    <row r="742" spans="1:4" s="1" customFormat="1" ht="12.75">
      <c r="A742" s="979" t="s">
        <v>832</v>
      </c>
      <c r="B742" s="980"/>
      <c r="C742" s="980"/>
      <c r="D742" s="981"/>
    </row>
    <row r="743" spans="1:4" s="1" customFormat="1" ht="12.75">
      <c r="A743" s="982"/>
      <c r="B743" s="983"/>
      <c r="C743" s="983"/>
      <c r="D743" s="984"/>
    </row>
    <row r="744" spans="1:4" s="1" customFormat="1" ht="12.75">
      <c r="A744" s="982"/>
      <c r="B744" s="983"/>
      <c r="C744" s="983"/>
      <c r="D744" s="984"/>
    </row>
    <row r="745" spans="1:4" s="1" customFormat="1" ht="12.75">
      <c r="A745" s="982"/>
      <c r="B745" s="983"/>
      <c r="C745" s="983"/>
      <c r="D745" s="984"/>
    </row>
    <row r="746" spans="1:4" s="1" customFormat="1" ht="12.75">
      <c r="A746" s="982"/>
      <c r="B746" s="983"/>
      <c r="C746" s="983"/>
      <c r="D746" s="984"/>
    </row>
    <row r="747" spans="1:4" s="1" customFormat="1" ht="12.75">
      <c r="A747" s="982"/>
      <c r="B747" s="983"/>
      <c r="C747" s="983"/>
      <c r="D747" s="984"/>
    </row>
    <row r="748" spans="1:4" s="1" customFormat="1" ht="12.75">
      <c r="A748" s="982"/>
      <c r="B748" s="983"/>
      <c r="C748" s="983"/>
      <c r="D748" s="984"/>
    </row>
    <row r="749" spans="1:4" s="1" customFormat="1" ht="12.75">
      <c r="A749" s="982"/>
      <c r="B749" s="983"/>
      <c r="C749" s="983"/>
      <c r="D749" s="984"/>
    </row>
    <row r="750" spans="1:4" s="1" customFormat="1" ht="12.75">
      <c r="A750" s="982"/>
      <c r="B750" s="983"/>
      <c r="C750" s="983"/>
      <c r="D750" s="984"/>
    </row>
    <row r="751" spans="1:4" s="1" customFormat="1" ht="12.75">
      <c r="A751" s="982"/>
      <c r="B751" s="983"/>
      <c r="C751" s="983"/>
      <c r="D751" s="984"/>
    </row>
    <row r="752" spans="1:4" s="1" customFormat="1" ht="12.75">
      <c r="A752" s="982"/>
      <c r="B752" s="983"/>
      <c r="C752" s="983"/>
      <c r="D752" s="984"/>
    </row>
    <row r="753" spans="1:4" s="1" customFormat="1" ht="12.75">
      <c r="A753" s="982"/>
      <c r="B753" s="983"/>
      <c r="C753" s="983"/>
      <c r="D753" s="984"/>
    </row>
    <row r="754" spans="1:4" s="1" customFormat="1" ht="12.75">
      <c r="A754" s="982"/>
      <c r="B754" s="983"/>
      <c r="C754" s="983"/>
      <c r="D754" s="984"/>
    </row>
    <row r="755" spans="1:4" s="1" customFormat="1" ht="13.5" thickBot="1">
      <c r="A755" s="985"/>
      <c r="B755" s="986"/>
      <c r="C755" s="986"/>
      <c r="D755" s="987"/>
    </row>
    <row r="756" spans="1:6" s="1" customFormat="1" ht="13.5">
      <c r="A756" s="40" t="s">
        <v>809</v>
      </c>
      <c r="B756" s="12"/>
      <c r="C756" s="24"/>
      <c r="D756" s="303"/>
      <c r="F756" s="450"/>
    </row>
    <row r="757" spans="1:6" s="1" customFormat="1" ht="13.5">
      <c r="A757" s="40" t="s">
        <v>611</v>
      </c>
      <c r="B757" s="12"/>
      <c r="C757" s="24"/>
      <c r="D757" s="303"/>
      <c r="F757" s="450"/>
    </row>
    <row r="758" spans="1:6" s="1" customFormat="1" ht="13.5">
      <c r="A758" s="40" t="s">
        <v>633</v>
      </c>
      <c r="B758" s="12"/>
      <c r="C758" s="24"/>
      <c r="D758" s="303"/>
      <c r="F758" s="447"/>
    </row>
    <row r="759" spans="1:6" s="1" customFormat="1" ht="14.25" thickBot="1">
      <c r="A759" s="75" t="s">
        <v>13</v>
      </c>
      <c r="B759" s="135"/>
      <c r="C759" s="360"/>
      <c r="D759" s="361"/>
      <c r="F759" s="447"/>
    </row>
    <row r="760" spans="1:6" s="1" customFormat="1" ht="14.25" thickBot="1">
      <c r="A760" s="697" t="s">
        <v>535</v>
      </c>
      <c r="B760" s="731"/>
      <c r="C760" s="701"/>
      <c r="D760" s="707">
        <f>+C762+C795+C817</f>
        <v>4326120</v>
      </c>
      <c r="F760" s="447"/>
    </row>
    <row r="761" spans="1:6" ht="14.25" thickBot="1">
      <c r="A761" s="74"/>
      <c r="F761" s="351"/>
    </row>
    <row r="762" spans="1:6" ht="14.25" thickBot="1">
      <c r="A762" s="992" t="s">
        <v>2</v>
      </c>
      <c r="B762" s="993"/>
      <c r="C762" s="602">
        <f>C763+C765+C768+C770+C774+C777+C784+C788</f>
        <v>994940</v>
      </c>
      <c r="F762" s="803"/>
    </row>
    <row r="763" spans="1:6" s="332" customFormat="1" ht="13.5">
      <c r="A763" s="11" t="s">
        <v>103</v>
      </c>
      <c r="B763" s="281" t="s">
        <v>104</v>
      </c>
      <c r="C763" s="32">
        <f>SUM(C764)</f>
        <v>72300</v>
      </c>
      <c r="D763" s="331"/>
      <c r="E763" s="331"/>
      <c r="F763" s="386"/>
    </row>
    <row r="764" spans="1:7" s="12" customFormat="1" ht="13.5" customHeight="1">
      <c r="A764" s="12" t="s">
        <v>46</v>
      </c>
      <c r="B764" s="12" t="s">
        <v>45</v>
      </c>
      <c r="C764" s="24">
        <v>72300</v>
      </c>
      <c r="D764" s="383"/>
      <c r="E764" s="336"/>
      <c r="F764" s="452"/>
      <c r="G764" s="374"/>
    </row>
    <row r="765" spans="1:7" s="12" customFormat="1" ht="13.5" customHeight="1">
      <c r="A765" s="11" t="s">
        <v>200</v>
      </c>
      <c r="B765" s="505" t="s">
        <v>199</v>
      </c>
      <c r="C765" s="31">
        <f>SUM(C766:C767)</f>
        <v>163390</v>
      </c>
      <c r="D765" s="383"/>
      <c r="E765" s="336"/>
      <c r="F765" s="386"/>
      <c r="G765" s="374"/>
    </row>
    <row r="766" spans="1:7" s="12" customFormat="1" ht="13.5" customHeight="1">
      <c r="A766" s="12" t="s">
        <v>198</v>
      </c>
      <c r="B766" s="42" t="s">
        <v>197</v>
      </c>
      <c r="C766" s="24">
        <v>15250</v>
      </c>
      <c r="D766" s="383"/>
      <c r="E766" s="336"/>
      <c r="F766" s="386"/>
      <c r="G766" s="374"/>
    </row>
    <row r="767" spans="1:7" s="12" customFormat="1" ht="13.5" customHeight="1">
      <c r="A767" s="12" t="s">
        <v>228</v>
      </c>
      <c r="B767" s="42" t="s">
        <v>227</v>
      </c>
      <c r="C767" s="24">
        <v>148140</v>
      </c>
      <c r="D767" s="383"/>
      <c r="E767" s="336"/>
      <c r="F767" s="452"/>
      <c r="G767" s="374"/>
    </row>
    <row r="768" spans="1:7" s="12" customFormat="1" ht="13.5" customHeight="1">
      <c r="A768" s="11" t="s">
        <v>105</v>
      </c>
      <c r="B768" s="11" t="s">
        <v>106</v>
      </c>
      <c r="C768" s="31">
        <f>SUM(C769)</f>
        <v>88710</v>
      </c>
      <c r="D768" s="336"/>
      <c r="F768" s="332"/>
      <c r="G768" s="374"/>
    </row>
    <row r="769" spans="1:9" s="5" customFormat="1" ht="13.5">
      <c r="A769" s="12" t="s">
        <v>86</v>
      </c>
      <c r="B769" s="71" t="s">
        <v>66</v>
      </c>
      <c r="C769" s="24">
        <v>88710</v>
      </c>
      <c r="D769" s="394"/>
      <c r="E769" s="142"/>
      <c r="F769" s="452"/>
      <c r="G769" s="142"/>
      <c r="H769" s="142"/>
      <c r="I769" s="142"/>
    </row>
    <row r="770" spans="1:9" s="5" customFormat="1" ht="13.5">
      <c r="A770" s="11" t="s">
        <v>107</v>
      </c>
      <c r="B770" s="249" t="s">
        <v>108</v>
      </c>
      <c r="C770" s="31">
        <f>SUM(C771:C773)</f>
        <v>137530</v>
      </c>
      <c r="D770" s="466"/>
      <c r="E770" s="461"/>
      <c r="F770" s="452"/>
      <c r="G770" s="142"/>
      <c r="H770" s="142"/>
      <c r="I770" s="142"/>
    </row>
    <row r="771" spans="1:7" s="5" customFormat="1" ht="13.5">
      <c r="A771" s="12" t="s">
        <v>47</v>
      </c>
      <c r="B771" s="23" t="s">
        <v>48</v>
      </c>
      <c r="C771" s="24">
        <v>61750</v>
      </c>
      <c r="D771" s="466"/>
      <c r="E771" s="461"/>
      <c r="F771" s="452"/>
      <c r="G771" s="374"/>
    </row>
    <row r="772" spans="1:7" s="5" customFormat="1" ht="13.5">
      <c r="A772" s="12" t="s">
        <v>453</v>
      </c>
      <c r="B772" s="23" t="s">
        <v>454</v>
      </c>
      <c r="C772" s="24">
        <v>54000</v>
      </c>
      <c r="D772" s="456"/>
      <c r="E772" s="461"/>
      <c r="F772" s="452"/>
      <c r="G772" s="374"/>
    </row>
    <row r="773" spans="1:7" s="5" customFormat="1" ht="13.5">
      <c r="A773" s="12" t="s">
        <v>455</v>
      </c>
      <c r="B773" s="42" t="s">
        <v>456</v>
      </c>
      <c r="C773" s="24">
        <v>21780</v>
      </c>
      <c r="D773" s="456"/>
      <c r="E773" s="461"/>
      <c r="F773" s="452"/>
      <c r="G773" s="374"/>
    </row>
    <row r="774" spans="1:7" s="5" customFormat="1" ht="13.5">
      <c r="A774" s="11" t="s">
        <v>196</v>
      </c>
      <c r="B774" s="505" t="s">
        <v>195</v>
      </c>
      <c r="C774" s="31">
        <f>SUM(C775:C776)</f>
        <v>19480</v>
      </c>
      <c r="D774" s="456"/>
      <c r="E774" s="461"/>
      <c r="F774" s="452"/>
      <c r="G774" s="374"/>
    </row>
    <row r="775" spans="1:7" s="5" customFormat="1" ht="13.5">
      <c r="A775" s="12" t="s">
        <v>194</v>
      </c>
      <c r="B775" s="42" t="s">
        <v>193</v>
      </c>
      <c r="C775" s="24">
        <v>8250</v>
      </c>
      <c r="D775" s="456"/>
      <c r="E775" s="461"/>
      <c r="F775" s="452"/>
      <c r="G775" s="374"/>
    </row>
    <row r="776" spans="1:7" s="5" customFormat="1" ht="13.5">
      <c r="A776" s="12" t="s">
        <v>215</v>
      </c>
      <c r="B776" s="42" t="s">
        <v>214</v>
      </c>
      <c r="C776" s="24">
        <v>11230</v>
      </c>
      <c r="D776" s="456"/>
      <c r="E776" s="461"/>
      <c r="F776" s="452"/>
      <c r="G776" s="374"/>
    </row>
    <row r="777" spans="1:7" s="5" customFormat="1" ht="13.5">
      <c r="A777" s="249" t="s">
        <v>119</v>
      </c>
      <c r="B777" s="25" t="s">
        <v>109</v>
      </c>
      <c r="C777" s="31">
        <f>SUM(C778:C783)</f>
        <v>150040</v>
      </c>
      <c r="D777" s="394"/>
      <c r="E777" s="142"/>
      <c r="F777" s="452"/>
      <c r="G777" s="374"/>
    </row>
    <row r="778" spans="1:7" s="5" customFormat="1" ht="13.5">
      <c r="A778" s="71" t="s">
        <v>149</v>
      </c>
      <c r="B778" s="24" t="s">
        <v>338</v>
      </c>
      <c r="C778" s="24">
        <v>18120</v>
      </c>
      <c r="E778" s="336"/>
      <c r="F778" s="453"/>
      <c r="G778" s="390"/>
    </row>
    <row r="779" spans="1:7" s="5" customFormat="1" ht="13.5">
      <c r="A779" s="71" t="s">
        <v>187</v>
      </c>
      <c r="B779" s="42" t="s">
        <v>544</v>
      </c>
      <c r="C779" s="24">
        <v>12120</v>
      </c>
      <c r="E779" s="336"/>
      <c r="F779" s="453"/>
      <c r="G779" s="390"/>
    </row>
    <row r="780" spans="1:7" s="5" customFormat="1" ht="13.5">
      <c r="A780" s="71" t="s">
        <v>545</v>
      </c>
      <c r="B780" s="42" t="s">
        <v>543</v>
      </c>
      <c r="C780" s="24">
        <v>16800</v>
      </c>
      <c r="E780" s="336"/>
      <c r="F780" s="453"/>
      <c r="G780" s="390"/>
    </row>
    <row r="781" spans="1:9" ht="13.5">
      <c r="A781" s="71" t="s">
        <v>641</v>
      </c>
      <c r="B781" s="42" t="s">
        <v>640</v>
      </c>
      <c r="C781" s="24">
        <v>25000</v>
      </c>
      <c r="D781" s="5"/>
      <c r="E781" s="336"/>
      <c r="F781" s="453"/>
      <c r="G781" s="390"/>
      <c r="H781" s="5"/>
      <c r="I781" s="5"/>
    </row>
    <row r="782" spans="1:5" s="65" customFormat="1" ht="13.5">
      <c r="A782" s="71" t="s">
        <v>758</v>
      </c>
      <c r="B782" s="24" t="s">
        <v>753</v>
      </c>
      <c r="C782" s="24">
        <v>23000</v>
      </c>
      <c r="D782" s="77"/>
      <c r="E782" s="25"/>
    </row>
    <row r="783" spans="1:5" s="65" customFormat="1" ht="13.5">
      <c r="A783" s="71" t="s">
        <v>762</v>
      </c>
      <c r="B783" s="24" t="s">
        <v>763</v>
      </c>
      <c r="C783" s="24">
        <v>55000</v>
      </c>
      <c r="D783" s="77"/>
      <c r="E783" s="25"/>
    </row>
    <row r="784" spans="1:7" s="5" customFormat="1" ht="13.5">
      <c r="A784" s="249" t="s">
        <v>124</v>
      </c>
      <c r="B784" s="31" t="s">
        <v>123</v>
      </c>
      <c r="C784" s="31">
        <f>SUM(C785:C787)</f>
        <v>181360</v>
      </c>
      <c r="D784" s="383"/>
      <c r="E784" s="336"/>
      <c r="F784" s="453"/>
      <c r="G784" s="390"/>
    </row>
    <row r="785" spans="1:9" s="12" customFormat="1" ht="13.5" customHeight="1">
      <c r="A785" s="71" t="s">
        <v>231</v>
      </c>
      <c r="B785" s="23" t="s">
        <v>230</v>
      </c>
      <c r="C785" s="24">
        <v>48120</v>
      </c>
      <c r="D785" s="22"/>
      <c r="E785" s="31"/>
      <c r="G785" s="24"/>
      <c r="I785" s="279"/>
    </row>
    <row r="786" spans="1:9" s="12" customFormat="1" ht="13.5" customHeight="1">
      <c r="A786" s="12" t="s">
        <v>241</v>
      </c>
      <c r="B786" s="24" t="s">
        <v>242</v>
      </c>
      <c r="C786" s="24">
        <v>89770</v>
      </c>
      <c r="D786" s="78"/>
      <c r="E786" s="31"/>
      <c r="G786" s="24"/>
      <c r="I786" s="279"/>
    </row>
    <row r="787" spans="1:7" s="5" customFormat="1" ht="13.5">
      <c r="A787" s="71" t="s">
        <v>93</v>
      </c>
      <c r="B787" s="24" t="s">
        <v>72</v>
      </c>
      <c r="C787" s="24">
        <v>43470</v>
      </c>
      <c r="D787" s="335"/>
      <c r="E787" s="335"/>
      <c r="F787" s="453"/>
      <c r="G787" s="390"/>
    </row>
    <row r="788" spans="1:7" s="5" customFormat="1" ht="13.5">
      <c r="A788" s="249" t="s">
        <v>150</v>
      </c>
      <c r="B788" s="25" t="s">
        <v>125</v>
      </c>
      <c r="C788" s="31">
        <f>SUM(C789:C793)</f>
        <v>182130</v>
      </c>
      <c r="D788" s="335"/>
      <c r="E788" s="335"/>
      <c r="F788" s="453"/>
      <c r="G788" s="390"/>
    </row>
    <row r="789" spans="1:7" s="5" customFormat="1" ht="13.5">
      <c r="A789" s="71" t="s">
        <v>151</v>
      </c>
      <c r="B789" s="23" t="s">
        <v>65</v>
      </c>
      <c r="C789" s="24">
        <v>24840</v>
      </c>
      <c r="D789" s="335"/>
      <c r="E789" s="335"/>
      <c r="F789" s="453"/>
      <c r="G789" s="390"/>
    </row>
    <row r="790" spans="1:7" s="5" customFormat="1" ht="13.5">
      <c r="A790" s="71" t="s">
        <v>211</v>
      </c>
      <c r="B790" s="23" t="s">
        <v>210</v>
      </c>
      <c r="C790" s="24">
        <v>18960</v>
      </c>
      <c r="D790" s="335"/>
      <c r="E790" s="335"/>
      <c r="F790" s="453"/>
      <c r="G790" s="390"/>
    </row>
    <row r="791" spans="1:7" s="5" customFormat="1" ht="13.5">
      <c r="A791" s="71" t="s">
        <v>152</v>
      </c>
      <c r="B791" s="24" t="s">
        <v>70</v>
      </c>
      <c r="C791" s="24">
        <v>11250</v>
      </c>
      <c r="D791" s="450"/>
      <c r="E791" s="336"/>
      <c r="F791" s="453"/>
      <c r="G791" s="390"/>
    </row>
    <row r="792" spans="1:7" s="5" customFormat="1" ht="13.5">
      <c r="A792" s="71" t="s">
        <v>154</v>
      </c>
      <c r="B792" s="23" t="s">
        <v>125</v>
      </c>
      <c r="C792" s="24">
        <v>52080</v>
      </c>
      <c r="E792" s="336"/>
      <c r="F792" s="383"/>
      <c r="G792" s="390"/>
    </row>
    <row r="793" spans="1:9" ht="13.5">
      <c r="A793" s="71" t="s">
        <v>643</v>
      </c>
      <c r="B793" s="42" t="s">
        <v>642</v>
      </c>
      <c r="C793" s="24">
        <v>75000</v>
      </c>
      <c r="D793" s="336"/>
      <c r="E793" s="336"/>
      <c r="F793" s="453"/>
      <c r="G793" s="390"/>
      <c r="H793" s="5"/>
      <c r="I793" s="5"/>
    </row>
    <row r="794" spans="1:7" s="5" customFormat="1" ht="14.25" thickBot="1">
      <c r="A794" s="71"/>
      <c r="B794" s="24"/>
      <c r="C794" s="23"/>
      <c r="D794" s="335"/>
      <c r="E794" s="335"/>
      <c r="F794" s="453"/>
      <c r="G794" s="390"/>
    </row>
    <row r="795" spans="1:3" ht="14.25" thickBot="1">
      <c r="A795" s="994" t="s">
        <v>3</v>
      </c>
      <c r="B795" s="995"/>
      <c r="C795" s="603">
        <f>+C798+C807+C803+C809+C796</f>
        <v>3088160</v>
      </c>
    </row>
    <row r="796" spans="1:6" s="332" customFormat="1" ht="13.5" hidden="1">
      <c r="A796" s="249" t="s">
        <v>110</v>
      </c>
      <c r="B796" s="281" t="s">
        <v>111</v>
      </c>
      <c r="C796" s="32">
        <f>SUM(C797:C797)</f>
        <v>0</v>
      </c>
      <c r="D796" s="331"/>
      <c r="E796" s="331"/>
      <c r="F796" s="386"/>
    </row>
    <row r="797" spans="1:8" s="71" customFormat="1" ht="13.5" customHeight="1" hidden="1">
      <c r="A797" s="71" t="s">
        <v>446</v>
      </c>
      <c r="B797" s="24" t="s">
        <v>447</v>
      </c>
      <c r="C797" s="24">
        <v>0</v>
      </c>
      <c r="D797" s="336"/>
      <c r="E797" s="335"/>
      <c r="F797" s="453"/>
      <c r="G797" s="344"/>
      <c r="H797" s="24"/>
    </row>
    <row r="798" spans="1:8" s="71" customFormat="1" ht="13.5" customHeight="1">
      <c r="A798" s="11" t="s">
        <v>120</v>
      </c>
      <c r="B798" s="31" t="s">
        <v>121</v>
      </c>
      <c r="C798" s="31">
        <f>SUM(C799:C802)</f>
        <v>680910</v>
      </c>
      <c r="D798" s="336"/>
      <c r="E798" s="335"/>
      <c r="F798" s="453"/>
      <c r="G798" s="344"/>
      <c r="H798" s="24"/>
    </row>
    <row r="799" spans="1:8" s="71" customFormat="1" ht="13.5" customHeight="1">
      <c r="A799" s="12" t="s">
        <v>245</v>
      </c>
      <c r="B799" s="12" t="s">
        <v>246</v>
      </c>
      <c r="C799" s="24">
        <v>430250</v>
      </c>
      <c r="E799" s="335"/>
      <c r="F799" s="383"/>
      <c r="G799" s="344"/>
      <c r="H799" s="24"/>
    </row>
    <row r="800" spans="1:9" s="125" customFormat="1" ht="13.5" customHeight="1">
      <c r="A800" s="12" t="s">
        <v>209</v>
      </c>
      <c r="B800" s="12" t="s">
        <v>208</v>
      </c>
      <c r="C800" s="286">
        <v>14160</v>
      </c>
      <c r="E800" s="286"/>
      <c r="I800" s="260"/>
    </row>
    <row r="801" spans="1:9" s="125" customFormat="1" ht="13.5" customHeight="1">
      <c r="A801" s="12" t="s">
        <v>140</v>
      </c>
      <c r="B801" s="12" t="s">
        <v>540</v>
      </c>
      <c r="C801" s="286">
        <v>130400</v>
      </c>
      <c r="E801" s="286"/>
      <c r="F801" s="276"/>
      <c r="I801" s="260"/>
    </row>
    <row r="802" spans="1:8" s="71" customFormat="1" ht="13.5" customHeight="1">
      <c r="A802" s="12" t="s">
        <v>136</v>
      </c>
      <c r="B802" s="12" t="s">
        <v>71</v>
      </c>
      <c r="C802" s="24">
        <v>106100</v>
      </c>
      <c r="E802" s="335"/>
      <c r="F802" s="336"/>
      <c r="G802" s="344"/>
      <c r="H802" s="24"/>
    </row>
    <row r="803" spans="1:8" s="71" customFormat="1" ht="13.5" customHeight="1">
      <c r="A803" s="249" t="s">
        <v>112</v>
      </c>
      <c r="B803" s="31" t="s">
        <v>156</v>
      </c>
      <c r="C803" s="31">
        <f>SUM(C804:C805)</f>
        <v>763000</v>
      </c>
      <c r="E803" s="335"/>
      <c r="F803" s="336"/>
      <c r="G803" s="344"/>
      <c r="H803" s="24"/>
    </row>
    <row r="804" spans="1:8" s="71" customFormat="1" ht="13.5" customHeight="1">
      <c r="A804" s="71" t="s">
        <v>138</v>
      </c>
      <c r="B804" s="58" t="s">
        <v>810</v>
      </c>
      <c r="C804" s="24">
        <v>7000</v>
      </c>
      <c r="E804" s="335"/>
      <c r="F804" s="336"/>
      <c r="G804" s="344"/>
      <c r="H804" s="24"/>
    </row>
    <row r="805" spans="1:8" s="71" customFormat="1" ht="13.5" customHeight="1">
      <c r="A805" s="71" t="s">
        <v>155</v>
      </c>
      <c r="B805" s="12" t="s">
        <v>87</v>
      </c>
      <c r="C805" s="24">
        <v>756000</v>
      </c>
      <c r="E805" s="335"/>
      <c r="F805" s="339"/>
      <c r="G805" s="344"/>
      <c r="H805" s="24"/>
    </row>
    <row r="806" spans="1:10" s="71" customFormat="1" ht="13.5" customHeight="1">
      <c r="A806" s="71" t="s">
        <v>813</v>
      </c>
      <c r="B806" s="42" t="s">
        <v>814</v>
      </c>
      <c r="C806" s="24">
        <v>1638000</v>
      </c>
      <c r="D806" s="346"/>
      <c r="E806" s="407"/>
      <c r="F806" s="335"/>
      <c r="G806" s="346"/>
      <c r="H806" s="12"/>
      <c r="J806" s="23"/>
    </row>
    <row r="807" spans="1:8" s="71" customFormat="1" ht="13.5" customHeight="1">
      <c r="A807" s="11" t="s">
        <v>113</v>
      </c>
      <c r="B807" s="11" t="s">
        <v>114</v>
      </c>
      <c r="C807" s="31">
        <f>SUM(C808:C808)</f>
        <v>62050</v>
      </c>
      <c r="E807" s="335"/>
      <c r="F807" s="336"/>
      <c r="G807" s="344"/>
      <c r="H807" s="24"/>
    </row>
    <row r="808" spans="1:8" s="71" customFormat="1" ht="13.5" customHeight="1">
      <c r="A808" s="12" t="s">
        <v>163</v>
      </c>
      <c r="B808" s="12" t="s">
        <v>74</v>
      </c>
      <c r="C808" s="24">
        <v>62050</v>
      </c>
      <c r="E808" s="335"/>
      <c r="F808" s="336"/>
      <c r="G808" s="344"/>
      <c r="H808" s="12"/>
    </row>
    <row r="809" spans="1:8" s="71" customFormat="1" ht="13.5" customHeight="1">
      <c r="A809" s="249" t="s">
        <v>115</v>
      </c>
      <c r="B809" s="31" t="s">
        <v>8</v>
      </c>
      <c r="C809" s="31">
        <f>SUM(C810:C815)</f>
        <v>1582200</v>
      </c>
      <c r="E809" s="335"/>
      <c r="F809" s="336"/>
      <c r="G809" s="344"/>
      <c r="H809" s="12"/>
    </row>
    <row r="810" spans="1:7" s="71" customFormat="1" ht="13.5" customHeight="1">
      <c r="A810" s="71" t="s">
        <v>92</v>
      </c>
      <c r="B810" s="24" t="s">
        <v>8</v>
      </c>
      <c r="C810" s="24">
        <v>765000</v>
      </c>
      <c r="E810" s="336"/>
      <c r="F810" s="339"/>
      <c r="G810" s="346"/>
    </row>
    <row r="811" spans="1:10" s="11" customFormat="1" ht="13.5" customHeight="1">
      <c r="A811" s="71" t="s">
        <v>182</v>
      </c>
      <c r="B811" s="24" t="s">
        <v>50</v>
      </c>
      <c r="C811" s="24">
        <v>24420</v>
      </c>
      <c r="E811" s="336"/>
      <c r="F811" s="336"/>
      <c r="G811" s="346"/>
      <c r="H811" s="71"/>
      <c r="I811" s="71"/>
      <c r="J811" s="71"/>
    </row>
    <row r="812" spans="1:10" s="11" customFormat="1" ht="13.5" customHeight="1">
      <c r="A812" s="69" t="s">
        <v>225</v>
      </c>
      <c r="B812" s="42" t="s">
        <v>224</v>
      </c>
      <c r="C812" s="59">
        <v>82340</v>
      </c>
      <c r="E812" s="336"/>
      <c r="F812" s="336"/>
      <c r="G812" s="346"/>
      <c r="H812" s="71"/>
      <c r="I812" s="71"/>
      <c r="J812" s="71"/>
    </row>
    <row r="813" spans="1:7" s="71" customFormat="1" ht="13.5" customHeight="1">
      <c r="A813" s="71" t="s">
        <v>223</v>
      </c>
      <c r="B813" s="12" t="s">
        <v>222</v>
      </c>
      <c r="C813" s="24">
        <v>350240</v>
      </c>
      <c r="E813" s="336"/>
      <c r="F813" s="12"/>
      <c r="G813" s="346"/>
    </row>
    <row r="814" spans="1:6" ht="13.5" hidden="1">
      <c r="A814" s="12" t="s">
        <v>206</v>
      </c>
      <c r="B814" s="24" t="s">
        <v>459</v>
      </c>
      <c r="C814" s="24">
        <v>0</v>
      </c>
      <c r="E814" s="142"/>
      <c r="F814" s="117"/>
    </row>
    <row r="815" spans="1:10" s="71" customFormat="1" ht="13.5" customHeight="1">
      <c r="A815" s="71" t="s">
        <v>90</v>
      </c>
      <c r="B815" s="24" t="s">
        <v>7</v>
      </c>
      <c r="C815" s="24">
        <v>360200</v>
      </c>
      <c r="E815" s="335"/>
      <c r="F815" s="340"/>
      <c r="G815" s="344"/>
      <c r="H815" s="12"/>
      <c r="J815" s="23"/>
    </row>
    <row r="816" spans="2:7" s="71" customFormat="1" ht="13.5" customHeight="1" thickBot="1">
      <c r="B816" s="24"/>
      <c r="C816" s="23"/>
      <c r="D816" s="455"/>
      <c r="E816" s="336"/>
      <c r="F816" s="453"/>
      <c r="G816" s="346"/>
    </row>
    <row r="817" spans="1:3" ht="14.25" thickBot="1">
      <c r="A817" s="996" t="s">
        <v>4</v>
      </c>
      <c r="B817" s="997"/>
      <c r="C817" s="660">
        <f>C818+C824</f>
        <v>243020</v>
      </c>
    </row>
    <row r="818" spans="1:6" s="332" customFormat="1" ht="13.5">
      <c r="A818" s="249" t="s">
        <v>116</v>
      </c>
      <c r="B818" s="281" t="s">
        <v>117</v>
      </c>
      <c r="C818" s="32">
        <f>SUM(C819:C823)</f>
        <v>201500</v>
      </c>
      <c r="D818" s="331"/>
      <c r="E818" s="331"/>
      <c r="F818" s="386"/>
    </row>
    <row r="819" spans="1:7" s="5" customFormat="1" ht="13.5">
      <c r="A819" s="71" t="s">
        <v>91</v>
      </c>
      <c r="B819" s="71" t="s">
        <v>139</v>
      </c>
      <c r="C819" s="24">
        <v>31800</v>
      </c>
      <c r="D819" s="335"/>
      <c r="E819" s="335"/>
      <c r="F819" s="453"/>
      <c r="G819" s="390"/>
    </row>
    <row r="820" spans="1:7" s="5" customFormat="1" ht="13.5">
      <c r="A820" s="71" t="s">
        <v>204</v>
      </c>
      <c r="B820" s="42" t="s">
        <v>557</v>
      </c>
      <c r="C820" s="24">
        <v>19000</v>
      </c>
      <c r="D820" s="335"/>
      <c r="E820" s="335"/>
      <c r="F820" s="453"/>
      <c r="G820" s="390"/>
    </row>
    <row r="821" spans="1:7" s="5" customFormat="1" ht="13.5">
      <c r="A821" s="71" t="s">
        <v>57</v>
      </c>
      <c r="B821" s="12" t="s">
        <v>58</v>
      </c>
      <c r="C821" s="24">
        <v>74700</v>
      </c>
      <c r="D821" s="335"/>
      <c r="E821" s="335"/>
      <c r="F821" s="453"/>
      <c r="G821" s="390"/>
    </row>
    <row r="822" spans="1:7" s="5" customFormat="1" ht="13.5">
      <c r="A822" s="71" t="s">
        <v>517</v>
      </c>
      <c r="B822" s="12" t="s">
        <v>518</v>
      </c>
      <c r="C822" s="24">
        <v>46000</v>
      </c>
      <c r="D822" s="335"/>
      <c r="E822" s="335"/>
      <c r="F822" s="453"/>
      <c r="G822" s="390"/>
    </row>
    <row r="823" spans="1:8" s="8" customFormat="1" ht="13.5" customHeight="1">
      <c r="A823" s="71" t="s">
        <v>756</v>
      </c>
      <c r="B823" s="23" t="s">
        <v>757</v>
      </c>
      <c r="C823" s="24">
        <v>30000</v>
      </c>
      <c r="D823" s="77"/>
      <c r="E823" s="25"/>
      <c r="F823" s="98"/>
      <c r="G823" s="54"/>
      <c r="H823" s="42"/>
    </row>
    <row r="824" spans="1:7" s="5" customFormat="1" ht="13.5">
      <c r="A824" s="249" t="s">
        <v>165</v>
      </c>
      <c r="B824" s="25" t="s">
        <v>134</v>
      </c>
      <c r="C824" s="31">
        <f>SUM(C825)</f>
        <v>41520</v>
      </c>
      <c r="D824" s="335"/>
      <c r="E824" s="335"/>
      <c r="F824" s="453"/>
      <c r="G824" s="390"/>
    </row>
    <row r="825" spans="1:7" s="5" customFormat="1" ht="13.5">
      <c r="A825" s="71" t="s">
        <v>166</v>
      </c>
      <c r="B825" s="23" t="s">
        <v>51</v>
      </c>
      <c r="C825" s="24">
        <v>41520</v>
      </c>
      <c r="D825" s="335"/>
      <c r="E825" s="335"/>
      <c r="F825" s="453"/>
      <c r="G825" s="390"/>
    </row>
    <row r="826" spans="1:7" s="5" customFormat="1" ht="13.5">
      <c r="A826" s="71"/>
      <c r="B826" s="23"/>
      <c r="C826" s="24"/>
      <c r="D826" s="335"/>
      <c r="E826" s="335"/>
      <c r="F826" s="453"/>
      <c r="G826" s="390"/>
    </row>
    <row r="827" ht="13.5" thickBot="1"/>
    <row r="828" spans="1:6" s="1" customFormat="1" ht="12.75">
      <c r="A828" s="583" t="s">
        <v>519</v>
      </c>
      <c r="B828" s="584"/>
      <c r="C828" s="625"/>
      <c r="D828" s="627" t="s">
        <v>6</v>
      </c>
      <c r="E828" s="757" t="s">
        <v>1040</v>
      </c>
      <c r="F828" s="447"/>
    </row>
    <row r="829" spans="1:6" s="1" customFormat="1" ht="13.5" thickBot="1">
      <c r="A829" s="587"/>
      <c r="B829" s="588"/>
      <c r="C829" s="628"/>
      <c r="D829" s="630"/>
      <c r="E829" s="653"/>
      <c r="F829" s="447"/>
    </row>
    <row r="830" spans="1:6" s="1" customFormat="1" ht="12.75">
      <c r="A830" s="979" t="s">
        <v>833</v>
      </c>
      <c r="B830" s="980"/>
      <c r="C830" s="980"/>
      <c r="D830" s="980"/>
      <c r="E830" s="981"/>
      <c r="F830" s="447"/>
    </row>
    <row r="831" spans="1:6" s="1" customFormat="1" ht="12.75">
      <c r="A831" s="982"/>
      <c r="B831" s="983"/>
      <c r="C831" s="983"/>
      <c r="D831" s="983"/>
      <c r="E831" s="984"/>
      <c r="F831" s="447"/>
    </row>
    <row r="832" spans="1:6" s="1" customFormat="1" ht="12.75">
      <c r="A832" s="982"/>
      <c r="B832" s="983"/>
      <c r="C832" s="983"/>
      <c r="D832" s="983"/>
      <c r="E832" s="984"/>
      <c r="F832" s="447"/>
    </row>
    <row r="833" spans="1:5" s="1" customFormat="1" ht="12.75">
      <c r="A833" s="982"/>
      <c r="B833" s="983"/>
      <c r="C833" s="983"/>
      <c r="D833" s="983"/>
      <c r="E833" s="984"/>
    </row>
    <row r="834" spans="1:5" s="1" customFormat="1" ht="12.75">
      <c r="A834" s="982"/>
      <c r="B834" s="983"/>
      <c r="C834" s="983"/>
      <c r="D834" s="983"/>
      <c r="E834" s="984"/>
    </row>
    <row r="835" spans="1:5" s="1" customFormat="1" ht="12.75">
      <c r="A835" s="982"/>
      <c r="B835" s="983"/>
      <c r="C835" s="983"/>
      <c r="D835" s="983"/>
      <c r="E835" s="984"/>
    </row>
    <row r="836" spans="1:5" s="1" customFormat="1" ht="13.5" thickBot="1">
      <c r="A836" s="985"/>
      <c r="B836" s="986"/>
      <c r="C836" s="986"/>
      <c r="D836" s="986"/>
      <c r="E836" s="987"/>
    </row>
    <row r="837" spans="1:6" s="1" customFormat="1" ht="13.5">
      <c r="A837" s="40" t="s">
        <v>809</v>
      </c>
      <c r="B837" s="12"/>
      <c r="C837" s="24"/>
      <c r="D837" s="24"/>
      <c r="E837" s="303"/>
      <c r="F837" s="447"/>
    </row>
    <row r="838" spans="1:7" s="1" customFormat="1" ht="13.5">
      <c r="A838" s="40" t="s">
        <v>616</v>
      </c>
      <c r="B838" s="12"/>
      <c r="C838" s="24"/>
      <c r="D838" s="24"/>
      <c r="E838" s="303"/>
      <c r="F838" s="447"/>
      <c r="G838" s="14"/>
    </row>
    <row r="839" spans="1:7" s="1" customFormat="1" ht="13.5">
      <c r="A839" s="40" t="s">
        <v>614</v>
      </c>
      <c r="B839" s="12"/>
      <c r="C839" s="24"/>
      <c r="D839" s="24"/>
      <c r="E839" s="303"/>
      <c r="F839" s="447"/>
      <c r="G839" s="14"/>
    </row>
    <row r="840" spans="1:6" s="1" customFormat="1" ht="14.25" thickBot="1">
      <c r="A840" s="75" t="s">
        <v>13</v>
      </c>
      <c r="B840" s="135"/>
      <c r="C840" s="360"/>
      <c r="D840" s="360"/>
      <c r="E840" s="361"/>
      <c r="F840" s="447"/>
    </row>
    <row r="841" spans="1:8" s="1" customFormat="1" ht="14.25" thickBot="1">
      <c r="A841" s="697" t="s">
        <v>14</v>
      </c>
      <c r="B841" s="698"/>
      <c r="C841" s="699"/>
      <c r="D841" s="701"/>
      <c r="E841" s="707">
        <f>+C843+C866+C891+C886</f>
        <v>3656120</v>
      </c>
      <c r="F841" s="447"/>
      <c r="H841" s="14"/>
    </row>
    <row r="842" spans="1:6" ht="14.25" thickBot="1">
      <c r="A842" s="11"/>
      <c r="B842" s="11"/>
      <c r="C842" s="31"/>
      <c r="D842" s="31"/>
      <c r="F842" s="351"/>
    </row>
    <row r="843" spans="1:6" ht="14.25" thickBot="1">
      <c r="A843" s="992" t="s">
        <v>2</v>
      </c>
      <c r="B843" s="993"/>
      <c r="C843" s="602">
        <f>C844+C846+C848+C851+C856+C860</f>
        <v>1237760</v>
      </c>
      <c r="D843" s="20"/>
      <c r="F843" s="803"/>
    </row>
    <row r="844" spans="1:6" s="332" customFormat="1" ht="13.5">
      <c r="A844" s="11" t="s">
        <v>103</v>
      </c>
      <c r="B844" s="281" t="s">
        <v>104</v>
      </c>
      <c r="C844" s="32">
        <f>SUM(C845)</f>
        <v>51710</v>
      </c>
      <c r="D844" s="331"/>
      <c r="E844" s="331"/>
      <c r="F844" s="386"/>
    </row>
    <row r="845" spans="1:7" s="12" customFormat="1" ht="13.5" customHeight="1">
      <c r="A845" s="12" t="s">
        <v>46</v>
      </c>
      <c r="B845" s="12" t="s">
        <v>45</v>
      </c>
      <c r="C845" s="24">
        <v>51710</v>
      </c>
      <c r="D845" s="383"/>
      <c r="E845" s="336"/>
      <c r="F845" s="452"/>
      <c r="G845" s="374"/>
    </row>
    <row r="846" spans="1:7" s="12" customFormat="1" ht="13.5" customHeight="1">
      <c r="A846" s="11" t="s">
        <v>105</v>
      </c>
      <c r="B846" s="11" t="s">
        <v>106</v>
      </c>
      <c r="C846" s="31">
        <f>SUM(C847)</f>
        <v>237020</v>
      </c>
      <c r="D846" s="466"/>
      <c r="F846" s="415"/>
      <c r="G846" s="374"/>
    </row>
    <row r="847" spans="1:6" s="5" customFormat="1" ht="13.5">
      <c r="A847" s="12" t="s">
        <v>86</v>
      </c>
      <c r="B847" s="71" t="s">
        <v>66</v>
      </c>
      <c r="C847" s="24">
        <v>237020</v>
      </c>
      <c r="D847" s="466"/>
      <c r="E847" s="461"/>
      <c r="F847" s="453"/>
    </row>
    <row r="848" spans="1:6" s="5" customFormat="1" ht="13.5">
      <c r="A848" s="11" t="s">
        <v>107</v>
      </c>
      <c r="B848" s="249" t="s">
        <v>108</v>
      </c>
      <c r="C848" s="31">
        <f>SUM(C849:C850)</f>
        <v>118100</v>
      </c>
      <c r="D848" s="466"/>
      <c r="E848" s="461"/>
      <c r="F848" s="453"/>
    </row>
    <row r="849" spans="1:7" s="5" customFormat="1" ht="13.5">
      <c r="A849" s="12" t="s">
        <v>47</v>
      </c>
      <c r="B849" s="23" t="s">
        <v>48</v>
      </c>
      <c r="C849" s="24">
        <v>76900</v>
      </c>
      <c r="E849" s="461"/>
      <c r="F849" s="466"/>
      <c r="G849" s="390"/>
    </row>
    <row r="850" spans="1:7" s="5" customFormat="1" ht="13.5">
      <c r="A850" s="12" t="s">
        <v>453</v>
      </c>
      <c r="B850" s="42" t="s">
        <v>454</v>
      </c>
      <c r="C850" s="24">
        <v>41200</v>
      </c>
      <c r="E850" s="461"/>
      <c r="F850" s="466"/>
      <c r="G850" s="390"/>
    </row>
    <row r="851" spans="1:7" s="5" customFormat="1" ht="13.5">
      <c r="A851" s="249" t="s">
        <v>119</v>
      </c>
      <c r="B851" s="25" t="s">
        <v>109</v>
      </c>
      <c r="C851" s="31">
        <f>SUM(C852:C855)</f>
        <v>100650</v>
      </c>
      <c r="E851" s="461"/>
      <c r="F851" s="466"/>
      <c r="G851" s="390"/>
    </row>
    <row r="852" spans="1:7" s="5" customFormat="1" ht="13.5">
      <c r="A852" s="71" t="s">
        <v>149</v>
      </c>
      <c r="B852" s="24" t="s">
        <v>338</v>
      </c>
      <c r="C852" s="24">
        <v>7650</v>
      </c>
      <c r="E852" s="461"/>
      <c r="F852" s="456"/>
      <c r="G852" s="390"/>
    </row>
    <row r="853" spans="1:5" s="65" customFormat="1" ht="13.5">
      <c r="A853" s="71" t="s">
        <v>758</v>
      </c>
      <c r="B853" s="24" t="s">
        <v>753</v>
      </c>
      <c r="C853" s="24">
        <v>23000</v>
      </c>
      <c r="D853" s="77"/>
      <c r="E853" s="25"/>
    </row>
    <row r="854" spans="1:5" s="65" customFormat="1" ht="13.5">
      <c r="A854" s="71" t="s">
        <v>762</v>
      </c>
      <c r="B854" s="24" t="s">
        <v>763</v>
      </c>
      <c r="C854" s="24">
        <v>55000</v>
      </c>
      <c r="D854" s="77"/>
      <c r="E854" s="25"/>
    </row>
    <row r="855" spans="1:5" s="65" customFormat="1" ht="13.5">
      <c r="A855" s="71" t="s">
        <v>754</v>
      </c>
      <c r="B855" s="24" t="s">
        <v>755</v>
      </c>
      <c r="C855" s="24">
        <v>15000</v>
      </c>
      <c r="D855" s="77"/>
      <c r="E855" s="25"/>
    </row>
    <row r="856" spans="1:7" s="5" customFormat="1" ht="13.5">
      <c r="A856" s="249" t="s">
        <v>124</v>
      </c>
      <c r="B856" s="31" t="s">
        <v>123</v>
      </c>
      <c r="C856" s="31">
        <f>SUM(C857:C859)</f>
        <v>458440</v>
      </c>
      <c r="E856" s="461"/>
      <c r="F856" s="467"/>
      <c r="G856" s="390"/>
    </row>
    <row r="857" spans="1:7" s="5" customFormat="1" ht="13.5">
      <c r="A857" s="71" t="s">
        <v>231</v>
      </c>
      <c r="B857" s="42" t="s">
        <v>230</v>
      </c>
      <c r="C857" s="24">
        <v>39530</v>
      </c>
      <c r="E857" s="461"/>
      <c r="F857" s="467"/>
      <c r="G857" s="390"/>
    </row>
    <row r="858" spans="1:9" s="12" customFormat="1" ht="13.5" customHeight="1">
      <c r="A858" s="12" t="s">
        <v>241</v>
      </c>
      <c r="B858" s="24" t="s">
        <v>242</v>
      </c>
      <c r="C858" s="24">
        <v>78060</v>
      </c>
      <c r="D858" s="78"/>
      <c r="E858" s="31"/>
      <c r="G858" s="24"/>
      <c r="I858" s="279"/>
    </row>
    <row r="859" spans="1:7" s="5" customFormat="1" ht="13.5">
      <c r="A859" s="71" t="s">
        <v>93</v>
      </c>
      <c r="B859" s="24" t="s">
        <v>72</v>
      </c>
      <c r="C859" s="24">
        <v>340850</v>
      </c>
      <c r="E859" s="468"/>
      <c r="F859" s="65"/>
      <c r="G859" s="390"/>
    </row>
    <row r="860" spans="1:7" s="5" customFormat="1" ht="13.5">
      <c r="A860" s="249" t="s">
        <v>150</v>
      </c>
      <c r="B860" s="25" t="s">
        <v>125</v>
      </c>
      <c r="C860" s="31">
        <f>SUM(C861:C864)</f>
        <v>271840</v>
      </c>
      <c r="E860" s="335"/>
      <c r="F860" s="335"/>
      <c r="G860" s="390"/>
    </row>
    <row r="861" spans="1:7" s="5" customFormat="1" ht="13.5">
      <c r="A861" s="71" t="s">
        <v>151</v>
      </c>
      <c r="B861" s="23" t="s">
        <v>65</v>
      </c>
      <c r="C861" s="24">
        <v>24840</v>
      </c>
      <c r="D861" s="335"/>
      <c r="E861" s="335"/>
      <c r="F861" s="453"/>
      <c r="G861" s="390"/>
    </row>
    <row r="862" spans="1:7" s="5" customFormat="1" ht="13.5">
      <c r="A862" s="71" t="s">
        <v>152</v>
      </c>
      <c r="B862" s="24" t="s">
        <v>70</v>
      </c>
      <c r="C862" s="24">
        <v>109800</v>
      </c>
      <c r="E862" s="336"/>
      <c r="F862" s="340"/>
      <c r="G862" s="390"/>
    </row>
    <row r="863" spans="1:7" s="5" customFormat="1" ht="13.5">
      <c r="A863" s="71" t="s">
        <v>154</v>
      </c>
      <c r="B863" s="23" t="s">
        <v>125</v>
      </c>
      <c r="C863" s="24">
        <v>32200</v>
      </c>
      <c r="E863" s="336"/>
      <c r="F863" s="336"/>
      <c r="G863" s="390"/>
    </row>
    <row r="864" spans="1:7" s="5" customFormat="1" ht="13.5">
      <c r="A864" s="71" t="s">
        <v>652</v>
      </c>
      <c r="B864" s="42" t="s">
        <v>642</v>
      </c>
      <c r="C864" s="24">
        <v>105000</v>
      </c>
      <c r="E864" s="336"/>
      <c r="F864" s="336"/>
      <c r="G864" s="390"/>
    </row>
    <row r="865" spans="1:7" s="5" customFormat="1" ht="14.25" thickBot="1">
      <c r="A865" s="71"/>
      <c r="B865" s="24"/>
      <c r="C865" s="23"/>
      <c r="E865" s="335"/>
      <c r="F865" s="335"/>
      <c r="G865" s="390"/>
    </row>
    <row r="866" spans="1:6" ht="14.25" thickBot="1">
      <c r="A866" s="994" t="s">
        <v>3</v>
      </c>
      <c r="B866" s="995"/>
      <c r="C866" s="603">
        <f>C867+C869+C872+C876+C880</f>
        <v>2044680</v>
      </c>
      <c r="F866" s="18"/>
    </row>
    <row r="867" spans="1:6" s="332" customFormat="1" ht="13.5">
      <c r="A867" s="249" t="s">
        <v>110</v>
      </c>
      <c r="B867" s="281" t="s">
        <v>111</v>
      </c>
      <c r="C867" s="32">
        <f>SUM(C868)</f>
        <v>43750</v>
      </c>
      <c r="E867" s="331"/>
      <c r="F867" s="331"/>
    </row>
    <row r="868" spans="1:8" s="71" customFormat="1" ht="13.5" customHeight="1">
      <c r="A868" s="71" t="s">
        <v>52</v>
      </c>
      <c r="B868" s="24" t="s">
        <v>15</v>
      </c>
      <c r="C868" s="24">
        <v>43750</v>
      </c>
      <c r="E868" s="335"/>
      <c r="F868" s="336"/>
      <c r="G868" s="344"/>
      <c r="H868" s="24"/>
    </row>
    <row r="869" spans="1:8" s="71" customFormat="1" ht="13.5" customHeight="1">
      <c r="A869" s="11" t="s">
        <v>120</v>
      </c>
      <c r="B869" s="31" t="s">
        <v>121</v>
      </c>
      <c r="C869" s="31">
        <f>SUM(C870:C871)</f>
        <v>123810</v>
      </c>
      <c r="E869" s="335"/>
      <c r="F869" s="336"/>
      <c r="G869" s="344"/>
      <c r="H869" s="24"/>
    </row>
    <row r="870" spans="1:8" s="71" customFormat="1" ht="13.5" customHeight="1">
      <c r="A870" s="12" t="s">
        <v>140</v>
      </c>
      <c r="B870" s="42" t="s">
        <v>141</v>
      </c>
      <c r="C870" s="24">
        <v>78000</v>
      </c>
      <c r="E870" s="335"/>
      <c r="F870" s="336"/>
      <c r="G870" s="344"/>
      <c r="H870" s="24"/>
    </row>
    <row r="871" spans="1:8" s="71" customFormat="1" ht="13.5" customHeight="1">
      <c r="A871" s="12" t="s">
        <v>136</v>
      </c>
      <c r="B871" s="12" t="s">
        <v>71</v>
      </c>
      <c r="C871" s="24">
        <v>45810</v>
      </c>
      <c r="E871" s="335"/>
      <c r="F871" s="336"/>
      <c r="G871" s="344"/>
      <c r="H871" s="24"/>
    </row>
    <row r="872" spans="1:8" s="71" customFormat="1" ht="13.5" customHeight="1">
      <c r="A872" s="249" t="s">
        <v>112</v>
      </c>
      <c r="B872" s="31" t="s">
        <v>156</v>
      </c>
      <c r="C872" s="31">
        <f>SUM(C873:C874)</f>
        <v>482800</v>
      </c>
      <c r="E872" s="335"/>
      <c r="F872" s="336"/>
      <c r="G872" s="344"/>
      <c r="H872" s="24"/>
    </row>
    <row r="873" spans="1:8" s="71" customFormat="1" ht="13.5" customHeight="1">
      <c r="A873" s="71" t="s">
        <v>138</v>
      </c>
      <c r="B873" s="58" t="s">
        <v>810</v>
      </c>
      <c r="C873" s="24">
        <v>7800</v>
      </c>
      <c r="E873" s="335"/>
      <c r="F873" s="336"/>
      <c r="G873" s="344"/>
      <c r="H873" s="24"/>
    </row>
    <row r="874" spans="1:8" s="71" customFormat="1" ht="13.5" customHeight="1">
      <c r="A874" s="71" t="s">
        <v>155</v>
      </c>
      <c r="B874" s="12" t="s">
        <v>87</v>
      </c>
      <c r="C874" s="24">
        <v>475000</v>
      </c>
      <c r="E874" s="340"/>
      <c r="F874" s="455"/>
      <c r="G874" s="344"/>
      <c r="H874" s="24"/>
    </row>
    <row r="875" spans="1:10" s="71" customFormat="1" ht="13.5" customHeight="1">
      <c r="A875" s="71" t="s">
        <v>813</v>
      </c>
      <c r="B875" s="42" t="s">
        <v>814</v>
      </c>
      <c r="C875" s="24">
        <v>450000</v>
      </c>
      <c r="D875" s="346"/>
      <c r="E875" s="407"/>
      <c r="F875" s="335"/>
      <c r="G875" s="346"/>
      <c r="H875" s="12"/>
      <c r="J875" s="23"/>
    </row>
    <row r="876" spans="1:8" s="71" customFormat="1" ht="13.5" customHeight="1">
      <c r="A876" s="11" t="s">
        <v>113</v>
      </c>
      <c r="B876" s="11" t="s">
        <v>114</v>
      </c>
      <c r="C876" s="31">
        <f>SUM(C877:C879)</f>
        <v>170800</v>
      </c>
      <c r="E876" s="335"/>
      <c r="F876" s="336"/>
      <c r="G876" s="344"/>
      <c r="H876" s="24"/>
    </row>
    <row r="877" spans="1:8" s="71" customFormat="1" ht="13.5" customHeight="1">
      <c r="A877" s="12" t="s">
        <v>53</v>
      </c>
      <c r="B877" s="12" t="s">
        <v>54</v>
      </c>
      <c r="C877" s="24">
        <f>112500-11200</f>
        <v>101300</v>
      </c>
      <c r="E877" s="335"/>
      <c r="F877" s="383"/>
      <c r="G877" s="344"/>
      <c r="H877" s="12"/>
    </row>
    <row r="878" spans="1:8" s="71" customFormat="1" ht="13.5" customHeight="1">
      <c r="A878" s="12" t="s">
        <v>163</v>
      </c>
      <c r="B878" s="12" t="s">
        <v>74</v>
      </c>
      <c r="C878" s="24">
        <v>19800</v>
      </c>
      <c r="E878" s="335"/>
      <c r="F878" s="336"/>
      <c r="G878" s="344"/>
      <c r="H878" s="12"/>
    </row>
    <row r="879" spans="1:8" s="71" customFormat="1" ht="13.5" customHeight="1">
      <c r="A879" s="12" t="s">
        <v>509</v>
      </c>
      <c r="B879" s="42" t="s">
        <v>510</v>
      </c>
      <c r="C879" s="24">
        <v>49700</v>
      </c>
      <c r="E879" s="335"/>
      <c r="F879" s="336"/>
      <c r="G879" s="344"/>
      <c r="H879" s="12"/>
    </row>
    <row r="880" spans="1:8" s="71" customFormat="1" ht="13.5" customHeight="1">
      <c r="A880" s="249" t="s">
        <v>115</v>
      </c>
      <c r="B880" s="31" t="s">
        <v>8</v>
      </c>
      <c r="C880" s="31">
        <f>SUM(C881:C884)</f>
        <v>1223520</v>
      </c>
      <c r="E880" s="335"/>
      <c r="F880" s="336"/>
      <c r="G880" s="344"/>
      <c r="H880" s="12"/>
    </row>
    <row r="881" spans="1:10" s="11" customFormat="1" ht="13.5" customHeight="1">
      <c r="A881" s="71" t="s">
        <v>89</v>
      </c>
      <c r="B881" s="24" t="s">
        <v>8</v>
      </c>
      <c r="C881" s="24">
        <v>850800</v>
      </c>
      <c r="E881" s="340"/>
      <c r="F881" s="455"/>
      <c r="G881" s="346"/>
      <c r="H881" s="71"/>
      <c r="I881" s="71"/>
      <c r="J881" s="71"/>
    </row>
    <row r="882" spans="1:7" s="71" customFormat="1" ht="13.5" customHeight="1">
      <c r="A882" s="71" t="s">
        <v>182</v>
      </c>
      <c r="B882" s="24" t="s">
        <v>50</v>
      </c>
      <c r="C882" s="24">
        <v>20590</v>
      </c>
      <c r="F882" s="336"/>
      <c r="G882" s="346"/>
    </row>
    <row r="883" spans="1:7" s="71" customFormat="1" ht="13.5" customHeight="1">
      <c r="A883" s="71" t="s">
        <v>223</v>
      </c>
      <c r="B883" s="12" t="s">
        <v>222</v>
      </c>
      <c r="C883" s="24">
        <v>120630</v>
      </c>
      <c r="E883" s="336"/>
      <c r="G883" s="346"/>
    </row>
    <row r="884" spans="1:10" s="71" customFormat="1" ht="13.5" customHeight="1">
      <c r="A884" s="71" t="s">
        <v>90</v>
      </c>
      <c r="B884" s="24" t="s">
        <v>7</v>
      </c>
      <c r="C884" s="24">
        <v>231500</v>
      </c>
      <c r="D884" s="454"/>
      <c r="E884" s="335"/>
      <c r="F884" s="452"/>
      <c r="G884" s="344"/>
      <c r="H884" s="12"/>
      <c r="J884" s="23"/>
    </row>
    <row r="885" spans="2:7" s="71" customFormat="1" ht="13.5" customHeight="1" thickBot="1">
      <c r="B885" s="24"/>
      <c r="C885" s="23"/>
      <c r="D885" s="455"/>
      <c r="E885" s="336"/>
      <c r="F885" s="453"/>
      <c r="G885" s="346"/>
    </row>
    <row r="886" spans="1:3" ht="14.25" thickBot="1">
      <c r="A886" s="1007" t="s">
        <v>5</v>
      </c>
      <c r="B886" s="1008"/>
      <c r="C886" s="604">
        <f>C887</f>
        <v>115200</v>
      </c>
    </row>
    <row r="887" spans="1:6" s="332" customFormat="1" ht="13.5">
      <c r="A887" s="249" t="s">
        <v>128</v>
      </c>
      <c r="B887" s="281" t="s">
        <v>129</v>
      </c>
      <c r="C887" s="32">
        <f>SUM(C888:C889)</f>
        <v>115200</v>
      </c>
      <c r="D887" s="331"/>
      <c r="E887" s="331"/>
      <c r="F887" s="386"/>
    </row>
    <row r="888" spans="1:6" s="332" customFormat="1" ht="13.5">
      <c r="A888" s="71" t="s">
        <v>507</v>
      </c>
      <c r="B888" s="42" t="s">
        <v>508</v>
      </c>
      <c r="C888" s="22">
        <v>24600</v>
      </c>
      <c r="D888" s="331"/>
      <c r="E888" s="331"/>
      <c r="F888" s="386"/>
    </row>
    <row r="889" spans="1:4" ht="13.5">
      <c r="A889" s="71" t="s">
        <v>144</v>
      </c>
      <c r="B889" s="71" t="s">
        <v>12</v>
      </c>
      <c r="C889" s="24">
        <v>90600</v>
      </c>
      <c r="D889" s="377"/>
    </row>
    <row r="890" spans="1:4" ht="14.25" thickBot="1">
      <c r="A890" s="71"/>
      <c r="B890" s="71"/>
      <c r="C890" s="23"/>
      <c r="D890" s="377"/>
    </row>
    <row r="891" spans="1:8" ht="14.25" thickBot="1">
      <c r="A891" s="996" t="s">
        <v>4</v>
      </c>
      <c r="B891" s="997"/>
      <c r="C891" s="605">
        <f>C892+C896+C898</f>
        <v>258480</v>
      </c>
      <c r="D891" s="3"/>
      <c r="F891" s="515"/>
      <c r="G891" s="142"/>
      <c r="H891" s="142"/>
    </row>
    <row r="892" spans="1:8" s="332" customFormat="1" ht="13.5">
      <c r="A892" s="249" t="s">
        <v>116</v>
      </c>
      <c r="B892" s="281" t="s">
        <v>117</v>
      </c>
      <c r="C892" s="32">
        <f>SUM(C893:C895)</f>
        <v>117000</v>
      </c>
      <c r="E892" s="331"/>
      <c r="F892" s="515"/>
      <c r="G892" s="334"/>
      <c r="H892" s="334"/>
    </row>
    <row r="893" spans="1:8" s="5" customFormat="1" ht="13.5">
      <c r="A893" s="71" t="s">
        <v>91</v>
      </c>
      <c r="B893" s="71" t="s">
        <v>139</v>
      </c>
      <c r="C893" s="24">
        <v>59520</v>
      </c>
      <c r="E893" s="335"/>
      <c r="F893" s="543"/>
      <c r="G893" s="374"/>
      <c r="H893" s="142"/>
    </row>
    <row r="894" spans="1:8" ht="13.5">
      <c r="A894" s="71" t="s">
        <v>57</v>
      </c>
      <c r="B894" s="12" t="s">
        <v>58</v>
      </c>
      <c r="C894" s="209">
        <v>27480</v>
      </c>
      <c r="F894" s="515"/>
      <c r="G894" s="142"/>
      <c r="H894" s="142"/>
    </row>
    <row r="895" spans="1:8" s="8" customFormat="1" ht="13.5" customHeight="1">
      <c r="A895" s="71" t="s">
        <v>756</v>
      </c>
      <c r="B895" s="23" t="s">
        <v>757</v>
      </c>
      <c r="C895" s="24">
        <v>30000</v>
      </c>
      <c r="D895" s="77"/>
      <c r="E895" s="25"/>
      <c r="F895" s="98"/>
      <c r="G895" s="54"/>
      <c r="H895" s="42"/>
    </row>
    <row r="896" spans="1:8" ht="13.5">
      <c r="A896" s="249" t="s">
        <v>118</v>
      </c>
      <c r="B896" s="11" t="s">
        <v>130</v>
      </c>
      <c r="C896" s="568">
        <f>SUM(C897)</f>
        <v>98280</v>
      </c>
      <c r="F896" s="543"/>
      <c r="G896" s="142"/>
      <c r="H896" s="142"/>
    </row>
    <row r="897" spans="1:8" ht="13.5">
      <c r="A897" s="71" t="s">
        <v>514</v>
      </c>
      <c r="B897" s="12" t="s">
        <v>515</v>
      </c>
      <c r="C897" s="209">
        <v>98280</v>
      </c>
      <c r="F897" s="544"/>
      <c r="G897" s="142"/>
      <c r="H897" s="142"/>
    </row>
    <row r="898" spans="1:3" ht="13.5">
      <c r="A898" s="249" t="s">
        <v>165</v>
      </c>
      <c r="B898" s="25" t="s">
        <v>134</v>
      </c>
      <c r="C898" s="568">
        <f>SUM(C899)</f>
        <v>43200</v>
      </c>
    </row>
    <row r="899" spans="1:7" s="5" customFormat="1" ht="13.5">
      <c r="A899" s="71" t="s">
        <v>166</v>
      </c>
      <c r="B899" s="23" t="s">
        <v>51</v>
      </c>
      <c r="C899" s="24">
        <v>43200</v>
      </c>
      <c r="E899" s="335"/>
      <c r="F899" s="453"/>
      <c r="G899" s="390"/>
    </row>
    <row r="900" spans="1:6" s="334" customFormat="1" ht="13.5" hidden="1">
      <c r="A900" s="11"/>
      <c r="B900" s="281"/>
      <c r="C900" s="32"/>
      <c r="D900" s="223"/>
      <c r="E900" s="223"/>
      <c r="F900" s="340"/>
    </row>
    <row r="901" spans="2:8" s="12" customFormat="1" ht="13.5" customHeight="1" hidden="1">
      <c r="B901" s="24"/>
      <c r="C901" s="24"/>
      <c r="D901" s="336"/>
      <c r="E901" s="336"/>
      <c r="F901" s="452"/>
      <c r="G901" s="344"/>
      <c r="H901" s="24"/>
    </row>
    <row r="902" spans="1:8" s="12" customFormat="1" ht="13.5" customHeight="1">
      <c r="A902" s="11"/>
      <c r="B902" s="31"/>
      <c r="C902" s="31"/>
      <c r="D902" s="336"/>
      <c r="E902" s="336"/>
      <c r="F902" s="452"/>
      <c r="G902" s="344"/>
      <c r="H902" s="24"/>
    </row>
    <row r="903" spans="3:8" s="12" customFormat="1" ht="13.5" customHeight="1" thickBot="1">
      <c r="C903" s="24"/>
      <c r="E903" s="336"/>
      <c r="F903" s="383"/>
      <c r="G903" s="344"/>
      <c r="H903" s="24"/>
    </row>
    <row r="904" spans="1:6" s="51" customFormat="1" ht="12.75">
      <c r="A904" s="583" t="s">
        <v>664</v>
      </c>
      <c r="B904" s="638"/>
      <c r="C904" s="647"/>
      <c r="D904" s="639" t="s">
        <v>6</v>
      </c>
      <c r="E904" s="754" t="s">
        <v>930</v>
      </c>
      <c r="F904" s="61"/>
    </row>
    <row r="905" spans="1:6" s="51" customFormat="1" ht="13.5" thickBot="1">
      <c r="A905" s="642"/>
      <c r="B905" s="646"/>
      <c r="C905" s="649"/>
      <c r="D905" s="643"/>
      <c r="E905" s="644"/>
      <c r="F905" s="61"/>
    </row>
    <row r="906" spans="1:6" s="68" customFormat="1" ht="12.75">
      <c r="A906" s="979" t="s">
        <v>834</v>
      </c>
      <c r="B906" s="980"/>
      <c r="C906" s="980"/>
      <c r="D906" s="980"/>
      <c r="E906" s="981"/>
      <c r="F906" s="64"/>
    </row>
    <row r="907" spans="1:6" s="68" customFormat="1" ht="12.75">
      <c r="A907" s="982"/>
      <c r="B907" s="983"/>
      <c r="C907" s="983"/>
      <c r="D907" s="983"/>
      <c r="E907" s="984"/>
      <c r="F907" s="64"/>
    </row>
    <row r="908" spans="1:6" s="68" customFormat="1" ht="12.75">
      <c r="A908" s="982"/>
      <c r="B908" s="983"/>
      <c r="C908" s="983"/>
      <c r="D908" s="983"/>
      <c r="E908" s="984"/>
      <c r="F908" s="64"/>
    </row>
    <row r="909" spans="1:6" s="68" customFormat="1" ht="12.75">
      <c r="A909" s="982"/>
      <c r="B909" s="983"/>
      <c r="C909" s="983"/>
      <c r="D909" s="983"/>
      <c r="E909" s="984"/>
      <c r="F909" s="64"/>
    </row>
    <row r="910" spans="1:6" s="68" customFormat="1" ht="12.75">
      <c r="A910" s="982"/>
      <c r="B910" s="983"/>
      <c r="C910" s="983"/>
      <c r="D910" s="983"/>
      <c r="E910" s="984"/>
      <c r="F910" s="64"/>
    </row>
    <row r="911" spans="1:6" s="68" customFormat="1" ht="12.75">
      <c r="A911" s="982"/>
      <c r="B911" s="983"/>
      <c r="C911" s="983"/>
      <c r="D911" s="983"/>
      <c r="E911" s="984"/>
      <c r="F911" s="64"/>
    </row>
    <row r="912" spans="1:6" s="68" customFormat="1" ht="12.75">
      <c r="A912" s="982"/>
      <c r="B912" s="983"/>
      <c r="C912" s="983"/>
      <c r="D912" s="983"/>
      <c r="E912" s="984"/>
      <c r="F912" s="64"/>
    </row>
    <row r="913" spans="1:6" s="68" customFormat="1" ht="12.75">
      <c r="A913" s="982"/>
      <c r="B913" s="983"/>
      <c r="C913" s="983"/>
      <c r="D913" s="983"/>
      <c r="E913" s="984"/>
      <c r="F913" s="64"/>
    </row>
    <row r="914" spans="1:6" s="68" customFormat="1" ht="12.75">
      <c r="A914" s="982"/>
      <c r="B914" s="983"/>
      <c r="C914" s="983"/>
      <c r="D914" s="983"/>
      <c r="E914" s="984"/>
      <c r="F914" s="64"/>
    </row>
    <row r="915" spans="1:6" s="68" customFormat="1" ht="12.75">
      <c r="A915" s="982"/>
      <c r="B915" s="983"/>
      <c r="C915" s="983"/>
      <c r="D915" s="983"/>
      <c r="E915" s="984"/>
      <c r="F915" s="64"/>
    </row>
    <row r="916" spans="1:6" s="68" customFormat="1" ht="13.5" thickBot="1">
      <c r="A916" s="985"/>
      <c r="B916" s="986"/>
      <c r="C916" s="986"/>
      <c r="D916" s="986"/>
      <c r="E916" s="987"/>
      <c r="F916" s="64"/>
    </row>
    <row r="917" spans="1:6" s="6" customFormat="1" ht="13.5" customHeight="1">
      <c r="A917" s="40" t="s">
        <v>809</v>
      </c>
      <c r="B917" s="31"/>
      <c r="C917" s="31"/>
      <c r="D917" s="32"/>
      <c r="E917" s="41"/>
      <c r="F917" s="87"/>
    </row>
    <row r="918" spans="1:6" s="6" customFormat="1" ht="13.5" customHeight="1">
      <c r="A918" s="40" t="s">
        <v>705</v>
      </c>
      <c r="B918" s="31"/>
      <c r="C918" s="31"/>
      <c r="D918" s="32"/>
      <c r="E918" s="41"/>
      <c r="F918" s="87"/>
    </row>
    <row r="919" spans="1:6" s="6" customFormat="1" ht="13.5" customHeight="1">
      <c r="A919" s="40" t="s">
        <v>704</v>
      </c>
      <c r="B919" s="31"/>
      <c r="C919" s="31"/>
      <c r="D919" s="32"/>
      <c r="E919" s="41"/>
      <c r="F919" s="87"/>
    </row>
    <row r="920" spans="1:6" s="6" customFormat="1" ht="13.5" customHeight="1" thickBot="1">
      <c r="A920" s="40" t="s">
        <v>11</v>
      </c>
      <c r="B920" s="31"/>
      <c r="C920" s="31"/>
      <c r="D920" s="32"/>
      <c r="E920" s="41"/>
      <c r="F920" s="87"/>
    </row>
    <row r="921" spans="1:7" s="51" customFormat="1" ht="14.25" thickBot="1">
      <c r="A921" s="678" t="s">
        <v>14</v>
      </c>
      <c r="B921" s="679"/>
      <c r="C921" s="685"/>
      <c r="D921" s="686"/>
      <c r="E921" s="682">
        <f>+C923+C937+C950</f>
        <v>10068000</v>
      </c>
      <c r="F921" s="61"/>
      <c r="G921" s="61"/>
    </row>
    <row r="922" spans="1:6" s="51" customFormat="1" ht="14.25" thickBot="1">
      <c r="A922" s="62"/>
      <c r="B922" s="62"/>
      <c r="C922" s="63"/>
      <c r="D922" s="63"/>
      <c r="E922" s="513"/>
      <c r="F922" s="61"/>
    </row>
    <row r="923" spans="1:6" s="65" customFormat="1" ht="14.25" thickBot="1">
      <c r="A923" s="1013" t="s">
        <v>2</v>
      </c>
      <c r="B923" s="1014"/>
      <c r="C923" s="634">
        <f>C924+C926+C928+C932+C930</f>
        <v>1710000</v>
      </c>
      <c r="D923" s="67"/>
      <c r="E923" s="67"/>
      <c r="F923" s="67"/>
    </row>
    <row r="924" spans="1:6" s="55" customFormat="1" ht="13.5">
      <c r="A924" s="249" t="s">
        <v>200</v>
      </c>
      <c r="B924" s="281" t="s">
        <v>229</v>
      </c>
      <c r="C924" s="63">
        <f>SUM(C925)</f>
        <v>100000</v>
      </c>
      <c r="D924" s="56"/>
      <c r="E924" s="56"/>
      <c r="F924" s="56"/>
    </row>
    <row r="925" spans="1:7" s="42" customFormat="1" ht="13.5" customHeight="1">
      <c r="A925" s="12" t="s">
        <v>228</v>
      </c>
      <c r="B925" s="8" t="s">
        <v>227</v>
      </c>
      <c r="C925" s="24">
        <v>100000</v>
      </c>
      <c r="D925" s="95"/>
      <c r="E925" s="31"/>
      <c r="F925" s="53"/>
      <c r="G925" s="54"/>
    </row>
    <row r="926" spans="1:7" s="42" customFormat="1" ht="13.5" customHeight="1">
      <c r="A926" s="11" t="s">
        <v>105</v>
      </c>
      <c r="B926" s="502" t="s">
        <v>106</v>
      </c>
      <c r="C926" s="31">
        <f>SUM(C927)</f>
        <v>420000</v>
      </c>
      <c r="D926" s="22"/>
      <c r="E926" s="31"/>
      <c r="F926" s="53"/>
      <c r="G926" s="54"/>
    </row>
    <row r="927" spans="1:7" s="42" customFormat="1" ht="13.5" customHeight="1">
      <c r="A927" s="12" t="s">
        <v>86</v>
      </c>
      <c r="B927" s="8" t="s">
        <v>66</v>
      </c>
      <c r="C927" s="24">
        <v>420000</v>
      </c>
      <c r="D927" s="22"/>
      <c r="E927" s="31"/>
      <c r="F927" s="53"/>
      <c r="G927" s="54"/>
    </row>
    <row r="928" spans="1:7" s="42" customFormat="1" ht="13.5" customHeight="1">
      <c r="A928" s="11" t="s">
        <v>107</v>
      </c>
      <c r="B928" s="502" t="s">
        <v>108</v>
      </c>
      <c r="C928" s="31">
        <f>SUM(C929)</f>
        <v>150000</v>
      </c>
      <c r="D928" s="22"/>
      <c r="E928" s="31"/>
      <c r="F928" s="53"/>
      <c r="G928" s="54"/>
    </row>
    <row r="929" spans="1:6" s="65" customFormat="1" ht="13.5">
      <c r="A929" s="12" t="s">
        <v>47</v>
      </c>
      <c r="B929" s="23" t="s">
        <v>48</v>
      </c>
      <c r="C929" s="59">
        <v>150000</v>
      </c>
      <c r="D929" s="67"/>
      <c r="E929" s="67"/>
      <c r="F929" s="67"/>
    </row>
    <row r="930" spans="1:8" s="71" customFormat="1" ht="13.5" customHeight="1">
      <c r="A930" s="249" t="s">
        <v>124</v>
      </c>
      <c r="B930" s="25" t="s">
        <v>123</v>
      </c>
      <c r="C930" s="31">
        <f>SUM(C931:C931)</f>
        <v>270000</v>
      </c>
      <c r="D930" s="21"/>
      <c r="E930" s="21"/>
      <c r="F930" s="5"/>
      <c r="G930" s="333"/>
      <c r="H930" s="119"/>
    </row>
    <row r="931" spans="1:6" s="65" customFormat="1" ht="13.5">
      <c r="A931" s="71" t="s">
        <v>93</v>
      </c>
      <c r="B931" s="23" t="s">
        <v>72</v>
      </c>
      <c r="C931" s="59">
        <v>270000</v>
      </c>
      <c r="D931" s="67"/>
      <c r="E931" s="67"/>
      <c r="F931" s="67"/>
    </row>
    <row r="932" spans="1:6" s="65" customFormat="1" ht="13.5">
      <c r="A932" s="249" t="s">
        <v>150</v>
      </c>
      <c r="B932" s="25" t="s">
        <v>125</v>
      </c>
      <c r="C932" s="63">
        <f>SUM(C933:C935)</f>
        <v>770000</v>
      </c>
      <c r="D932" s="67"/>
      <c r="E932" s="67"/>
      <c r="F932" s="67"/>
    </row>
    <row r="933" spans="1:6" s="65" customFormat="1" ht="13.5">
      <c r="A933" s="69" t="s">
        <v>152</v>
      </c>
      <c r="B933" s="69" t="s">
        <v>226</v>
      </c>
      <c r="C933" s="59">
        <v>130000</v>
      </c>
      <c r="D933" s="67"/>
      <c r="E933" s="67"/>
      <c r="F933" s="67"/>
    </row>
    <row r="934" spans="1:6" s="65" customFormat="1" ht="13.5">
      <c r="A934" s="71" t="s">
        <v>153</v>
      </c>
      <c r="B934" s="23" t="s">
        <v>133</v>
      </c>
      <c r="C934" s="59">
        <v>240000</v>
      </c>
      <c r="D934" s="67"/>
      <c r="E934" s="67"/>
      <c r="F934" s="67"/>
    </row>
    <row r="935" spans="1:6" s="65" customFormat="1" ht="13.5">
      <c r="A935" s="71" t="s">
        <v>643</v>
      </c>
      <c r="B935" s="42" t="s">
        <v>642</v>
      </c>
      <c r="C935" s="59">
        <v>400000</v>
      </c>
      <c r="D935" s="67"/>
      <c r="E935" s="67"/>
      <c r="F935" s="67"/>
    </row>
    <row r="936" spans="1:6" s="65" customFormat="1" ht="14.25" thickBot="1">
      <c r="A936" s="71"/>
      <c r="B936" s="23"/>
      <c r="C936" s="59"/>
      <c r="D936" s="67"/>
      <c r="E936" s="67"/>
      <c r="F936" s="67"/>
    </row>
    <row r="937" spans="1:6" s="65" customFormat="1" ht="14.25" thickBot="1">
      <c r="A937" s="1015" t="s">
        <v>3</v>
      </c>
      <c r="B937" s="1016"/>
      <c r="C937" s="635">
        <f>C938+C940+C942+C944</f>
        <v>7938000</v>
      </c>
      <c r="D937" s="67"/>
      <c r="E937" s="67"/>
      <c r="F937" s="67"/>
    </row>
    <row r="938" spans="1:6" s="55" customFormat="1" ht="13.5">
      <c r="A938" s="249" t="s">
        <v>110</v>
      </c>
      <c r="B938" s="281" t="s">
        <v>111</v>
      </c>
      <c r="C938" s="63">
        <f>SUM(C939:C939)</f>
        <v>1600000</v>
      </c>
      <c r="D938" s="56"/>
      <c r="E938" s="56"/>
      <c r="F938" s="56"/>
    </row>
    <row r="939" spans="1:6" s="65" customFormat="1" ht="13.5">
      <c r="A939" s="58" t="s">
        <v>52</v>
      </c>
      <c r="B939" s="58" t="s">
        <v>15</v>
      </c>
      <c r="C939" s="59">
        <v>1600000</v>
      </c>
      <c r="D939" s="59"/>
      <c r="E939" s="67"/>
      <c r="F939" s="67"/>
    </row>
    <row r="940" spans="1:10" s="65" customFormat="1" ht="13.5">
      <c r="A940" s="506" t="s">
        <v>120</v>
      </c>
      <c r="B940" s="507" t="s">
        <v>121</v>
      </c>
      <c r="C940" s="31">
        <f>SUM(C941:C941)</f>
        <v>389000</v>
      </c>
      <c r="F940" s="56"/>
      <c r="G940" s="55"/>
      <c r="H940" s="55"/>
      <c r="I940" s="55"/>
      <c r="J940" s="55"/>
    </row>
    <row r="941" spans="1:10" s="65" customFormat="1" ht="13.5">
      <c r="A941" s="58" t="s">
        <v>136</v>
      </c>
      <c r="B941" s="58" t="s">
        <v>71</v>
      </c>
      <c r="C941" s="24">
        <v>389000</v>
      </c>
      <c r="F941" s="56"/>
      <c r="G941" s="55"/>
      <c r="H941" s="55"/>
      <c r="I941" s="55"/>
      <c r="J941" s="55"/>
    </row>
    <row r="942" spans="1:10" s="65" customFormat="1" ht="13.5">
      <c r="A942" s="506" t="s">
        <v>112</v>
      </c>
      <c r="B942" s="505" t="s">
        <v>122</v>
      </c>
      <c r="C942" s="63">
        <f>SUM(C943:C943)</f>
        <v>505000</v>
      </c>
      <c r="F942" s="59"/>
      <c r="G942" s="56"/>
      <c r="H942" s="55"/>
      <c r="I942" s="55"/>
      <c r="J942" s="55"/>
    </row>
    <row r="943" spans="1:10" s="65" customFormat="1" ht="13.5">
      <c r="A943" s="71" t="s">
        <v>49</v>
      </c>
      <c r="B943" s="23" t="s">
        <v>87</v>
      </c>
      <c r="C943" s="59">
        <v>505000</v>
      </c>
      <c r="F943" s="59"/>
      <c r="G943" s="56"/>
      <c r="H943" s="55"/>
      <c r="I943" s="55"/>
      <c r="J943" s="55"/>
    </row>
    <row r="944" spans="1:10" s="65" customFormat="1" ht="13.5">
      <c r="A944" s="249" t="s">
        <v>115</v>
      </c>
      <c r="B944" s="506" t="s">
        <v>8</v>
      </c>
      <c r="C944" s="63">
        <f>SUM(C945:C948)</f>
        <v>5444000</v>
      </c>
      <c r="F944" s="104"/>
      <c r="G944" s="56"/>
      <c r="H944" s="55"/>
      <c r="I944" s="55"/>
      <c r="J944" s="55"/>
    </row>
    <row r="945" spans="1:10" s="65" customFormat="1" ht="13.5">
      <c r="A945" s="69" t="s">
        <v>89</v>
      </c>
      <c r="B945" s="69" t="s">
        <v>8</v>
      </c>
      <c r="C945" s="59">
        <v>3080000</v>
      </c>
      <c r="F945" s="56"/>
      <c r="G945" s="56"/>
      <c r="H945" s="55"/>
      <c r="I945" s="55"/>
      <c r="J945" s="55"/>
    </row>
    <row r="946" spans="1:10" s="65" customFormat="1" ht="13.5">
      <c r="A946" s="69" t="s">
        <v>225</v>
      </c>
      <c r="B946" s="42" t="s">
        <v>224</v>
      </c>
      <c r="C946" s="59">
        <v>600000</v>
      </c>
      <c r="F946" s="56"/>
      <c r="G946" s="56"/>
      <c r="H946" s="55"/>
      <c r="I946" s="55"/>
      <c r="J946" s="55"/>
    </row>
    <row r="947" spans="1:10" s="65" customFormat="1" ht="13.5">
      <c r="A947" s="69" t="s">
        <v>223</v>
      </c>
      <c r="B947" s="69" t="s">
        <v>222</v>
      </c>
      <c r="C947" s="59">
        <v>1500000</v>
      </c>
      <c r="F947" s="56"/>
      <c r="G947" s="56"/>
      <c r="H947" s="55"/>
      <c r="I947" s="55"/>
      <c r="J947" s="55"/>
    </row>
    <row r="948" spans="1:10" s="65" customFormat="1" ht="13.5">
      <c r="A948" s="69" t="s">
        <v>90</v>
      </c>
      <c r="B948" s="69" t="s">
        <v>7</v>
      </c>
      <c r="C948" s="59">
        <v>264000</v>
      </c>
      <c r="F948" s="59"/>
      <c r="G948" s="56"/>
      <c r="H948" s="55"/>
      <c r="I948" s="55"/>
      <c r="J948" s="55"/>
    </row>
    <row r="949" spans="1:10" s="65" customFormat="1" ht="14.25" thickBot="1">
      <c r="A949" s="69"/>
      <c r="B949" s="69"/>
      <c r="C949" s="59"/>
      <c r="F949" s="59"/>
      <c r="G949" s="56"/>
      <c r="H949" s="55"/>
      <c r="I949" s="55"/>
      <c r="J949" s="55"/>
    </row>
    <row r="950" spans="1:6" s="65" customFormat="1" ht="14.25" thickBot="1">
      <c r="A950" s="1017" t="s">
        <v>4</v>
      </c>
      <c r="B950" s="1018"/>
      <c r="C950" s="637">
        <f>C951+C953</f>
        <v>420000</v>
      </c>
      <c r="D950" s="67"/>
      <c r="E950" s="67"/>
      <c r="F950" s="67"/>
    </row>
    <row r="951" spans="1:6" s="55" customFormat="1" ht="13.5">
      <c r="A951" s="249" t="s">
        <v>116</v>
      </c>
      <c r="B951" s="199" t="s">
        <v>117</v>
      </c>
      <c r="C951" s="63">
        <f>SUM(C952:C952)</f>
        <v>270000</v>
      </c>
      <c r="D951" s="56"/>
      <c r="E951" s="56"/>
      <c r="F951" s="56"/>
    </row>
    <row r="952" spans="1:8" s="8" customFormat="1" ht="13.5" customHeight="1">
      <c r="A952" s="71" t="s">
        <v>57</v>
      </c>
      <c r="B952" s="23" t="s">
        <v>58</v>
      </c>
      <c r="C952" s="24">
        <v>270000</v>
      </c>
      <c r="D952" s="77"/>
      <c r="E952" s="25"/>
      <c r="F952" s="53"/>
      <c r="G952" s="72"/>
      <c r="H952" s="42"/>
    </row>
    <row r="953" spans="1:8" s="8" customFormat="1" ht="13.5" customHeight="1">
      <c r="A953" s="249" t="s">
        <v>165</v>
      </c>
      <c r="B953" s="25" t="s">
        <v>134</v>
      </c>
      <c r="C953" s="31">
        <f>SUM(C954)</f>
        <v>150000</v>
      </c>
      <c r="D953" s="77"/>
      <c r="E953" s="25"/>
      <c r="F953" s="53"/>
      <c r="G953" s="72"/>
      <c r="H953" s="42"/>
    </row>
    <row r="954" spans="1:8" s="8" customFormat="1" ht="13.5" customHeight="1">
      <c r="A954" s="71" t="s">
        <v>166</v>
      </c>
      <c r="B954" s="23" t="s">
        <v>51</v>
      </c>
      <c r="C954" s="24">
        <v>150000</v>
      </c>
      <c r="D954" s="77"/>
      <c r="E954" s="25"/>
      <c r="F954" s="94"/>
      <c r="G954" s="54"/>
      <c r="H954" s="42"/>
    </row>
    <row r="955" spans="1:10" s="65" customFormat="1" ht="13.5">
      <c r="A955" s="69"/>
      <c r="B955" s="69"/>
      <c r="C955" s="59"/>
      <c r="D955" s="66"/>
      <c r="E955" s="56"/>
      <c r="F955" s="56"/>
      <c r="G955" s="55"/>
      <c r="H955" s="55"/>
      <c r="I955" s="55"/>
      <c r="J955" s="55"/>
    </row>
    <row r="956" spans="1:6" s="142" customFormat="1" ht="14.25" thickBot="1">
      <c r="A956" s="11"/>
      <c r="B956" s="11"/>
      <c r="C956" s="31"/>
      <c r="D956" s="466"/>
      <c r="E956" s="461"/>
      <c r="F956" s="452"/>
    </row>
    <row r="957" spans="1:9" s="293" customFormat="1" ht="13.5" customHeight="1">
      <c r="A957" s="583" t="s">
        <v>718</v>
      </c>
      <c r="B957" s="584" t="s">
        <v>731</v>
      </c>
      <c r="C957" s="625"/>
      <c r="D957" s="811" t="s">
        <v>6</v>
      </c>
      <c r="E957" s="814">
        <v>1111</v>
      </c>
      <c r="F957" s="624"/>
      <c r="H957" s="792"/>
      <c r="I957" s="294"/>
    </row>
    <row r="958" spans="1:9" s="293" customFormat="1" ht="13.5" customHeight="1">
      <c r="A958" s="713" t="s">
        <v>732</v>
      </c>
      <c r="B958" s="646"/>
      <c r="C958" s="668"/>
      <c r="D958" s="812"/>
      <c r="E958" s="815"/>
      <c r="F958" s="624"/>
      <c r="H958" s="792"/>
      <c r="I958" s="294"/>
    </row>
    <row r="959" spans="1:9" s="293" customFormat="1" ht="13.5" customHeight="1" thickBot="1">
      <c r="A959" s="587"/>
      <c r="B959" s="588"/>
      <c r="C959" s="628"/>
      <c r="D959" s="813"/>
      <c r="E959" s="753"/>
      <c r="F959" s="624"/>
      <c r="H959" s="792"/>
      <c r="I959" s="294"/>
    </row>
    <row r="960" spans="1:9" s="293" customFormat="1" ht="13.5" customHeight="1">
      <c r="A960" s="252" t="s">
        <v>798</v>
      </c>
      <c r="B960" s="52"/>
      <c r="C960" s="286"/>
      <c r="D960" s="261"/>
      <c r="E960" s="288"/>
      <c r="F960" s="624"/>
      <c r="H960" s="792"/>
      <c r="I960" s="294"/>
    </row>
    <row r="961" spans="1:9" s="293" customFormat="1" ht="13.5" customHeight="1">
      <c r="A961" s="252" t="s">
        <v>702</v>
      </c>
      <c r="B961" s="52"/>
      <c r="C961" s="286"/>
      <c r="D961" s="261"/>
      <c r="E961" s="288"/>
      <c r="F961" s="624"/>
      <c r="H961" s="792"/>
      <c r="I961" s="294"/>
    </row>
    <row r="962" spans="1:9" s="293" customFormat="1" ht="13.5" customHeight="1">
      <c r="A962" s="252" t="s">
        <v>617</v>
      </c>
      <c r="B962" s="52"/>
      <c r="C962" s="286"/>
      <c r="D962" s="261"/>
      <c r="E962" s="288"/>
      <c r="F962" s="624"/>
      <c r="H962" s="792"/>
      <c r="I962" s="294"/>
    </row>
    <row r="963" spans="1:9" s="293" customFormat="1" ht="13.5" customHeight="1" thickBot="1">
      <c r="A963" s="252" t="s">
        <v>11</v>
      </c>
      <c r="B963" s="52"/>
      <c r="C963" s="313"/>
      <c r="D963" s="261"/>
      <c r="E963" s="288"/>
      <c r="F963" s="624"/>
      <c r="H963" s="792"/>
      <c r="I963" s="294"/>
    </row>
    <row r="964" spans="1:9" s="293" customFormat="1" ht="13.5" customHeight="1" thickBot="1">
      <c r="A964" s="697" t="s">
        <v>300</v>
      </c>
      <c r="B964" s="698"/>
      <c r="C964" s="699"/>
      <c r="D964" s="700"/>
      <c r="E964" s="701">
        <f>(C966)</f>
        <v>8420000</v>
      </c>
      <c r="F964" s="624"/>
      <c r="H964" s="793"/>
      <c r="I964" s="294"/>
    </row>
    <row r="965" spans="1:9" s="293" customFormat="1" ht="13.5" customHeight="1" thickBot="1">
      <c r="A965" s="12"/>
      <c r="B965" s="12"/>
      <c r="C965" s="286"/>
      <c r="D965" s="276"/>
      <c r="E965" s="286"/>
      <c r="F965" s="624"/>
      <c r="H965" s="792"/>
      <c r="I965" s="294"/>
    </row>
    <row r="966" spans="1:9" s="293" customFormat="1" ht="13.5" customHeight="1" thickBot="1">
      <c r="A966" s="1011" t="s">
        <v>301</v>
      </c>
      <c r="B966" s="1012"/>
      <c r="C966" s="710">
        <f>(C968)</f>
        <v>8420000</v>
      </c>
      <c r="D966" s="316"/>
      <c r="E966" s="286"/>
      <c r="F966" s="624"/>
      <c r="H966" s="792"/>
      <c r="I966" s="294"/>
    </row>
    <row r="967" spans="1:9" s="293" customFormat="1" ht="13.5" customHeight="1">
      <c r="A967" s="319" t="s">
        <v>302</v>
      </c>
      <c r="B967" s="510" t="s">
        <v>323</v>
      </c>
      <c r="C967" s="286"/>
      <c r="D967" s="276"/>
      <c r="E967" s="286"/>
      <c r="F967" s="624"/>
      <c r="H967" s="792"/>
      <c r="I967" s="294"/>
    </row>
    <row r="968" spans="1:9" s="293" customFormat="1" ht="13.5" customHeight="1">
      <c r="A968" s="12" t="s">
        <v>305</v>
      </c>
      <c r="B968" s="42" t="s">
        <v>306</v>
      </c>
      <c r="C968" s="779">
        <v>8420000</v>
      </c>
      <c r="D968" s="276"/>
      <c r="E968" s="286"/>
      <c r="F968" s="624"/>
      <c r="H968" s="792"/>
      <c r="I968" s="294"/>
    </row>
    <row r="969" spans="1:9" s="293" customFormat="1" ht="13.5" customHeight="1">
      <c r="A969" s="12"/>
      <c r="B969" s="42"/>
      <c r="C969" s="779"/>
      <c r="D969" s="276"/>
      <c r="E969" s="286"/>
      <c r="F969" s="624"/>
      <c r="H969" s="792"/>
      <c r="I969" s="294"/>
    </row>
    <row r="970" ht="13.5" thickBot="1">
      <c r="H970" s="1"/>
    </row>
    <row r="971" spans="1:9" s="293" customFormat="1" ht="13.5" customHeight="1">
      <c r="A971" s="583" t="s">
        <v>718</v>
      </c>
      <c r="B971" s="584" t="s">
        <v>719</v>
      </c>
      <c r="C971" s="625"/>
      <c r="D971" s="627" t="s">
        <v>6</v>
      </c>
      <c r="E971" s="816">
        <v>1112</v>
      </c>
      <c r="F971" s="624"/>
      <c r="H971" s="792"/>
      <c r="I971" s="294"/>
    </row>
    <row r="972" spans="1:9" s="293" customFormat="1" ht="13.5" customHeight="1" thickBot="1">
      <c r="A972" s="709"/>
      <c r="B972" s="588" t="s">
        <v>720</v>
      </c>
      <c r="C972" s="628"/>
      <c r="D972" s="630"/>
      <c r="E972" s="817"/>
      <c r="F972" s="624"/>
      <c r="H972" s="792"/>
      <c r="I972" s="294"/>
    </row>
    <row r="973" spans="1:9" s="293" customFormat="1" ht="13.5" customHeight="1">
      <c r="A973" s="252" t="s">
        <v>798</v>
      </c>
      <c r="B973" s="52"/>
      <c r="C973" s="286"/>
      <c r="D973" s="261"/>
      <c r="E973" s="288"/>
      <c r="F973" s="624"/>
      <c r="H973" s="792"/>
      <c r="I973" s="294"/>
    </row>
    <row r="974" spans="1:9" s="293" customFormat="1" ht="13.5" customHeight="1">
      <c r="A974" s="252" t="s">
        <v>702</v>
      </c>
      <c r="B974" s="52"/>
      <c r="C974" s="286"/>
      <c r="D974" s="261"/>
      <c r="E974" s="288"/>
      <c r="F974" s="624"/>
      <c r="H974" s="792"/>
      <c r="I974" s="294"/>
    </row>
    <row r="975" spans="1:9" s="293" customFormat="1" ht="13.5" customHeight="1">
      <c r="A975" s="252" t="s">
        <v>617</v>
      </c>
      <c r="B975" s="52"/>
      <c r="C975" s="286"/>
      <c r="D975" s="261"/>
      <c r="E975" s="288"/>
      <c r="F975" s="624"/>
      <c r="H975" s="792"/>
      <c r="I975" s="294"/>
    </row>
    <row r="976" spans="1:9" s="293" customFormat="1" ht="13.5" customHeight="1" thickBot="1">
      <c r="A976" s="252" t="s">
        <v>11</v>
      </c>
      <c r="B976" s="52"/>
      <c r="C976" s="313"/>
      <c r="D976" s="261"/>
      <c r="E976" s="288"/>
      <c r="F976" s="624"/>
      <c r="H976" s="792"/>
      <c r="I976" s="294"/>
    </row>
    <row r="977" spans="1:9" s="293" customFormat="1" ht="13.5" customHeight="1" thickBot="1">
      <c r="A977" s="697" t="s">
        <v>300</v>
      </c>
      <c r="B977" s="698"/>
      <c r="C977" s="699"/>
      <c r="D977" s="700"/>
      <c r="E977" s="701">
        <f>(C979)</f>
        <v>3250000</v>
      </c>
      <c r="F977" s="624"/>
      <c r="H977" s="793"/>
      <c r="I977" s="294"/>
    </row>
    <row r="978" spans="1:9" s="293" customFormat="1" ht="13.5" customHeight="1" thickBot="1">
      <c r="A978" s="12"/>
      <c r="B978" s="12"/>
      <c r="C978" s="286"/>
      <c r="D978" s="276"/>
      <c r="E978" s="286"/>
      <c r="F978" s="624"/>
      <c r="H978" s="792"/>
      <c r="I978" s="294"/>
    </row>
    <row r="979" spans="1:9" s="293" customFormat="1" ht="13.5" customHeight="1" thickBot="1">
      <c r="A979" s="1011" t="s">
        <v>301</v>
      </c>
      <c r="B979" s="1012"/>
      <c r="C979" s="710">
        <f>(C981+C982+C983+C984)</f>
        <v>3250000</v>
      </c>
      <c r="D979" s="316"/>
      <c r="E979" s="286"/>
      <c r="F979" s="624"/>
      <c r="H979" s="792"/>
      <c r="I979" s="294"/>
    </row>
    <row r="980" spans="1:9" s="293" customFormat="1" ht="13.5" customHeight="1">
      <c r="A980" s="319" t="s">
        <v>302</v>
      </c>
      <c r="B980" s="510" t="s">
        <v>323</v>
      </c>
      <c r="C980" s="286"/>
      <c r="D980" s="276"/>
      <c r="E980" s="286"/>
      <c r="F980" s="624"/>
      <c r="H980" s="792"/>
      <c r="I980" s="294"/>
    </row>
    <row r="981" spans="1:9" s="293" customFormat="1" ht="13.5" customHeight="1">
      <c r="A981" s="12" t="s">
        <v>309</v>
      </c>
      <c r="B981" s="12" t="s">
        <v>310</v>
      </c>
      <c r="C981" s="317">
        <v>3250000</v>
      </c>
      <c r="D981" s="276"/>
      <c r="E981" s="286"/>
      <c r="F981" s="624"/>
      <c r="H981" s="792"/>
      <c r="I981" s="294"/>
    </row>
    <row r="982" ht="12.75">
      <c r="H982" s="1"/>
    </row>
    <row r="983" ht="12.75">
      <c r="H983" s="1"/>
    </row>
    <row r="984" ht="12.75">
      <c r="H984" s="1"/>
    </row>
    <row r="985" ht="12.75">
      <c r="H985" s="1"/>
    </row>
    <row r="986" ht="12.75">
      <c r="H986" s="1"/>
    </row>
    <row r="987" ht="12.75">
      <c r="H987" s="1"/>
    </row>
    <row r="988" ht="12.75">
      <c r="H988" s="1"/>
    </row>
    <row r="989" ht="12.75">
      <c r="H989" s="1"/>
    </row>
    <row r="990" ht="12.75">
      <c r="H990" s="1"/>
    </row>
    <row r="991" ht="12.75">
      <c r="H991" s="1"/>
    </row>
    <row r="992" ht="12.75">
      <c r="H992" s="1"/>
    </row>
    <row r="993" ht="12.75">
      <c r="H993" s="1"/>
    </row>
    <row r="994" ht="12.75">
      <c r="H994" s="1"/>
    </row>
    <row r="995" ht="12.75">
      <c r="H995" s="1"/>
    </row>
    <row r="996" ht="12.75">
      <c r="H996" s="1"/>
    </row>
    <row r="997" ht="12.75">
      <c r="H997" s="1"/>
    </row>
    <row r="998" ht="12.75">
      <c r="H998" s="1"/>
    </row>
    <row r="999" ht="12.75">
      <c r="H999" s="1"/>
    </row>
    <row r="1000" ht="12.75">
      <c r="H1000" s="1"/>
    </row>
    <row r="1001" ht="12.75">
      <c r="H1001" s="1"/>
    </row>
    <row r="1002" ht="12.75">
      <c r="H1002" s="1"/>
    </row>
    <row r="1003" ht="12.75">
      <c r="H1003" s="1"/>
    </row>
    <row r="1004" ht="12.75">
      <c r="H1004" s="1"/>
    </row>
    <row r="1005" ht="12.75">
      <c r="H1005" s="1"/>
    </row>
    <row r="1006" ht="12.75">
      <c r="H1006" s="1"/>
    </row>
    <row r="1007" ht="12.75">
      <c r="H1007" s="1"/>
    </row>
    <row r="1008" ht="12.75">
      <c r="H1008" s="1"/>
    </row>
    <row r="1009" ht="12.75">
      <c r="H1009" s="1"/>
    </row>
    <row r="1010" ht="12.75">
      <c r="H1010" s="1"/>
    </row>
    <row r="1011" ht="12.75">
      <c r="H1011" s="1"/>
    </row>
    <row r="1012" ht="12.75">
      <c r="H1012" s="1"/>
    </row>
    <row r="1013" ht="12.75">
      <c r="H1013" s="1"/>
    </row>
    <row r="1014" ht="12.75">
      <c r="H1014" s="1"/>
    </row>
    <row r="1015" ht="12.75">
      <c r="H1015" s="1"/>
    </row>
    <row r="1016" ht="12.75">
      <c r="H1016" s="1"/>
    </row>
    <row r="1017" ht="12.75">
      <c r="H1017" s="1"/>
    </row>
    <row r="1018" ht="12.75">
      <c r="H1018" s="1"/>
    </row>
    <row r="1019" ht="12.75">
      <c r="H1019" s="1"/>
    </row>
    <row r="1020" ht="12.75">
      <c r="H1020" s="1"/>
    </row>
    <row r="1021" ht="12.75">
      <c r="H1021" s="1"/>
    </row>
    <row r="1022" ht="12.75">
      <c r="H1022" s="1"/>
    </row>
    <row r="1023" ht="12.75">
      <c r="H1023" s="1"/>
    </row>
    <row r="1024" ht="12.75">
      <c r="H1024" s="1"/>
    </row>
    <row r="1025" ht="12.75">
      <c r="H1025" s="1"/>
    </row>
    <row r="1026" ht="12.75">
      <c r="H1026" s="1"/>
    </row>
    <row r="1027" ht="12.75">
      <c r="H1027" s="1"/>
    </row>
    <row r="1028" ht="12.75">
      <c r="H1028" s="1"/>
    </row>
    <row r="1029" ht="12.75">
      <c r="H1029" s="1"/>
    </row>
    <row r="1030" ht="12.75">
      <c r="H1030" s="1"/>
    </row>
    <row r="1031" ht="12.75">
      <c r="H1031" s="1"/>
    </row>
    <row r="1032" ht="12.75">
      <c r="H1032" s="1"/>
    </row>
    <row r="1033" ht="12.75">
      <c r="H1033" s="1"/>
    </row>
    <row r="1034" ht="12.75">
      <c r="H1034" s="1"/>
    </row>
    <row r="1035" ht="12.75">
      <c r="H1035" s="1"/>
    </row>
    <row r="1036" ht="12.75">
      <c r="H1036" s="1"/>
    </row>
    <row r="1037" ht="12.75">
      <c r="H1037" s="1"/>
    </row>
    <row r="1038" ht="12.75">
      <c r="H1038" s="1"/>
    </row>
    <row r="1039" ht="12.75">
      <c r="H1039" s="1"/>
    </row>
    <row r="1040" ht="12.75">
      <c r="H1040" s="1"/>
    </row>
    <row r="1041" ht="12.75">
      <c r="H1041" s="1"/>
    </row>
    <row r="1042" ht="12.75">
      <c r="H1042" s="1"/>
    </row>
    <row r="1043" ht="12.75">
      <c r="H1043" s="1"/>
    </row>
    <row r="1044" ht="12.75">
      <c r="H1044" s="1"/>
    </row>
    <row r="1045" ht="12.75">
      <c r="H1045" s="1"/>
    </row>
    <row r="1046" ht="12.75">
      <c r="H1046" s="1"/>
    </row>
    <row r="1047" ht="12.75">
      <c r="H1047" s="1"/>
    </row>
  </sheetData>
  <sheetProtection sheet="1" objects="1" scenarios="1" sort="0" autoFilter="0"/>
  <mergeCells count="65">
    <mergeCell ref="A762:B762"/>
    <mergeCell ref="A795:B795"/>
    <mergeCell ref="A817:B817"/>
    <mergeCell ref="A830:E836"/>
    <mergeCell ref="A843:B843"/>
    <mergeCell ref="A886:B886"/>
    <mergeCell ref="A432:B432"/>
    <mergeCell ref="A439:E444"/>
    <mergeCell ref="A451:B451"/>
    <mergeCell ref="A466:B466"/>
    <mergeCell ref="A480:B480"/>
    <mergeCell ref="A160:E169"/>
    <mergeCell ref="A384:C385"/>
    <mergeCell ref="A283:B283"/>
    <mergeCell ref="A299:B299"/>
    <mergeCell ref="A313:E318"/>
    <mergeCell ref="A325:B325"/>
    <mergeCell ref="A355:B355"/>
    <mergeCell ref="A374:B374"/>
    <mergeCell ref="A104:D107"/>
    <mergeCell ref="A114:B114"/>
    <mergeCell ref="A131:B131"/>
    <mergeCell ref="A149:B149"/>
    <mergeCell ref="A176:B176"/>
    <mergeCell ref="A202:B202"/>
    <mergeCell ref="A221:B221"/>
    <mergeCell ref="A6:E14"/>
    <mergeCell ref="A21:B21"/>
    <mergeCell ref="A44:B44"/>
    <mergeCell ref="A68:B68"/>
    <mergeCell ref="A88:B88"/>
    <mergeCell ref="A93:B93"/>
    <mergeCell ref="A966:B966"/>
    <mergeCell ref="A979:B979"/>
    <mergeCell ref="A866:B866"/>
    <mergeCell ref="A891:B891"/>
    <mergeCell ref="A906:E916"/>
    <mergeCell ref="A923:B923"/>
    <mergeCell ref="A937:B937"/>
    <mergeCell ref="A950:B950"/>
    <mergeCell ref="A585:B586"/>
    <mergeCell ref="A587:D594"/>
    <mergeCell ref="A487:E504"/>
    <mergeCell ref="A511:B511"/>
    <mergeCell ref="A538:B538"/>
    <mergeCell ref="A557:B557"/>
    <mergeCell ref="A562:B562"/>
    <mergeCell ref="A572:C573"/>
    <mergeCell ref="A231:B231"/>
    <mergeCell ref="A243:E246"/>
    <mergeCell ref="A253:B253"/>
    <mergeCell ref="A601:B601"/>
    <mergeCell ref="A630:B630"/>
    <mergeCell ref="A650:B650"/>
    <mergeCell ref="A386:E391"/>
    <mergeCell ref="A398:B398"/>
    <mergeCell ref="A414:B414"/>
    <mergeCell ref="A574:E578"/>
    <mergeCell ref="A742:D755"/>
    <mergeCell ref="A661:B662"/>
    <mergeCell ref="A663:D670"/>
    <mergeCell ref="A677:B677"/>
    <mergeCell ref="A704:B704"/>
    <mergeCell ref="A728:B728"/>
    <mergeCell ref="A740:B741"/>
  </mergeCells>
  <printOptions/>
  <pageMargins left="0.7" right="0.7" top="0.75" bottom="0.75" header="0.3" footer="0.3"/>
  <pageSetup orientation="portrait" paperSize="9" r:id="rId1"/>
</worksheet>
</file>

<file path=xl/worksheets/sheet10.xml><?xml version="1.0" encoding="utf-8"?>
<worksheet xmlns="http://schemas.openxmlformats.org/spreadsheetml/2006/main" xmlns:r="http://schemas.openxmlformats.org/officeDocument/2006/relationships">
  <dimension ref="A1:J156"/>
  <sheetViews>
    <sheetView zoomScalePageLayoutView="0" workbookViewId="0" topLeftCell="A126">
      <selection activeCell="L190" sqref="L190"/>
    </sheetView>
  </sheetViews>
  <sheetFormatPr defaultColWidth="11.421875" defaultRowHeight="12.75"/>
  <cols>
    <col min="1" max="1" width="9.7109375" style="51" customWidth="1"/>
    <col min="2" max="2" width="46.7109375" style="51" customWidth="1"/>
    <col min="3" max="3" width="12.7109375" style="61" customWidth="1"/>
    <col min="4" max="4" width="11.140625" style="61" customWidth="1"/>
    <col min="5" max="5" width="13.7109375" style="61" customWidth="1"/>
    <col min="6" max="6" width="6.7109375" style="51" customWidth="1"/>
    <col min="7" max="7" width="12.140625" style="51" customWidth="1"/>
    <col min="8" max="16384" width="11.421875" style="51" customWidth="1"/>
  </cols>
  <sheetData>
    <row r="1" spans="1:2" ht="12.75">
      <c r="A1" s="560" t="s">
        <v>1053</v>
      </c>
      <c r="B1" s="560"/>
    </row>
    <row r="2" spans="1:4" ht="13.5">
      <c r="A2" s="433"/>
      <c r="D2" s="918"/>
    </row>
    <row r="3" ht="13.5" thickBot="1"/>
    <row r="4" spans="1:5" ht="12.75">
      <c r="A4" s="891" t="s">
        <v>1054</v>
      </c>
      <c r="B4" s="919"/>
      <c r="C4" s="920"/>
      <c r="D4" s="921" t="s">
        <v>6</v>
      </c>
      <c r="E4" s="922" t="s">
        <v>1055</v>
      </c>
    </row>
    <row r="5" spans="1:5" ht="13.5" thickBot="1">
      <c r="A5" s="923"/>
      <c r="B5" s="924"/>
      <c r="C5" s="925"/>
      <c r="D5" s="926"/>
      <c r="E5" s="927"/>
    </row>
    <row r="6" spans="1:5" s="65" customFormat="1" ht="12.75" customHeight="1">
      <c r="A6" s="979" t="s">
        <v>1056</v>
      </c>
      <c r="B6" s="980"/>
      <c r="C6" s="980"/>
      <c r="D6" s="980"/>
      <c r="E6" s="981"/>
    </row>
    <row r="7" spans="1:5" s="65" customFormat="1" ht="12.75">
      <c r="A7" s="982"/>
      <c r="B7" s="983"/>
      <c r="C7" s="983"/>
      <c r="D7" s="983"/>
      <c r="E7" s="984"/>
    </row>
    <row r="8" spans="1:5" s="65" customFormat="1" ht="12.75">
      <c r="A8" s="982"/>
      <c r="B8" s="983"/>
      <c r="C8" s="983"/>
      <c r="D8" s="983"/>
      <c r="E8" s="984"/>
    </row>
    <row r="9" spans="1:5" ht="12.75">
      <c r="A9" s="982"/>
      <c r="B9" s="983"/>
      <c r="C9" s="983"/>
      <c r="D9" s="983"/>
      <c r="E9" s="984"/>
    </row>
    <row r="10" spans="1:5" ht="13.5" thickBot="1">
      <c r="A10" s="985"/>
      <c r="B10" s="986"/>
      <c r="C10" s="986"/>
      <c r="D10" s="986"/>
      <c r="E10" s="987"/>
    </row>
    <row r="11" spans="1:5" s="434" customFormat="1" ht="13.5">
      <c r="A11" s="40" t="s">
        <v>809</v>
      </c>
      <c r="B11" s="12"/>
      <c r="C11" s="24"/>
      <c r="D11" s="24"/>
      <c r="E11" s="303"/>
    </row>
    <row r="12" spans="1:5" s="434" customFormat="1" ht="13.5">
      <c r="A12" s="40" t="s">
        <v>1057</v>
      </c>
      <c r="B12" s="12"/>
      <c r="C12" s="24"/>
      <c r="D12" s="24"/>
      <c r="E12" s="303"/>
    </row>
    <row r="13" spans="1:5" s="434" customFormat="1" ht="13.5">
      <c r="A13" s="40" t="s">
        <v>1058</v>
      </c>
      <c r="B13" s="12"/>
      <c r="C13" s="24"/>
      <c r="D13" s="24"/>
      <c r="E13" s="303"/>
    </row>
    <row r="14" spans="1:7" s="434" customFormat="1" ht="14.25" thickBot="1">
      <c r="A14" s="40" t="s">
        <v>13</v>
      </c>
      <c r="B14" s="12"/>
      <c r="C14" s="24"/>
      <c r="D14" s="24"/>
      <c r="E14" s="303"/>
      <c r="F14" s="228"/>
      <c r="G14" s="228"/>
    </row>
    <row r="15" spans="1:6" s="220" customFormat="1" ht="14.25" thickBot="1">
      <c r="A15" s="928" t="s">
        <v>14</v>
      </c>
      <c r="B15" s="929"/>
      <c r="C15" s="930"/>
      <c r="D15" s="931"/>
      <c r="E15" s="932">
        <f>(C17+C40+C62+C86+C94)</f>
        <v>38284118</v>
      </c>
      <c r="F15" s="933"/>
    </row>
    <row r="16" spans="1:5" s="220" customFormat="1" ht="14.25" thickBot="1">
      <c r="A16" s="11"/>
      <c r="B16" s="11"/>
      <c r="C16" s="31"/>
      <c r="D16" s="31"/>
      <c r="E16" s="31"/>
    </row>
    <row r="17" spans="1:6" s="8" customFormat="1" ht="12.75" customHeight="1" thickBot="1">
      <c r="A17" s="1019" t="s">
        <v>1</v>
      </c>
      <c r="B17" s="1020"/>
      <c r="C17" s="934">
        <f>C18+C25+C32</f>
        <v>35286248</v>
      </c>
      <c r="D17" s="31"/>
      <c r="E17" s="935"/>
      <c r="F17" s="194"/>
    </row>
    <row r="18" spans="1:6" s="8" customFormat="1" ht="12.75" customHeight="1">
      <c r="A18" s="11" t="s">
        <v>97</v>
      </c>
      <c r="B18" s="281" t="s">
        <v>98</v>
      </c>
      <c r="C18" s="31">
        <f>SUM(C19:C24)</f>
        <v>2447165</v>
      </c>
      <c r="D18" s="22"/>
      <c r="E18" s="25"/>
      <c r="F18" s="194"/>
    </row>
    <row r="19" spans="1:6" s="8" customFormat="1" ht="12.75" customHeight="1">
      <c r="A19" s="12" t="s">
        <v>23</v>
      </c>
      <c r="B19" s="24" t="s">
        <v>20</v>
      </c>
      <c r="C19" s="24">
        <f>1577071+124460+281065</f>
        <v>1982596</v>
      </c>
      <c r="D19" s="22"/>
      <c r="E19" s="25"/>
      <c r="F19" s="194"/>
    </row>
    <row r="20" spans="1:6" s="8" customFormat="1" ht="12.75" customHeight="1">
      <c r="A20" s="12" t="s">
        <v>24</v>
      </c>
      <c r="B20" s="24" t="s">
        <v>22</v>
      </c>
      <c r="C20" s="24">
        <f>249835+70266</f>
        <v>320101</v>
      </c>
      <c r="D20" s="22"/>
      <c r="E20" s="25"/>
      <c r="F20" s="194"/>
    </row>
    <row r="21" spans="1:6" s="8" customFormat="1" ht="12.75" customHeight="1">
      <c r="A21" s="12" t="s">
        <v>25</v>
      </c>
      <c r="B21" s="24" t="s">
        <v>76</v>
      </c>
      <c r="C21" s="24">
        <f>55000+49370</f>
        <v>104370</v>
      </c>
      <c r="D21" s="22"/>
      <c r="E21" s="25"/>
      <c r="F21" s="194"/>
    </row>
    <row r="22" spans="1:6" s="8" customFormat="1" ht="12.75" customHeight="1">
      <c r="A22" s="12" t="s">
        <v>26</v>
      </c>
      <c r="B22" s="24" t="s">
        <v>77</v>
      </c>
      <c r="C22" s="24">
        <v>1</v>
      </c>
      <c r="D22" s="22"/>
      <c r="E22" s="25"/>
      <c r="F22" s="194"/>
    </row>
    <row r="23" spans="1:6" s="8" customFormat="1" ht="12.75" customHeight="1">
      <c r="A23" s="12" t="s">
        <v>27</v>
      </c>
      <c r="B23" s="24" t="s">
        <v>21</v>
      </c>
      <c r="C23" s="24">
        <f>4200+1411</f>
        <v>5611</v>
      </c>
      <c r="D23" s="22"/>
      <c r="E23" s="25"/>
      <c r="F23" s="194"/>
    </row>
    <row r="24" spans="1:6" s="9" customFormat="1" ht="12.75" customHeight="1">
      <c r="A24" s="12" t="s">
        <v>28</v>
      </c>
      <c r="B24" s="24" t="s">
        <v>19</v>
      </c>
      <c r="C24" s="24">
        <v>34486</v>
      </c>
      <c r="D24" s="22"/>
      <c r="E24" s="25"/>
      <c r="F24" s="195"/>
    </row>
    <row r="25" spans="1:6" s="9" customFormat="1" ht="12.75" customHeight="1">
      <c r="A25" s="11" t="s">
        <v>99</v>
      </c>
      <c r="B25" s="31" t="s">
        <v>100</v>
      </c>
      <c r="C25" s="31">
        <f>SUM(C26:C31)</f>
        <v>29888424</v>
      </c>
      <c r="D25" s="936"/>
      <c r="E25" s="127"/>
      <c r="F25" s="195"/>
    </row>
    <row r="26" spans="1:6" s="9" customFormat="1" ht="12.75" customHeight="1">
      <c r="A26" s="12" t="s">
        <v>30</v>
      </c>
      <c r="B26" s="24" t="s">
        <v>78</v>
      </c>
      <c r="C26" s="24">
        <f>3670423+988982+20391230</f>
        <v>25050635</v>
      </c>
      <c r="D26" s="936"/>
      <c r="E26" s="127"/>
      <c r="F26" s="195"/>
    </row>
    <row r="27" spans="1:6" s="9" customFormat="1" ht="12.75" customHeight="1">
      <c r="A27" s="12" t="s">
        <v>31</v>
      </c>
      <c r="B27" s="24" t="s">
        <v>79</v>
      </c>
      <c r="C27" s="24">
        <f>3262598+917605</f>
        <v>4180203</v>
      </c>
      <c r="D27" s="936"/>
      <c r="E27" s="127"/>
      <c r="F27" s="195"/>
    </row>
    <row r="28" spans="1:5" s="9" customFormat="1" ht="12.75" customHeight="1">
      <c r="A28" s="12" t="s">
        <v>32</v>
      </c>
      <c r="B28" s="24" t="s">
        <v>80</v>
      </c>
      <c r="C28" s="24">
        <v>657583</v>
      </c>
      <c r="D28" s="936"/>
      <c r="E28" s="127"/>
    </row>
    <row r="29" spans="1:8" s="8" customFormat="1" ht="12.75" customHeight="1">
      <c r="A29" s="12" t="s">
        <v>33</v>
      </c>
      <c r="B29" s="24" t="s">
        <v>81</v>
      </c>
      <c r="C29" s="24">
        <v>1</v>
      </c>
      <c r="D29" s="936"/>
      <c r="E29" s="127"/>
      <c r="F29" s="42"/>
      <c r="G29" s="42"/>
      <c r="H29" s="42"/>
    </row>
    <row r="30" spans="1:6" s="8" customFormat="1" ht="12.75" customHeight="1">
      <c r="A30" s="12" t="s">
        <v>34</v>
      </c>
      <c r="B30" s="24" t="s">
        <v>258</v>
      </c>
      <c r="C30" s="24">
        <v>1</v>
      </c>
      <c r="D30" s="22"/>
      <c r="E30" s="25"/>
      <c r="F30" s="194"/>
    </row>
    <row r="31" spans="1:6" s="9" customFormat="1" ht="12.75" customHeight="1">
      <c r="A31" s="12" t="s">
        <v>83</v>
      </c>
      <c r="B31" s="24" t="s">
        <v>82</v>
      </c>
      <c r="C31" s="24">
        <v>1</v>
      </c>
      <c r="D31" s="22"/>
      <c r="E31" s="25"/>
      <c r="F31" s="195"/>
    </row>
    <row r="32" spans="1:6" s="9" customFormat="1" ht="12.75" customHeight="1">
      <c r="A32" s="11" t="s">
        <v>101</v>
      </c>
      <c r="B32" s="31" t="s">
        <v>102</v>
      </c>
      <c r="C32" s="31">
        <f>SUM(C33:C38)</f>
        <v>2950659</v>
      </c>
      <c r="D32" s="22"/>
      <c r="E32" s="25"/>
      <c r="F32" s="195"/>
    </row>
    <row r="33" spans="1:5" s="9" customFormat="1" ht="12.75" customHeight="1">
      <c r="A33" s="12" t="s">
        <v>39</v>
      </c>
      <c r="B33" s="24" t="s">
        <v>35</v>
      </c>
      <c r="C33" s="24">
        <f>347648+129146+1931375</f>
        <v>2408169</v>
      </c>
      <c r="D33" s="95"/>
      <c r="E33" s="25"/>
    </row>
    <row r="34" spans="1:6" s="8" customFormat="1" ht="12.75" customHeight="1">
      <c r="A34" s="12" t="s">
        <v>40</v>
      </c>
      <c r="B34" s="24" t="s">
        <v>37</v>
      </c>
      <c r="C34" s="24">
        <f>309020+86911</f>
        <v>395931</v>
      </c>
      <c r="D34" s="95"/>
      <c r="E34" s="25"/>
      <c r="F34" s="194"/>
    </row>
    <row r="35" spans="1:6" s="8" customFormat="1" ht="12.75" customHeight="1">
      <c r="A35" s="12" t="s">
        <v>41</v>
      </c>
      <c r="B35" s="24" t="s">
        <v>84</v>
      </c>
      <c r="C35" s="24">
        <v>61447</v>
      </c>
      <c r="D35" s="95"/>
      <c r="E35" s="25"/>
      <c r="F35" s="194"/>
    </row>
    <row r="36" spans="1:6" s="9" customFormat="1" ht="12.75" customHeight="1">
      <c r="A36" s="12" t="s">
        <v>42</v>
      </c>
      <c r="B36" s="24" t="s">
        <v>85</v>
      </c>
      <c r="C36" s="24">
        <v>1</v>
      </c>
      <c r="D36" s="22"/>
      <c r="E36" s="25"/>
      <c r="F36" s="195"/>
    </row>
    <row r="37" spans="1:6" s="9" customFormat="1" ht="12.75" customHeight="1">
      <c r="A37" s="12" t="s">
        <v>43</v>
      </c>
      <c r="B37" s="24" t="s">
        <v>36</v>
      </c>
      <c r="C37" s="24">
        <f>83700+1411</f>
        <v>85111</v>
      </c>
      <c r="D37" s="22"/>
      <c r="E37" s="25"/>
      <c r="F37" s="195"/>
    </row>
    <row r="38" spans="1:5" s="65" customFormat="1" ht="13.5">
      <c r="A38" s="12" t="s">
        <v>44</v>
      </c>
      <c r="B38" s="24" t="s">
        <v>38</v>
      </c>
      <c r="C38" s="24"/>
      <c r="D38" s="22"/>
      <c r="E38" s="25"/>
    </row>
    <row r="39" spans="1:5" s="65" customFormat="1" ht="14.25" thickBot="1">
      <c r="A39" s="12"/>
      <c r="B39" s="71"/>
      <c r="C39" s="23"/>
      <c r="D39" s="21"/>
      <c r="E39" s="21"/>
    </row>
    <row r="40" spans="1:5" s="65" customFormat="1" ht="14.25" thickBot="1">
      <c r="A40" s="992" t="s">
        <v>2</v>
      </c>
      <c r="B40" s="1148"/>
      <c r="C40" s="602">
        <f>C41+C43+C45+C47+C49+C57+C54</f>
        <v>517310</v>
      </c>
      <c r="D40" s="21"/>
      <c r="E40" s="21"/>
    </row>
    <row r="41" spans="1:7" s="42" customFormat="1" ht="13.5" customHeight="1">
      <c r="A41" s="11" t="s">
        <v>103</v>
      </c>
      <c r="B41" s="11" t="s">
        <v>104</v>
      </c>
      <c r="C41" s="32">
        <f>SUM(C42)</f>
        <v>113810</v>
      </c>
      <c r="D41" s="223"/>
      <c r="E41" s="223"/>
      <c r="F41" s="936"/>
      <c r="G41" s="54"/>
    </row>
    <row r="42" spans="1:7" s="42" customFormat="1" ht="13.5" customHeight="1">
      <c r="A42" s="12" t="s">
        <v>46</v>
      </c>
      <c r="B42" s="12" t="s">
        <v>45</v>
      </c>
      <c r="C42" s="24">
        <v>113810</v>
      </c>
      <c r="D42" s="22"/>
      <c r="E42" s="31"/>
      <c r="F42" s="936"/>
      <c r="G42" s="54"/>
    </row>
    <row r="43" spans="1:7" s="42" customFormat="1" ht="13.5" customHeight="1">
      <c r="A43" s="249" t="s">
        <v>200</v>
      </c>
      <c r="B43" s="11" t="s">
        <v>229</v>
      </c>
      <c r="C43" s="31">
        <f>SUM(C44)</f>
        <v>15450</v>
      </c>
      <c r="D43" s="22"/>
      <c r="E43" s="31"/>
      <c r="F43" s="936"/>
      <c r="G43" s="54"/>
    </row>
    <row r="44" spans="1:7" s="42" customFormat="1" ht="13.5" customHeight="1">
      <c r="A44" s="71" t="s">
        <v>198</v>
      </c>
      <c r="B44" s="12" t="s">
        <v>197</v>
      </c>
      <c r="C44" s="24">
        <v>15450</v>
      </c>
      <c r="D44" s="22"/>
      <c r="E44" s="31"/>
      <c r="F44" s="936"/>
      <c r="G44" s="54"/>
    </row>
    <row r="45" spans="1:8" s="8" customFormat="1" ht="13.5" customHeight="1">
      <c r="A45" s="11" t="s">
        <v>105</v>
      </c>
      <c r="B45" s="11" t="s">
        <v>106</v>
      </c>
      <c r="C45" s="31">
        <f>SUM(C46:C46)</f>
        <v>27880</v>
      </c>
      <c r="D45" s="22"/>
      <c r="E45" s="31"/>
      <c r="F45" s="936"/>
      <c r="G45" s="54"/>
      <c r="H45" s="42"/>
    </row>
    <row r="46" spans="1:8" s="8" customFormat="1" ht="13.5" customHeight="1">
      <c r="A46" s="12" t="s">
        <v>86</v>
      </c>
      <c r="B46" s="12" t="s">
        <v>66</v>
      </c>
      <c r="C46" s="24">
        <v>27880</v>
      </c>
      <c r="D46" s="22"/>
      <c r="E46" s="31"/>
      <c r="F46" s="98"/>
      <c r="G46" s="54"/>
      <c r="H46" s="42"/>
    </row>
    <row r="47" spans="1:8" s="8" customFormat="1" ht="13.5" customHeight="1">
      <c r="A47" s="11" t="s">
        <v>107</v>
      </c>
      <c r="B47" s="11" t="s">
        <v>108</v>
      </c>
      <c r="C47" s="31">
        <f>SUM(C48)</f>
        <v>131040</v>
      </c>
      <c r="D47" s="77"/>
      <c r="E47" s="25"/>
      <c r="F47" s="98"/>
      <c r="G47" s="54"/>
      <c r="H47" s="42"/>
    </row>
    <row r="48" spans="1:8" s="8" customFormat="1" ht="13.5" customHeight="1">
      <c r="A48" s="12" t="s">
        <v>47</v>
      </c>
      <c r="B48" s="24" t="s">
        <v>48</v>
      </c>
      <c r="C48" s="24">
        <v>131040</v>
      </c>
      <c r="D48" s="21"/>
      <c r="E48" s="21"/>
      <c r="F48" s="199"/>
      <c r="G48" s="54"/>
      <c r="H48" s="73"/>
    </row>
    <row r="49" spans="1:5" s="65" customFormat="1" ht="13.5">
      <c r="A49" s="249" t="s">
        <v>119</v>
      </c>
      <c r="B49" s="11" t="s">
        <v>192</v>
      </c>
      <c r="C49" s="31">
        <f>SUM(C50:C53)</f>
        <v>62330</v>
      </c>
      <c r="D49" s="21"/>
      <c r="E49" s="21"/>
    </row>
    <row r="50" spans="1:5" s="65" customFormat="1" ht="13.5">
      <c r="A50" s="71" t="s">
        <v>149</v>
      </c>
      <c r="B50" s="24" t="s">
        <v>1059</v>
      </c>
      <c r="C50" s="24">
        <v>14530</v>
      </c>
      <c r="D50" s="77"/>
      <c r="E50" s="25"/>
    </row>
    <row r="51" spans="1:5" s="65" customFormat="1" ht="13.5">
      <c r="A51" s="71" t="s">
        <v>641</v>
      </c>
      <c r="B51" s="24" t="s">
        <v>640</v>
      </c>
      <c r="C51" s="24">
        <v>17000</v>
      </c>
      <c r="D51" s="77"/>
      <c r="E51" s="25"/>
    </row>
    <row r="52" spans="1:5" s="65" customFormat="1" ht="13.5">
      <c r="A52" s="71" t="s">
        <v>758</v>
      </c>
      <c r="B52" s="24" t="s">
        <v>753</v>
      </c>
      <c r="C52" s="24">
        <v>14300</v>
      </c>
      <c r="D52" s="77"/>
      <c r="E52" s="25"/>
    </row>
    <row r="53" spans="1:5" s="65" customFormat="1" ht="13.5">
      <c r="A53" s="71" t="s">
        <v>754</v>
      </c>
      <c r="B53" s="24" t="s">
        <v>755</v>
      </c>
      <c r="C53" s="24">
        <v>16500</v>
      </c>
      <c r="D53" s="77"/>
      <c r="E53" s="25"/>
    </row>
    <row r="54" spans="1:10" s="8" customFormat="1" ht="13.5" customHeight="1">
      <c r="A54" s="249" t="s">
        <v>124</v>
      </c>
      <c r="B54" s="11" t="s">
        <v>123</v>
      </c>
      <c r="C54" s="31">
        <f>SUM(C55:C56)</f>
        <v>80230</v>
      </c>
      <c r="D54" s="21"/>
      <c r="E54" s="78"/>
      <c r="F54" s="98"/>
      <c r="G54" s="54"/>
      <c r="H54" s="42"/>
      <c r="J54" s="82"/>
    </row>
    <row r="55" spans="1:9" s="8" customFormat="1" ht="13.5" customHeight="1">
      <c r="A55" s="71" t="s">
        <v>231</v>
      </c>
      <c r="B55" s="24" t="s">
        <v>230</v>
      </c>
      <c r="C55" s="24">
        <v>56700</v>
      </c>
      <c r="D55" s="21"/>
      <c r="E55" s="78"/>
      <c r="F55" s="98"/>
      <c r="G55" s="54"/>
      <c r="H55" s="42"/>
      <c r="I55" s="82"/>
    </row>
    <row r="56" spans="1:9" s="8" customFormat="1" ht="13.5" customHeight="1">
      <c r="A56" s="71" t="s">
        <v>93</v>
      </c>
      <c r="B56" s="24" t="s">
        <v>72</v>
      </c>
      <c r="C56" s="24">
        <v>23530</v>
      </c>
      <c r="D56" s="21"/>
      <c r="E56" s="21"/>
      <c r="F56" s="98"/>
      <c r="G56" s="54"/>
      <c r="H56" s="42"/>
      <c r="I56" s="82"/>
    </row>
    <row r="57" spans="1:5" s="65" customFormat="1" ht="13.5">
      <c r="A57" s="249" t="s">
        <v>150</v>
      </c>
      <c r="B57" s="11" t="s">
        <v>125</v>
      </c>
      <c r="C57" s="31">
        <f>SUM(C58:C60)</f>
        <v>86570</v>
      </c>
      <c r="D57" s="77"/>
      <c r="E57" s="25"/>
    </row>
    <row r="58" spans="1:5" s="65" customFormat="1" ht="13.5">
      <c r="A58" s="71" t="s">
        <v>151</v>
      </c>
      <c r="B58" s="24" t="s">
        <v>65</v>
      </c>
      <c r="C58" s="24">
        <v>37000</v>
      </c>
      <c r="D58" s="77"/>
      <c r="E58" s="25"/>
    </row>
    <row r="59" spans="1:6" s="65" customFormat="1" ht="13.5">
      <c r="A59" s="71" t="s">
        <v>243</v>
      </c>
      <c r="B59" s="23" t="s">
        <v>244</v>
      </c>
      <c r="C59" s="24">
        <v>16100</v>
      </c>
      <c r="D59" s="77"/>
      <c r="E59" s="25"/>
      <c r="F59" s="56"/>
    </row>
    <row r="60" spans="1:8" s="8" customFormat="1" ht="13.5" customHeight="1">
      <c r="A60" s="71" t="s">
        <v>154</v>
      </c>
      <c r="B60" s="24" t="s">
        <v>125</v>
      </c>
      <c r="C60" s="24">
        <v>33470</v>
      </c>
      <c r="D60" s="21"/>
      <c r="E60" s="78"/>
      <c r="F60" s="194"/>
      <c r="G60" s="54"/>
      <c r="H60" s="54"/>
    </row>
    <row r="61" spans="1:8" s="8" customFormat="1" ht="13.5" customHeight="1" thickBot="1">
      <c r="A61" s="71"/>
      <c r="B61" s="24"/>
      <c r="C61" s="23"/>
      <c r="D61" s="21"/>
      <c r="E61" s="21"/>
      <c r="F61" s="98"/>
      <c r="G61" s="54"/>
      <c r="H61" s="42"/>
    </row>
    <row r="62" spans="1:6" s="55" customFormat="1" ht="14.25" thickBot="1">
      <c r="A62" s="994" t="s">
        <v>3</v>
      </c>
      <c r="B62" s="995"/>
      <c r="C62" s="603">
        <f>C63+C69+C71+C74+C77+C81</f>
        <v>1830060</v>
      </c>
      <c r="D62" s="21"/>
      <c r="E62" s="21"/>
      <c r="F62" s="56"/>
    </row>
    <row r="63" spans="1:6" s="55" customFormat="1" ht="13.5">
      <c r="A63" s="249" t="s">
        <v>339</v>
      </c>
      <c r="B63" s="11" t="s">
        <v>340</v>
      </c>
      <c r="C63" s="32">
        <f>SUM(C64:C68)</f>
        <v>167780</v>
      </c>
      <c r="D63" s="223"/>
      <c r="E63" s="223"/>
      <c r="F63" s="56"/>
    </row>
    <row r="64" spans="1:6" s="55" customFormat="1" ht="13.5">
      <c r="A64" s="71" t="s">
        <v>341</v>
      </c>
      <c r="B64" s="12" t="s">
        <v>342</v>
      </c>
      <c r="C64" s="24">
        <v>9900</v>
      </c>
      <c r="D64" s="31"/>
      <c r="E64" s="117"/>
      <c r="F64" s="56"/>
    </row>
    <row r="65" spans="1:6" s="55" customFormat="1" ht="13.5">
      <c r="A65" s="71" t="s">
        <v>343</v>
      </c>
      <c r="B65" s="12" t="s">
        <v>344</v>
      </c>
      <c r="C65" s="24">
        <v>3360</v>
      </c>
      <c r="D65" s="77"/>
      <c r="E65" s="25"/>
      <c r="F65" s="56"/>
    </row>
    <row r="66" spans="1:6" s="55" customFormat="1" ht="13.5">
      <c r="A66" s="71" t="s">
        <v>345</v>
      </c>
      <c r="B66" s="12" t="s">
        <v>346</v>
      </c>
      <c r="C66" s="24">
        <v>51120</v>
      </c>
      <c r="D66" s="77"/>
      <c r="E66" s="25"/>
      <c r="F66" s="56"/>
    </row>
    <row r="67" spans="1:6" s="55" customFormat="1" ht="13.5">
      <c r="A67" s="71" t="s">
        <v>378</v>
      </c>
      <c r="B67" s="12" t="s">
        <v>533</v>
      </c>
      <c r="C67" s="24">
        <v>18450</v>
      </c>
      <c r="D67" s="77"/>
      <c r="E67" s="25"/>
      <c r="F67" s="56"/>
    </row>
    <row r="68" spans="1:6" s="55" customFormat="1" ht="13.5">
      <c r="A68" s="71" t="s">
        <v>347</v>
      </c>
      <c r="B68" s="12" t="s">
        <v>348</v>
      </c>
      <c r="C68" s="24">
        <v>84950</v>
      </c>
      <c r="D68" s="77"/>
      <c r="E68" s="25"/>
      <c r="F68" s="56"/>
    </row>
    <row r="69" spans="1:6" s="55" customFormat="1" ht="13.5">
      <c r="A69" s="11" t="s">
        <v>110</v>
      </c>
      <c r="B69" s="11" t="s">
        <v>111</v>
      </c>
      <c r="C69" s="31">
        <f>SUM(C70)</f>
        <v>90550</v>
      </c>
      <c r="D69" s="77"/>
      <c r="E69" s="25"/>
      <c r="F69" s="56"/>
    </row>
    <row r="70" spans="1:6" s="55" customFormat="1" ht="13.5">
      <c r="A70" s="12" t="s">
        <v>52</v>
      </c>
      <c r="B70" s="12" t="s">
        <v>15</v>
      </c>
      <c r="C70" s="24">
        <v>90550</v>
      </c>
      <c r="D70" s="78"/>
      <c r="E70" s="25"/>
      <c r="F70" s="56"/>
    </row>
    <row r="71" spans="1:6" s="55" customFormat="1" ht="13.5">
      <c r="A71" s="11" t="s">
        <v>120</v>
      </c>
      <c r="B71" s="11" t="s">
        <v>121</v>
      </c>
      <c r="C71" s="31">
        <f>SUM(C72:C73)</f>
        <v>82930</v>
      </c>
      <c r="D71" s="31"/>
      <c r="E71" s="117"/>
      <c r="F71" s="56"/>
    </row>
    <row r="72" spans="1:6" s="55" customFormat="1" ht="13.5">
      <c r="A72" s="12" t="s">
        <v>140</v>
      </c>
      <c r="B72" s="12" t="s">
        <v>141</v>
      </c>
      <c r="C72" s="24">
        <v>60750</v>
      </c>
      <c r="D72" s="31"/>
      <c r="E72" s="117"/>
      <c r="F72" s="56"/>
    </row>
    <row r="73" spans="1:6" s="65" customFormat="1" ht="13.5">
      <c r="A73" s="12" t="s">
        <v>136</v>
      </c>
      <c r="B73" s="12" t="s">
        <v>71</v>
      </c>
      <c r="C73" s="24">
        <v>22180</v>
      </c>
      <c r="D73" s="31"/>
      <c r="E73" s="117"/>
      <c r="F73" s="56"/>
    </row>
    <row r="74" spans="1:5" s="65" customFormat="1" ht="13.5">
      <c r="A74" s="249" t="s">
        <v>112</v>
      </c>
      <c r="B74" s="11" t="s">
        <v>156</v>
      </c>
      <c r="C74" s="31">
        <f>SUM(C75:C76)</f>
        <v>854650</v>
      </c>
      <c r="D74" s="31"/>
      <c r="E74" s="117"/>
    </row>
    <row r="75" spans="1:8" s="8" customFormat="1" ht="13.5">
      <c r="A75" s="71" t="s">
        <v>138</v>
      </c>
      <c r="B75" s="58" t="s">
        <v>810</v>
      </c>
      <c r="C75" s="24">
        <v>19750</v>
      </c>
      <c r="D75" s="24"/>
      <c r="E75" s="117"/>
      <c r="F75" s="98"/>
      <c r="G75" s="54"/>
      <c r="H75" s="42"/>
    </row>
    <row r="76" spans="1:6" s="8" customFormat="1" ht="13.5">
      <c r="A76" s="71" t="s">
        <v>49</v>
      </c>
      <c r="B76" s="12" t="s">
        <v>87</v>
      </c>
      <c r="C76" s="24">
        <v>834900</v>
      </c>
      <c r="E76" s="117"/>
      <c r="F76" s="24"/>
    </row>
    <row r="77" spans="1:8" s="8" customFormat="1" ht="13.5">
      <c r="A77" s="249" t="s">
        <v>113</v>
      </c>
      <c r="B77" s="11" t="s">
        <v>114</v>
      </c>
      <c r="C77" s="31">
        <f>SUM(C78:C80)</f>
        <v>35340</v>
      </c>
      <c r="D77" s="24"/>
      <c r="E77" s="117"/>
      <c r="F77" s="98"/>
      <c r="G77" s="54"/>
      <c r="H77" s="42"/>
    </row>
    <row r="78" spans="1:8" s="8" customFormat="1" ht="13.5" customHeight="1">
      <c r="A78" s="71" t="s">
        <v>163</v>
      </c>
      <c r="B78" s="12" t="s">
        <v>74</v>
      </c>
      <c r="C78" s="24">
        <v>16490</v>
      </c>
      <c r="D78" s="24"/>
      <c r="E78" s="117"/>
      <c r="F78" s="42"/>
      <c r="G78" s="72"/>
      <c r="H78" s="42"/>
    </row>
    <row r="79" spans="1:8" s="8" customFormat="1" ht="13.5" customHeight="1">
      <c r="A79" s="71" t="s">
        <v>75</v>
      </c>
      <c r="B79" s="12" t="s">
        <v>73</v>
      </c>
      <c r="C79" s="24">
        <v>6850</v>
      </c>
      <c r="D79" s="24"/>
      <c r="E79" s="117"/>
      <c r="F79" s="42"/>
      <c r="G79" s="72"/>
      <c r="H79" s="42"/>
    </row>
    <row r="80" spans="1:8" s="8" customFormat="1" ht="13.5" customHeight="1">
      <c r="A80" s="71" t="s">
        <v>88</v>
      </c>
      <c r="B80" s="24" t="s">
        <v>64</v>
      </c>
      <c r="C80" s="24">
        <v>12000</v>
      </c>
      <c r="D80" s="24"/>
      <c r="E80" s="117"/>
      <c r="F80" s="42"/>
      <c r="G80" s="72"/>
      <c r="H80" s="42"/>
    </row>
    <row r="81" spans="1:8" s="8" customFormat="1" ht="13.5" customHeight="1">
      <c r="A81" s="249" t="s">
        <v>115</v>
      </c>
      <c r="B81" s="31" t="s">
        <v>8</v>
      </c>
      <c r="C81" s="31">
        <f>SUM(C82:C84)</f>
        <v>598810</v>
      </c>
      <c r="D81" s="25"/>
      <c r="E81" s="38"/>
      <c r="F81" s="98"/>
      <c r="G81" s="54"/>
      <c r="H81" s="42"/>
    </row>
    <row r="82" spans="1:8" s="8" customFormat="1" ht="13.5" customHeight="1">
      <c r="A82" s="71" t="s">
        <v>89</v>
      </c>
      <c r="B82" s="24" t="s">
        <v>8</v>
      </c>
      <c r="C82" s="24">
        <v>474900</v>
      </c>
      <c r="E82" s="21"/>
      <c r="F82" s="21"/>
      <c r="G82" s="54"/>
      <c r="H82" s="42"/>
    </row>
    <row r="83" spans="1:5" ht="13.5">
      <c r="A83" s="71" t="s">
        <v>182</v>
      </c>
      <c r="B83" s="24" t="s">
        <v>50</v>
      </c>
      <c r="C83" s="24">
        <v>92660</v>
      </c>
      <c r="D83" s="117"/>
      <c r="E83" s="117"/>
    </row>
    <row r="84" spans="1:5" ht="13.5">
      <c r="A84" s="71" t="s">
        <v>90</v>
      </c>
      <c r="B84" s="24" t="s">
        <v>7</v>
      </c>
      <c r="C84" s="24">
        <v>31250</v>
      </c>
      <c r="D84" s="31"/>
      <c r="E84" s="117"/>
    </row>
    <row r="85" spans="1:5" ht="14.25" thickBot="1">
      <c r="A85" s="71"/>
      <c r="B85" s="24"/>
      <c r="C85" s="23"/>
      <c r="D85" s="21"/>
      <c r="E85" s="21"/>
    </row>
    <row r="86" spans="1:5" ht="14.25" thickBot="1">
      <c r="A86" s="1007" t="s">
        <v>5</v>
      </c>
      <c r="B86" s="1008"/>
      <c r="C86" s="604">
        <f>C87+C89</f>
        <v>330450</v>
      </c>
      <c r="D86" s="21"/>
      <c r="E86" s="21"/>
    </row>
    <row r="87" spans="1:5" ht="13.5">
      <c r="A87" s="249" t="s">
        <v>126</v>
      </c>
      <c r="B87" s="11" t="s">
        <v>127</v>
      </c>
      <c r="C87" s="32">
        <f>SUM(C88)</f>
        <v>81400</v>
      </c>
      <c r="D87" s="223"/>
      <c r="E87" s="223"/>
    </row>
    <row r="88" spans="1:5" ht="13.5">
      <c r="A88" s="71" t="s">
        <v>538</v>
      </c>
      <c r="B88" s="42" t="s">
        <v>539</v>
      </c>
      <c r="C88" s="24">
        <v>81400</v>
      </c>
      <c r="D88" s="77"/>
      <c r="E88" s="25"/>
    </row>
    <row r="89" spans="1:5" ht="13.5">
      <c r="A89" s="249" t="s">
        <v>128</v>
      </c>
      <c r="B89" s="11" t="s">
        <v>129</v>
      </c>
      <c r="C89" s="32">
        <f>SUM(C90:C92)</f>
        <v>249050</v>
      </c>
      <c r="D89" s="223"/>
      <c r="E89" s="223"/>
    </row>
    <row r="90" spans="1:5" ht="13.5">
      <c r="A90" s="71" t="s">
        <v>237</v>
      </c>
      <c r="B90" s="12" t="s">
        <v>534</v>
      </c>
      <c r="C90" s="24">
        <v>47750</v>
      </c>
      <c r="D90" s="77"/>
      <c r="E90" s="25"/>
    </row>
    <row r="91" spans="1:5" ht="13.5">
      <c r="A91" s="71" t="s">
        <v>255</v>
      </c>
      <c r="B91" s="23" t="s">
        <v>256</v>
      </c>
      <c r="C91" s="24">
        <v>139700</v>
      </c>
      <c r="D91" s="77"/>
      <c r="E91" s="25"/>
    </row>
    <row r="92" spans="1:5" ht="13.5">
      <c r="A92" s="71" t="s">
        <v>144</v>
      </c>
      <c r="B92" s="24" t="s">
        <v>12</v>
      </c>
      <c r="C92" s="24">
        <v>61600</v>
      </c>
      <c r="D92" s="77"/>
      <c r="E92" s="25"/>
    </row>
    <row r="93" spans="1:5" ht="14.25" thickBot="1">
      <c r="A93" s="71"/>
      <c r="B93" s="23"/>
      <c r="C93" s="24"/>
      <c r="D93" s="77"/>
      <c r="E93" s="25"/>
    </row>
    <row r="94" spans="1:5" ht="14.25" thickBot="1">
      <c r="A94" s="996" t="s">
        <v>4</v>
      </c>
      <c r="B94" s="997"/>
      <c r="C94" s="605">
        <f>+C95+C97+C101+C103</f>
        <v>320050</v>
      </c>
      <c r="D94" s="21"/>
      <c r="E94" s="21"/>
    </row>
    <row r="95" spans="1:7" ht="13.5">
      <c r="A95" s="249" t="s">
        <v>178</v>
      </c>
      <c r="B95" s="11" t="s">
        <v>177</v>
      </c>
      <c r="C95" s="32">
        <f>SUM(C96)</f>
        <v>39100</v>
      </c>
      <c r="D95" s="223"/>
      <c r="E95" s="223"/>
      <c r="F95" s="61"/>
      <c r="G95" s="61"/>
    </row>
    <row r="96" spans="1:5" ht="13.5">
      <c r="A96" s="71" t="s">
        <v>176</v>
      </c>
      <c r="B96" s="23" t="s">
        <v>376</v>
      </c>
      <c r="C96" s="24">
        <v>39100</v>
      </c>
      <c r="D96" s="77"/>
      <c r="E96" s="25"/>
    </row>
    <row r="97" spans="1:5" ht="13.5">
      <c r="A97" s="249" t="s">
        <v>116</v>
      </c>
      <c r="B97" s="11" t="s">
        <v>117</v>
      </c>
      <c r="C97" s="31">
        <f>SUM(C98:C100)</f>
        <v>178180</v>
      </c>
      <c r="D97" s="77"/>
      <c r="E97" s="25"/>
    </row>
    <row r="98" spans="1:7" s="42" customFormat="1" ht="13.5" customHeight="1">
      <c r="A98" s="71" t="s">
        <v>91</v>
      </c>
      <c r="B98" s="24" t="s">
        <v>9</v>
      </c>
      <c r="C98" s="24">
        <v>128000</v>
      </c>
      <c r="D98" s="77"/>
      <c r="E98" s="25"/>
      <c r="G98" s="54"/>
    </row>
    <row r="99" spans="1:8" s="8" customFormat="1" ht="13.5" customHeight="1">
      <c r="A99" s="71" t="s">
        <v>57</v>
      </c>
      <c r="B99" s="23" t="s">
        <v>58</v>
      </c>
      <c r="C99" s="24">
        <v>20180</v>
      </c>
      <c r="D99" s="77"/>
      <c r="E99" s="25"/>
      <c r="F99" s="98"/>
      <c r="G99" s="54"/>
      <c r="H99" s="42"/>
    </row>
    <row r="100" spans="1:8" s="8" customFormat="1" ht="13.5" customHeight="1">
      <c r="A100" s="71" t="s">
        <v>756</v>
      </c>
      <c r="B100" s="23" t="s">
        <v>757</v>
      </c>
      <c r="C100" s="24">
        <v>30000</v>
      </c>
      <c r="D100" s="77"/>
      <c r="E100" s="25"/>
      <c r="F100" s="98"/>
      <c r="G100" s="54"/>
      <c r="H100" s="42"/>
    </row>
    <row r="101" spans="1:7" s="42" customFormat="1" ht="13.5" customHeight="1">
      <c r="A101" s="249" t="s">
        <v>1060</v>
      </c>
      <c r="B101" s="25" t="s">
        <v>259</v>
      </c>
      <c r="C101" s="31">
        <f>SUM(C102)</f>
        <v>91830</v>
      </c>
      <c r="D101" s="77"/>
      <c r="E101" s="25"/>
      <c r="G101" s="54"/>
    </row>
    <row r="102" spans="1:8" s="8" customFormat="1" ht="13.5" customHeight="1">
      <c r="A102" s="71" t="s">
        <v>164</v>
      </c>
      <c r="B102" s="23" t="s">
        <v>259</v>
      </c>
      <c r="C102" s="24">
        <v>91830</v>
      </c>
      <c r="D102" s="77"/>
      <c r="E102" s="25"/>
      <c r="F102" s="98"/>
      <c r="G102" s="54"/>
      <c r="H102" s="42"/>
    </row>
    <row r="103" spans="1:8" s="8" customFormat="1" ht="13.5" customHeight="1">
      <c r="A103" s="249" t="s">
        <v>165</v>
      </c>
      <c r="B103" s="11" t="s">
        <v>135</v>
      </c>
      <c r="C103" s="31">
        <f>SUM(C104)</f>
        <v>10940</v>
      </c>
      <c r="D103" s="77"/>
      <c r="E103" s="25"/>
      <c r="F103" s="199"/>
      <c r="G103" s="54"/>
      <c r="H103" s="73"/>
    </row>
    <row r="104" spans="1:5" s="65" customFormat="1" ht="13.5">
      <c r="A104" s="71" t="s">
        <v>166</v>
      </c>
      <c r="B104" s="24" t="s">
        <v>51</v>
      </c>
      <c r="C104" s="24">
        <v>10940</v>
      </c>
      <c r="D104" s="77"/>
      <c r="E104" s="25"/>
    </row>
    <row r="105" spans="1:6" s="55" customFormat="1" ht="13.5">
      <c r="A105" s="71"/>
      <c r="B105" s="71"/>
      <c r="C105" s="23"/>
      <c r="D105" s="21"/>
      <c r="E105" s="21"/>
      <c r="F105" s="56"/>
    </row>
    <row r="106" spans="1:6" s="55" customFormat="1" ht="14.25" thickBot="1">
      <c r="A106" s="71"/>
      <c r="B106" s="71"/>
      <c r="C106" s="23"/>
      <c r="D106" s="18"/>
      <c r="E106" s="18"/>
      <c r="F106" s="56"/>
    </row>
    <row r="107" spans="1:6" s="55" customFormat="1" ht="12.75">
      <c r="A107" s="891" t="s">
        <v>1061</v>
      </c>
      <c r="B107" s="919"/>
      <c r="C107" s="920"/>
      <c r="D107" s="921" t="s">
        <v>6</v>
      </c>
      <c r="E107" s="922" t="s">
        <v>1062</v>
      </c>
      <c r="F107" s="56"/>
    </row>
    <row r="108" spans="1:6" s="55" customFormat="1" ht="13.5" thickBot="1">
      <c r="A108" s="923"/>
      <c r="B108" s="924"/>
      <c r="C108" s="925"/>
      <c r="D108" s="926"/>
      <c r="E108" s="927"/>
      <c r="F108" s="56"/>
    </row>
    <row r="109" spans="1:6" s="55" customFormat="1" ht="12.75">
      <c r="A109" s="979" t="s">
        <v>1063</v>
      </c>
      <c r="B109" s="980"/>
      <c r="C109" s="980"/>
      <c r="D109" s="980"/>
      <c r="E109" s="981"/>
      <c r="F109" s="56"/>
    </row>
    <row r="110" spans="1:6" s="55" customFormat="1" ht="12.75">
      <c r="A110" s="982"/>
      <c r="B110" s="983"/>
      <c r="C110" s="983"/>
      <c r="D110" s="983"/>
      <c r="E110" s="984"/>
      <c r="F110" s="56"/>
    </row>
    <row r="111" spans="1:6" s="55" customFormat="1" ht="13.5" thickBot="1">
      <c r="A111" s="985"/>
      <c r="B111" s="986"/>
      <c r="C111" s="986"/>
      <c r="D111" s="986"/>
      <c r="E111" s="987"/>
      <c r="F111" s="56"/>
    </row>
    <row r="112" spans="1:5" s="65" customFormat="1" ht="13.5">
      <c r="A112" s="40" t="s">
        <v>809</v>
      </c>
      <c r="B112" s="12"/>
      <c r="C112" s="24"/>
      <c r="D112" s="24"/>
      <c r="E112" s="303"/>
    </row>
    <row r="113" spans="1:5" s="65" customFormat="1" ht="13.5">
      <c r="A113" s="40" t="s">
        <v>1057</v>
      </c>
      <c r="B113" s="12"/>
      <c r="C113" s="24"/>
      <c r="D113" s="24"/>
      <c r="E113" s="303"/>
    </row>
    <row r="114" spans="1:8" s="8" customFormat="1" ht="13.5" customHeight="1">
      <c r="A114" s="40" t="s">
        <v>1058</v>
      </c>
      <c r="B114" s="12"/>
      <c r="C114" s="24"/>
      <c r="D114" s="24"/>
      <c r="E114" s="303"/>
      <c r="F114" s="42"/>
      <c r="G114" s="72"/>
      <c r="H114" s="42"/>
    </row>
    <row r="115" spans="1:5" s="65" customFormat="1" ht="14.25" thickBot="1">
      <c r="A115" s="40" t="s">
        <v>13</v>
      </c>
      <c r="B115" s="12"/>
      <c r="C115" s="24"/>
      <c r="D115" s="24"/>
      <c r="E115" s="303"/>
    </row>
    <row r="116" spans="1:6" ht="14.25" thickBot="1">
      <c r="A116" s="928" t="s">
        <v>14</v>
      </c>
      <c r="B116" s="929"/>
      <c r="C116" s="930"/>
      <c r="D116" s="931"/>
      <c r="E116" s="932">
        <f>C118+C135+C150</f>
        <v>970251</v>
      </c>
      <c r="F116" s="61"/>
    </row>
    <row r="117" spans="1:5" ht="14.25" thickBot="1">
      <c r="A117" s="11"/>
      <c r="B117" s="11"/>
      <c r="C117" s="31"/>
      <c r="D117" s="31"/>
      <c r="E117" s="31"/>
    </row>
    <row r="118" spans="1:5" ht="14.25" thickBot="1">
      <c r="A118" s="992" t="s">
        <v>2</v>
      </c>
      <c r="B118" s="993"/>
      <c r="C118" s="602">
        <f>+C119+C121+C124+C130+C126</f>
        <v>399851</v>
      </c>
      <c r="D118" s="18"/>
      <c r="E118" s="937"/>
    </row>
    <row r="119" spans="1:7" s="42" customFormat="1" ht="13.5" customHeight="1">
      <c r="A119" s="249" t="s">
        <v>200</v>
      </c>
      <c r="B119" s="11" t="s">
        <v>229</v>
      </c>
      <c r="C119" s="31">
        <f>SUM(C120)</f>
        <v>25100</v>
      </c>
      <c r="D119" s="22"/>
      <c r="E119" s="31"/>
      <c r="F119" s="936"/>
      <c r="G119" s="54"/>
    </row>
    <row r="120" spans="1:7" s="42" customFormat="1" ht="13.5" customHeight="1">
      <c r="A120" s="71" t="s">
        <v>228</v>
      </c>
      <c r="B120" s="69" t="s">
        <v>227</v>
      </c>
      <c r="C120" s="24">
        <v>25100</v>
      </c>
      <c r="E120" s="31"/>
      <c r="F120" s="22"/>
      <c r="G120" s="54"/>
    </row>
    <row r="121" spans="1:5" ht="13.5">
      <c r="A121" s="11" t="s">
        <v>105</v>
      </c>
      <c r="B121" s="11" t="s">
        <v>106</v>
      </c>
      <c r="C121" s="32">
        <f>SUM(C122:C123)</f>
        <v>159790</v>
      </c>
      <c r="D121" s="15"/>
      <c r="E121" s="938"/>
    </row>
    <row r="122" spans="1:5" ht="13.5">
      <c r="A122" s="12" t="s">
        <v>67</v>
      </c>
      <c r="B122" s="12" t="s">
        <v>68</v>
      </c>
      <c r="C122" s="24">
        <v>86450</v>
      </c>
      <c r="D122" s="22"/>
      <c r="E122" s="31"/>
    </row>
    <row r="123" spans="1:5" ht="13.5">
      <c r="A123" s="12" t="s">
        <v>86</v>
      </c>
      <c r="B123" s="12" t="s">
        <v>66</v>
      </c>
      <c r="C123" s="24">
        <v>73340</v>
      </c>
      <c r="D123" s="22"/>
      <c r="E123" s="31"/>
    </row>
    <row r="124" spans="1:5" ht="13.5">
      <c r="A124" s="11" t="s">
        <v>107</v>
      </c>
      <c r="B124" s="11" t="s">
        <v>108</v>
      </c>
      <c r="C124" s="31">
        <f>SUM(C125)</f>
        <v>32310</v>
      </c>
      <c r="D124" s="22"/>
      <c r="E124" s="31"/>
    </row>
    <row r="125" spans="1:7" ht="13.5">
      <c r="A125" s="12" t="s">
        <v>47</v>
      </c>
      <c r="B125" s="24" t="s">
        <v>48</v>
      </c>
      <c r="C125" s="24">
        <v>32310</v>
      </c>
      <c r="D125" s="77"/>
      <c r="E125" s="25"/>
      <c r="F125" s="61"/>
      <c r="G125" s="61"/>
    </row>
    <row r="126" spans="1:5" s="65" customFormat="1" ht="13.5">
      <c r="A126" s="249" t="s">
        <v>119</v>
      </c>
      <c r="B126" s="11" t="s">
        <v>192</v>
      </c>
      <c r="C126" s="31">
        <f>SUM(C127:C129)</f>
        <v>37880</v>
      </c>
      <c r="D126" s="21"/>
      <c r="E126" s="21"/>
    </row>
    <row r="127" spans="1:5" s="65" customFormat="1" ht="13.5">
      <c r="A127" s="71" t="s">
        <v>641</v>
      </c>
      <c r="B127" s="24" t="s">
        <v>640</v>
      </c>
      <c r="C127" s="24">
        <v>10630</v>
      </c>
      <c r="D127" s="77"/>
      <c r="E127" s="25"/>
    </row>
    <row r="128" spans="1:5" s="65" customFormat="1" ht="13.5">
      <c r="A128" s="71" t="s">
        <v>758</v>
      </c>
      <c r="B128" s="24" t="s">
        <v>753</v>
      </c>
      <c r="C128" s="24">
        <v>17250</v>
      </c>
      <c r="D128" s="77"/>
      <c r="E128" s="25"/>
    </row>
    <row r="129" spans="1:5" s="65" customFormat="1" ht="13.5">
      <c r="A129" s="71" t="s">
        <v>754</v>
      </c>
      <c r="B129" s="24" t="s">
        <v>755</v>
      </c>
      <c r="C129" s="24">
        <v>10000</v>
      </c>
      <c r="D129" s="77"/>
      <c r="E129" s="25"/>
    </row>
    <row r="130" spans="1:5" ht="13.5">
      <c r="A130" s="249" t="s">
        <v>1064</v>
      </c>
      <c r="B130" s="31" t="s">
        <v>125</v>
      </c>
      <c r="C130" s="31">
        <f>SUM(C131:C133)</f>
        <v>144771</v>
      </c>
      <c r="D130" s="24"/>
      <c r="E130" s="117"/>
    </row>
    <row r="131" spans="1:5" ht="13.5">
      <c r="A131" s="71" t="s">
        <v>152</v>
      </c>
      <c r="B131" s="24" t="s">
        <v>70</v>
      </c>
      <c r="C131" s="24">
        <v>77750</v>
      </c>
      <c r="D131" s="77"/>
      <c r="E131" s="25"/>
    </row>
    <row r="132" spans="1:8" s="8" customFormat="1" ht="13.5" customHeight="1">
      <c r="A132" s="71" t="s">
        <v>154</v>
      </c>
      <c r="B132" s="24" t="s">
        <v>125</v>
      </c>
      <c r="C132" s="24">
        <v>15190</v>
      </c>
      <c r="D132" s="77"/>
      <c r="E132" s="25"/>
      <c r="F132" s="98"/>
      <c r="G132" s="54"/>
      <c r="H132" s="42"/>
    </row>
    <row r="133" spans="1:7" s="214" customFormat="1" ht="13.5">
      <c r="A133" s="71" t="s">
        <v>643</v>
      </c>
      <c r="B133" s="23" t="s">
        <v>759</v>
      </c>
      <c r="C133" s="59">
        <v>51831</v>
      </c>
      <c r="E133" s="61"/>
      <c r="F133" s="823"/>
      <c r="G133" s="89"/>
    </row>
    <row r="134" spans="1:5" s="65" customFormat="1" ht="14.25" thickBot="1">
      <c r="A134" s="71"/>
      <c r="B134" s="24"/>
      <c r="C134" s="23"/>
      <c r="D134" s="77"/>
      <c r="E134" s="25"/>
    </row>
    <row r="135" spans="1:8" s="8" customFormat="1" ht="13.5" customHeight="1" thickBot="1">
      <c r="A135" s="994" t="s">
        <v>3</v>
      </c>
      <c r="B135" s="995"/>
      <c r="C135" s="603">
        <f>C136+C138+C141+C144</f>
        <v>515460</v>
      </c>
      <c r="D135" s="21"/>
      <c r="E135" s="21"/>
      <c r="F135" s="199"/>
      <c r="G135" s="54"/>
      <c r="H135" s="73"/>
    </row>
    <row r="136" spans="1:5" s="65" customFormat="1" ht="13.5">
      <c r="A136" s="249" t="s">
        <v>112</v>
      </c>
      <c r="B136" s="11" t="s">
        <v>156</v>
      </c>
      <c r="C136" s="32">
        <f>SUM(C137:C137)</f>
        <v>77500</v>
      </c>
      <c r="D136" s="223"/>
      <c r="E136" s="223"/>
    </row>
    <row r="137" spans="1:6" s="55" customFormat="1" ht="13.5">
      <c r="A137" s="71" t="s">
        <v>49</v>
      </c>
      <c r="B137" s="12" t="s">
        <v>87</v>
      </c>
      <c r="C137" s="24">
        <v>77500</v>
      </c>
      <c r="D137" s="24"/>
      <c r="E137" s="117"/>
      <c r="F137" s="56"/>
    </row>
    <row r="138" spans="1:6" s="65" customFormat="1" ht="13.5">
      <c r="A138" s="249" t="s">
        <v>113</v>
      </c>
      <c r="B138" s="11" t="s">
        <v>114</v>
      </c>
      <c r="C138" s="31">
        <f>SUM(C139:C140)</f>
        <v>20650</v>
      </c>
      <c r="D138" s="24"/>
      <c r="E138" s="117"/>
      <c r="F138" s="56"/>
    </row>
    <row r="139" spans="1:5" s="65" customFormat="1" ht="13.5">
      <c r="A139" s="71" t="s">
        <v>75</v>
      </c>
      <c r="B139" s="12" t="s">
        <v>73</v>
      </c>
      <c r="C139" s="24">
        <v>9400</v>
      </c>
      <c r="D139" s="24"/>
      <c r="E139" s="117"/>
    </row>
    <row r="140" spans="1:8" s="8" customFormat="1" ht="13.5" customHeight="1">
      <c r="A140" s="71" t="s">
        <v>88</v>
      </c>
      <c r="B140" s="24" t="s">
        <v>64</v>
      </c>
      <c r="C140" s="24">
        <v>11250</v>
      </c>
      <c r="D140" s="24"/>
      <c r="E140" s="117"/>
      <c r="F140" s="42"/>
      <c r="G140" s="72"/>
      <c r="H140" s="42"/>
    </row>
    <row r="141" spans="1:8" s="8" customFormat="1" ht="13.5" customHeight="1">
      <c r="A141" s="249" t="s">
        <v>132</v>
      </c>
      <c r="B141" s="11" t="s">
        <v>56</v>
      </c>
      <c r="C141" s="31">
        <f>SUM(C142:C143)</f>
        <v>246220</v>
      </c>
      <c r="D141" s="24"/>
      <c r="E141" s="117"/>
      <c r="F141" s="42"/>
      <c r="G141" s="72"/>
      <c r="H141" s="42"/>
    </row>
    <row r="142" spans="1:8" s="8" customFormat="1" ht="13.5" customHeight="1">
      <c r="A142" s="71" t="s">
        <v>55</v>
      </c>
      <c r="B142" s="12" t="s">
        <v>56</v>
      </c>
      <c r="C142" s="24">
        <v>188730</v>
      </c>
      <c r="D142" s="24"/>
      <c r="E142" s="117"/>
      <c r="F142" s="98"/>
      <c r="G142" s="54"/>
      <c r="H142" s="42"/>
    </row>
    <row r="143" spans="1:8" s="8" customFormat="1" ht="13.5" customHeight="1">
      <c r="A143" s="71" t="s">
        <v>524</v>
      </c>
      <c r="B143" s="12" t="s">
        <v>525</v>
      </c>
      <c r="C143" s="24">
        <v>57490</v>
      </c>
      <c r="D143" s="25"/>
      <c r="E143" s="38"/>
      <c r="F143" s="98"/>
      <c r="G143" s="54"/>
      <c r="H143" s="42"/>
    </row>
    <row r="144" spans="1:5" s="65" customFormat="1" ht="13.5">
      <c r="A144" s="249" t="s">
        <v>115</v>
      </c>
      <c r="B144" s="31" t="s">
        <v>8</v>
      </c>
      <c r="C144" s="31">
        <f>SUM(C145:C148)</f>
        <v>171090</v>
      </c>
      <c r="D144" s="25"/>
      <c r="E144" s="38"/>
    </row>
    <row r="145" spans="1:5" ht="13.5">
      <c r="A145" s="71" t="s">
        <v>92</v>
      </c>
      <c r="B145" s="24" t="s">
        <v>8</v>
      </c>
      <c r="C145" s="24">
        <v>50800</v>
      </c>
      <c r="D145" s="117"/>
      <c r="E145" s="117"/>
    </row>
    <row r="146" spans="1:5" ht="13.5">
      <c r="A146" s="71" t="s">
        <v>225</v>
      </c>
      <c r="B146" s="42" t="s">
        <v>224</v>
      </c>
      <c r="C146" s="24">
        <v>26350</v>
      </c>
      <c r="D146" s="24"/>
      <c r="E146" s="117"/>
    </row>
    <row r="147" spans="1:5" ht="13.5">
      <c r="A147" s="71" t="s">
        <v>223</v>
      </c>
      <c r="B147" s="42" t="s">
        <v>222</v>
      </c>
      <c r="C147" s="24">
        <v>66680</v>
      </c>
      <c r="D147" s="24"/>
      <c r="E147" s="117"/>
    </row>
    <row r="148" spans="1:5" ht="13.5">
      <c r="A148" s="71" t="s">
        <v>90</v>
      </c>
      <c r="B148" s="24" t="s">
        <v>7</v>
      </c>
      <c r="C148" s="24">
        <v>27260</v>
      </c>
      <c r="D148" s="24"/>
      <c r="E148" s="117"/>
    </row>
    <row r="149" spans="1:5" ht="14.25" thickBot="1">
      <c r="A149" s="71"/>
      <c r="B149" s="24"/>
      <c r="C149" s="23"/>
      <c r="D149" s="117"/>
      <c r="E149" s="117"/>
    </row>
    <row r="150" spans="1:5" ht="14.25" thickBot="1">
      <c r="A150" s="996" t="s">
        <v>4</v>
      </c>
      <c r="B150" s="997"/>
      <c r="C150" s="605">
        <f>C151+C154</f>
        <v>54940</v>
      </c>
      <c r="D150" s="21"/>
      <c r="E150" s="21"/>
    </row>
    <row r="151" spans="1:5" ht="13.5">
      <c r="A151" s="249" t="s">
        <v>116</v>
      </c>
      <c r="B151" s="11" t="s">
        <v>117</v>
      </c>
      <c r="C151" s="32">
        <f>SUM(C152:C153)</f>
        <v>47440</v>
      </c>
      <c r="D151" s="223"/>
      <c r="E151" s="223"/>
    </row>
    <row r="152" spans="1:5" ht="13.5">
      <c r="A152" s="71" t="s">
        <v>91</v>
      </c>
      <c r="B152" s="24" t="s">
        <v>9</v>
      </c>
      <c r="C152" s="24">
        <v>22440</v>
      </c>
      <c r="D152" s="21"/>
      <c r="E152" s="21"/>
    </row>
    <row r="153" spans="1:5" ht="13.5">
      <c r="A153" s="71" t="s">
        <v>57</v>
      </c>
      <c r="B153" s="23" t="s">
        <v>58</v>
      </c>
      <c r="C153" s="24">
        <v>25000</v>
      </c>
      <c r="D153" s="21"/>
      <c r="E153" s="21"/>
    </row>
    <row r="154" spans="1:5" ht="13.5">
      <c r="A154" s="249" t="s">
        <v>165</v>
      </c>
      <c r="B154" s="11" t="s">
        <v>135</v>
      </c>
      <c r="C154" s="31">
        <f>SUM(C155)</f>
        <v>7500</v>
      </c>
      <c r="D154" s="21"/>
      <c r="E154" s="21"/>
    </row>
    <row r="155" spans="1:5" ht="13.5">
      <c r="A155" s="71" t="s">
        <v>166</v>
      </c>
      <c r="B155" s="24" t="s">
        <v>51</v>
      </c>
      <c r="C155" s="24">
        <v>7500</v>
      </c>
      <c r="D155" s="21"/>
      <c r="E155" s="21"/>
    </row>
    <row r="156" spans="1:7" ht="13.5">
      <c r="A156" s="71"/>
      <c r="B156" s="24"/>
      <c r="C156" s="23"/>
      <c r="D156" s="117"/>
      <c r="E156" s="117"/>
      <c r="G156" s="61"/>
    </row>
  </sheetData>
  <sheetProtection sheet="1" objects="1" scenarios="1" sort="0" autoFilter="0"/>
  <mergeCells count="10">
    <mergeCell ref="A109:E111"/>
    <mergeCell ref="A118:B118"/>
    <mergeCell ref="A135:B135"/>
    <mergeCell ref="A150:B150"/>
    <mergeCell ref="A6:E10"/>
    <mergeCell ref="A17:B17"/>
    <mergeCell ref="A40:B40"/>
    <mergeCell ref="A62:B62"/>
    <mergeCell ref="A86:B86"/>
    <mergeCell ref="A94:B94"/>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93"/>
  <sheetViews>
    <sheetView zoomScalePageLayoutView="0" workbookViewId="0" topLeftCell="A64">
      <selection activeCell="M134" sqref="M134"/>
    </sheetView>
  </sheetViews>
  <sheetFormatPr defaultColWidth="11.421875" defaultRowHeight="12.75"/>
  <cols>
    <col min="1" max="1" width="9.7109375" style="51" customWidth="1"/>
    <col min="2" max="2" width="46.7109375" style="51" customWidth="1"/>
    <col min="3" max="3" width="12.7109375" style="61" customWidth="1"/>
    <col min="4" max="4" width="10.7109375" style="64" customWidth="1"/>
    <col min="5" max="5" width="13.7109375" style="61" customWidth="1"/>
    <col min="6" max="6" width="6.57421875" style="51" customWidth="1"/>
    <col min="7" max="16384" width="11.421875" style="51" customWidth="1"/>
  </cols>
  <sheetData>
    <row r="1" spans="1:2" ht="12.75">
      <c r="A1" s="560" t="s">
        <v>1041</v>
      </c>
      <c r="B1" s="560"/>
    </row>
    <row r="2" ht="12.75">
      <c r="A2" s="433"/>
    </row>
    <row r="3" ht="13.5" thickBot="1"/>
    <row r="4" spans="1:5" ht="13.5">
      <c r="A4" s="867" t="s">
        <v>1042</v>
      </c>
      <c r="B4" s="868"/>
      <c r="C4" s="869"/>
      <c r="D4" s="870" t="s">
        <v>6</v>
      </c>
      <c r="E4" s="871" t="s">
        <v>1043</v>
      </c>
    </row>
    <row r="5" spans="1:5" ht="14.25" thickBot="1">
      <c r="A5" s="872"/>
      <c r="B5" s="873"/>
      <c r="C5" s="874"/>
      <c r="D5" s="875"/>
      <c r="E5" s="876"/>
    </row>
    <row r="6" spans="1:6" s="1" customFormat="1" ht="12.75">
      <c r="A6" s="979" t="s">
        <v>1044</v>
      </c>
      <c r="B6" s="980"/>
      <c r="C6" s="980"/>
      <c r="D6" s="980"/>
      <c r="E6" s="981"/>
      <c r="F6" s="447"/>
    </row>
    <row r="7" spans="1:5" s="68" customFormat="1" ht="12.75">
      <c r="A7" s="982"/>
      <c r="B7" s="983"/>
      <c r="C7" s="983"/>
      <c r="D7" s="983"/>
      <c r="E7" s="984"/>
    </row>
    <row r="8" spans="1:5" s="68" customFormat="1" ht="12.75">
      <c r="A8" s="982"/>
      <c r="B8" s="983"/>
      <c r="C8" s="983"/>
      <c r="D8" s="983"/>
      <c r="E8" s="984"/>
    </row>
    <row r="9" spans="1:5" s="68" customFormat="1" ht="12.75">
      <c r="A9" s="982"/>
      <c r="B9" s="983"/>
      <c r="C9" s="983"/>
      <c r="D9" s="983"/>
      <c r="E9" s="984"/>
    </row>
    <row r="10" spans="1:5" s="68" customFormat="1" ht="13.5" thickBot="1">
      <c r="A10" s="985"/>
      <c r="B10" s="986"/>
      <c r="C10" s="986"/>
      <c r="D10" s="986"/>
      <c r="E10" s="987"/>
    </row>
    <row r="11" spans="1:5" s="434" customFormat="1" ht="13.5">
      <c r="A11" s="436" t="s">
        <v>809</v>
      </c>
      <c r="B11" s="163"/>
      <c r="C11" s="162"/>
      <c r="D11" s="162"/>
      <c r="E11" s="161"/>
    </row>
    <row r="12" spans="1:5" s="434" customFormat="1" ht="13.5">
      <c r="A12" s="57" t="s">
        <v>1045</v>
      </c>
      <c r="B12" s="58"/>
      <c r="C12" s="59"/>
      <c r="D12" s="59"/>
      <c r="E12" s="60"/>
    </row>
    <row r="13" spans="1:5" s="434" customFormat="1" ht="13.5">
      <c r="A13" s="57" t="s">
        <v>1046</v>
      </c>
      <c r="B13" s="58"/>
      <c r="C13" s="59"/>
      <c r="D13" s="59"/>
      <c r="E13" s="60"/>
    </row>
    <row r="14" spans="1:5" s="434" customFormat="1" ht="14.25" thickBot="1">
      <c r="A14" s="160" t="s">
        <v>13</v>
      </c>
      <c r="B14" s="159"/>
      <c r="C14" s="158"/>
      <c r="D14" s="158"/>
      <c r="E14" s="157"/>
    </row>
    <row r="15" spans="1:7" s="434" customFormat="1" ht="14.25" thickBot="1">
      <c r="A15" s="877" t="s">
        <v>14</v>
      </c>
      <c r="B15" s="878"/>
      <c r="C15" s="879"/>
      <c r="D15" s="879"/>
      <c r="E15" s="880">
        <f>C17+C40+C60+C81</f>
        <v>18383237</v>
      </c>
      <c r="G15" s="881"/>
    </row>
    <row r="16" spans="1:5" s="220" customFormat="1" ht="14.25" thickBot="1">
      <c r="A16" s="62"/>
      <c r="B16" s="62"/>
      <c r="C16" s="63"/>
      <c r="D16" s="63"/>
      <c r="E16" s="63"/>
    </row>
    <row r="17" spans="1:5" s="220" customFormat="1" ht="14.25" thickBot="1">
      <c r="A17" s="1140" t="s">
        <v>1</v>
      </c>
      <c r="B17" s="1141"/>
      <c r="C17" s="882">
        <f>(C18+C25+C32)</f>
        <v>16677837</v>
      </c>
      <c r="D17" s="201"/>
      <c r="E17" s="858"/>
    </row>
    <row r="18" spans="1:6" s="42" customFormat="1" ht="12.75" customHeight="1">
      <c r="A18" s="11" t="s">
        <v>97</v>
      </c>
      <c r="B18" s="199" t="s">
        <v>98</v>
      </c>
      <c r="C18" s="31">
        <f>SUM(C19:C24)</f>
        <v>6</v>
      </c>
      <c r="D18" s="22"/>
      <c r="E18" s="24"/>
      <c r="F18" s="94"/>
    </row>
    <row r="19" spans="1:6" s="8" customFormat="1" ht="12.75" customHeight="1">
      <c r="A19" s="12" t="s">
        <v>23</v>
      </c>
      <c r="B19" s="24" t="s">
        <v>20</v>
      </c>
      <c r="C19" s="24">
        <v>1</v>
      </c>
      <c r="D19" s="22"/>
      <c r="E19" s="25"/>
      <c r="F19" s="91"/>
    </row>
    <row r="20" spans="1:6" s="8" customFormat="1" ht="12.75" customHeight="1">
      <c r="A20" s="12" t="s">
        <v>24</v>
      </c>
      <c r="B20" s="24" t="s">
        <v>22</v>
      </c>
      <c r="C20" s="24">
        <v>1</v>
      </c>
      <c r="D20" s="22"/>
      <c r="E20" s="25"/>
      <c r="F20" s="91"/>
    </row>
    <row r="21" spans="1:6" s="9" customFormat="1" ht="12.75" customHeight="1">
      <c r="A21" s="12" t="s">
        <v>25</v>
      </c>
      <c r="B21" s="24" t="s">
        <v>76</v>
      </c>
      <c r="C21" s="24">
        <v>1</v>
      </c>
      <c r="D21" s="22"/>
      <c r="E21" s="25"/>
      <c r="F21" s="91"/>
    </row>
    <row r="22" spans="1:6" s="9" customFormat="1" ht="12.75" customHeight="1">
      <c r="A22" s="12" t="s">
        <v>26</v>
      </c>
      <c r="B22" s="24" t="s">
        <v>77</v>
      </c>
      <c r="C22" s="24">
        <v>1</v>
      </c>
      <c r="D22" s="22"/>
      <c r="E22" s="25"/>
      <c r="F22" s="91"/>
    </row>
    <row r="23" spans="1:6" s="9" customFormat="1" ht="12.75" customHeight="1">
      <c r="A23" s="12" t="s">
        <v>27</v>
      </c>
      <c r="B23" s="24" t="s">
        <v>21</v>
      </c>
      <c r="C23" s="24">
        <v>1</v>
      </c>
      <c r="D23" s="22"/>
      <c r="E23" s="25"/>
      <c r="F23" s="91"/>
    </row>
    <row r="24" spans="1:6" s="9" customFormat="1" ht="12.75" customHeight="1">
      <c r="A24" s="12" t="s">
        <v>28</v>
      </c>
      <c r="B24" s="24" t="s">
        <v>19</v>
      </c>
      <c r="C24" s="24">
        <v>1</v>
      </c>
      <c r="D24" s="22"/>
      <c r="E24" s="25"/>
      <c r="F24" s="91"/>
    </row>
    <row r="25" spans="1:6" s="9" customFormat="1" ht="12.75" customHeight="1">
      <c r="A25" s="11" t="s">
        <v>99</v>
      </c>
      <c r="B25" s="31" t="s">
        <v>100</v>
      </c>
      <c r="C25" s="31">
        <f>SUM(C26:C31)</f>
        <v>12798657</v>
      </c>
      <c r="D25" s="22"/>
      <c r="E25" s="25"/>
      <c r="F25" s="91"/>
    </row>
    <row r="26" spans="1:6" s="9" customFormat="1" ht="12.75" customHeight="1">
      <c r="A26" s="12" t="s">
        <v>30</v>
      </c>
      <c r="B26" s="24" t="s">
        <v>78</v>
      </c>
      <c r="C26" s="24">
        <f>1569653+395124+8720296</f>
        <v>10685073</v>
      </c>
      <c r="D26" s="22"/>
      <c r="E26" s="25"/>
      <c r="F26" s="92"/>
    </row>
    <row r="27" spans="1:8" s="8" customFormat="1" ht="12.75" customHeight="1">
      <c r="A27" s="12" t="s">
        <v>31</v>
      </c>
      <c r="B27" s="24" t="s">
        <v>79</v>
      </c>
      <c r="C27" s="24">
        <f>1395247+392413</f>
        <v>1787660</v>
      </c>
      <c r="D27" s="22"/>
      <c r="E27" s="25"/>
      <c r="F27" s="53"/>
      <c r="G27" s="42"/>
      <c r="H27" s="42"/>
    </row>
    <row r="28" spans="1:6" s="8" customFormat="1" ht="12.75" customHeight="1">
      <c r="A28" s="12" t="s">
        <v>32</v>
      </c>
      <c r="B28" s="24" t="s">
        <v>80</v>
      </c>
      <c r="C28" s="24">
        <f>55000+270921</f>
        <v>325921</v>
      </c>
      <c r="D28" s="22"/>
      <c r="E28" s="25"/>
      <c r="F28" s="91"/>
    </row>
    <row r="29" spans="1:6" s="9" customFormat="1" ht="12.75" customHeight="1">
      <c r="A29" s="12" t="s">
        <v>33</v>
      </c>
      <c r="B29" s="24" t="s">
        <v>81</v>
      </c>
      <c r="C29" s="24">
        <v>1</v>
      </c>
      <c r="D29" s="22"/>
      <c r="E29" s="883"/>
      <c r="F29" s="91"/>
    </row>
    <row r="30" spans="1:6" s="9" customFormat="1" ht="12.75" customHeight="1">
      <c r="A30" s="12" t="s">
        <v>34</v>
      </c>
      <c r="B30" s="24" t="s">
        <v>29</v>
      </c>
      <c r="C30" s="24">
        <v>1</v>
      </c>
      <c r="D30" s="22"/>
      <c r="E30" s="25"/>
      <c r="F30" s="91"/>
    </row>
    <row r="31" spans="1:6" s="9" customFormat="1" ht="12.75" customHeight="1">
      <c r="A31" s="12" t="s">
        <v>83</v>
      </c>
      <c r="B31" s="24" t="s">
        <v>82</v>
      </c>
      <c r="C31" s="24">
        <v>1</v>
      </c>
      <c r="D31" s="22"/>
      <c r="E31" s="25"/>
      <c r="F31" s="92"/>
    </row>
    <row r="32" spans="1:6" s="9" customFormat="1" ht="12.75" customHeight="1">
      <c r="A32" s="11" t="s">
        <v>101</v>
      </c>
      <c r="B32" s="31" t="s">
        <v>102</v>
      </c>
      <c r="C32" s="31">
        <f>SUM(C33:C38)</f>
        <v>3879174</v>
      </c>
      <c r="D32" s="22"/>
      <c r="E32" s="884"/>
      <c r="F32" s="92"/>
    </row>
    <row r="33" spans="1:6" s="9" customFormat="1" ht="12.75" customHeight="1">
      <c r="A33" s="12" t="s">
        <v>39</v>
      </c>
      <c r="B33" s="24" t="s">
        <v>35</v>
      </c>
      <c r="C33" s="24">
        <f>2633648+163623+466257</f>
        <v>3263528</v>
      </c>
      <c r="D33" s="22"/>
      <c r="E33" s="884"/>
      <c r="F33" s="195"/>
    </row>
    <row r="34" spans="1:6" s="9" customFormat="1" ht="12.75" customHeight="1">
      <c r="A34" s="12" t="s">
        <v>40</v>
      </c>
      <c r="B34" s="24" t="s">
        <v>37</v>
      </c>
      <c r="C34" s="24">
        <f>116565+414450</f>
        <v>531015</v>
      </c>
      <c r="D34" s="22"/>
      <c r="E34" s="884"/>
      <c r="F34" s="195"/>
    </row>
    <row r="35" spans="1:6" s="9" customFormat="1" ht="12.75" customHeight="1">
      <c r="A35" s="12" t="s">
        <v>41</v>
      </c>
      <c r="B35" s="24" t="s">
        <v>84</v>
      </c>
      <c r="C35" s="24">
        <v>84628</v>
      </c>
      <c r="D35" s="22"/>
      <c r="E35" s="884"/>
      <c r="F35" s="195"/>
    </row>
    <row r="36" spans="1:6" s="9" customFormat="1" ht="12.75" customHeight="1">
      <c r="A36" s="12" t="s">
        <v>42</v>
      </c>
      <c r="B36" s="24" t="s">
        <v>85</v>
      </c>
      <c r="C36" s="24">
        <v>1</v>
      </c>
      <c r="D36" s="22"/>
      <c r="E36" s="884"/>
      <c r="F36" s="195"/>
    </row>
    <row r="37" spans="1:5" s="9" customFormat="1" ht="12.75" customHeight="1">
      <c r="A37" s="12" t="s">
        <v>43</v>
      </c>
      <c r="B37" s="24" t="s">
        <v>36</v>
      </c>
      <c r="C37" s="24">
        <v>1</v>
      </c>
      <c r="D37" s="22"/>
      <c r="E37" s="884"/>
    </row>
    <row r="38" spans="1:5" s="65" customFormat="1" ht="13.5">
      <c r="A38" s="12" t="s">
        <v>44</v>
      </c>
      <c r="B38" s="24" t="s">
        <v>38</v>
      </c>
      <c r="C38" s="59">
        <v>1</v>
      </c>
      <c r="D38" s="59"/>
      <c r="E38" s="885"/>
    </row>
    <row r="39" spans="1:5" s="65" customFormat="1" ht="14.25" thickBot="1">
      <c r="A39" s="12"/>
      <c r="B39" s="24"/>
      <c r="C39" s="66"/>
      <c r="D39" s="59"/>
      <c r="E39" s="885"/>
    </row>
    <row r="40" spans="1:5" s="65" customFormat="1" ht="14.25" thickBot="1">
      <c r="A40" s="1013" t="s">
        <v>2</v>
      </c>
      <c r="B40" s="1014"/>
      <c r="C40" s="634">
        <f>C41+C43+C46+C53+C55+C48</f>
        <v>250200</v>
      </c>
      <c r="D40" s="201"/>
      <c r="E40" s="851"/>
    </row>
    <row r="41" spans="1:5" s="55" customFormat="1" ht="13.5">
      <c r="A41" s="11" t="s">
        <v>103</v>
      </c>
      <c r="B41" s="199" t="s">
        <v>104</v>
      </c>
      <c r="C41" s="63">
        <f>SUM(C42)</f>
        <v>48000</v>
      </c>
      <c r="D41" s="56"/>
      <c r="E41" s="886"/>
    </row>
    <row r="42" spans="1:7" s="42" customFormat="1" ht="13.5" customHeight="1">
      <c r="A42" s="12" t="s">
        <v>46</v>
      </c>
      <c r="B42" s="8" t="s">
        <v>45</v>
      </c>
      <c r="C42" s="24">
        <v>48000</v>
      </c>
      <c r="D42" s="22"/>
      <c r="E42" s="887"/>
      <c r="G42" s="54"/>
    </row>
    <row r="43" spans="1:7" s="42" customFormat="1" ht="13.5" customHeight="1">
      <c r="A43" s="11" t="s">
        <v>105</v>
      </c>
      <c r="B43" s="502" t="s">
        <v>106</v>
      </c>
      <c r="C43" s="31">
        <f>SUM(C44:C45)</f>
        <v>78000</v>
      </c>
      <c r="D43" s="22"/>
      <c r="E43" s="887"/>
      <c r="G43" s="54"/>
    </row>
    <row r="44" spans="1:7" s="42" customFormat="1" ht="13.5" customHeight="1">
      <c r="A44" s="12" t="s">
        <v>67</v>
      </c>
      <c r="B44" s="8" t="s">
        <v>68</v>
      </c>
      <c r="C44" s="24">
        <v>58000</v>
      </c>
      <c r="D44" s="22"/>
      <c r="E44" s="887"/>
      <c r="G44" s="54"/>
    </row>
    <row r="45" spans="1:7" s="42" customFormat="1" ht="13.5" customHeight="1">
      <c r="A45" s="12" t="s">
        <v>86</v>
      </c>
      <c r="B45" s="8" t="s">
        <v>66</v>
      </c>
      <c r="C45" s="24">
        <v>20000</v>
      </c>
      <c r="D45" s="22"/>
      <c r="E45" s="887"/>
      <c r="G45" s="54"/>
    </row>
    <row r="46" spans="1:7" s="42" customFormat="1" ht="13.5" customHeight="1">
      <c r="A46" s="11" t="s">
        <v>107</v>
      </c>
      <c r="B46" s="502" t="s">
        <v>108</v>
      </c>
      <c r="C46" s="31">
        <f>SUM(C47)</f>
        <v>38000</v>
      </c>
      <c r="D46" s="22"/>
      <c r="E46" s="887"/>
      <c r="G46" s="54"/>
    </row>
    <row r="47" spans="1:8" s="8" customFormat="1" ht="13.5" customHeight="1">
      <c r="A47" s="12" t="s">
        <v>47</v>
      </c>
      <c r="B47" s="24" t="s">
        <v>48</v>
      </c>
      <c r="C47" s="24">
        <v>38000</v>
      </c>
      <c r="D47" s="77"/>
      <c r="E47" s="884"/>
      <c r="F47" s="98"/>
      <c r="G47" s="54"/>
      <c r="H47" s="42"/>
    </row>
    <row r="48" spans="1:5" s="65" customFormat="1" ht="13.5">
      <c r="A48" s="249" t="s">
        <v>119</v>
      </c>
      <c r="B48" s="11" t="s">
        <v>192</v>
      </c>
      <c r="C48" s="31">
        <f>SUM(C49:C52)</f>
        <v>41000</v>
      </c>
      <c r="D48" s="21"/>
      <c r="E48" s="21"/>
    </row>
    <row r="49" spans="1:5" s="65" customFormat="1" ht="13.5">
      <c r="A49" s="71" t="s">
        <v>149</v>
      </c>
      <c r="B49" s="24" t="s">
        <v>639</v>
      </c>
      <c r="C49" s="24">
        <v>7000</v>
      </c>
      <c r="D49" s="21"/>
      <c r="E49" s="21"/>
    </row>
    <row r="50" spans="1:5" s="65" customFormat="1" ht="13.5">
      <c r="A50" s="71" t="s">
        <v>641</v>
      </c>
      <c r="B50" s="24" t="s">
        <v>640</v>
      </c>
      <c r="C50" s="24">
        <v>9000</v>
      </c>
      <c r="D50" s="77"/>
      <c r="E50" s="25"/>
    </row>
    <row r="51" spans="1:5" s="65" customFormat="1" ht="13.5">
      <c r="A51" s="71" t="s">
        <v>758</v>
      </c>
      <c r="B51" s="24" t="s">
        <v>753</v>
      </c>
      <c r="C51" s="24">
        <v>15000</v>
      </c>
      <c r="D51" s="77"/>
      <c r="E51" s="25"/>
    </row>
    <row r="52" spans="1:5" s="65" customFormat="1" ht="13.5">
      <c r="A52" s="71" t="s">
        <v>754</v>
      </c>
      <c r="B52" s="24" t="s">
        <v>755</v>
      </c>
      <c r="C52" s="24">
        <v>10000</v>
      </c>
      <c r="D52" s="77"/>
      <c r="E52" s="25"/>
    </row>
    <row r="53" spans="1:8" s="8" customFormat="1" ht="13.5" customHeight="1">
      <c r="A53" s="249" t="s">
        <v>124</v>
      </c>
      <c r="B53" s="31" t="s">
        <v>123</v>
      </c>
      <c r="C53" s="31">
        <f>SUM(C54)</f>
        <v>6200</v>
      </c>
      <c r="D53" s="77"/>
      <c r="E53" s="884"/>
      <c r="F53" s="98"/>
      <c r="G53" s="54"/>
      <c r="H53" s="42"/>
    </row>
    <row r="54" spans="1:5" s="65" customFormat="1" ht="13.5">
      <c r="A54" s="71" t="s">
        <v>93</v>
      </c>
      <c r="B54" s="24" t="s">
        <v>72</v>
      </c>
      <c r="C54" s="59">
        <v>6200</v>
      </c>
      <c r="D54" s="67"/>
      <c r="E54" s="885"/>
    </row>
    <row r="55" spans="1:5" s="65" customFormat="1" ht="13.5">
      <c r="A55" s="249" t="s">
        <v>150</v>
      </c>
      <c r="B55" s="31" t="s">
        <v>125</v>
      </c>
      <c r="C55" s="63">
        <f>SUM(C56:C58)</f>
        <v>39000</v>
      </c>
      <c r="D55" s="67"/>
      <c r="E55" s="885"/>
    </row>
    <row r="56" spans="1:8" s="8" customFormat="1" ht="13.5" customHeight="1">
      <c r="A56" s="71" t="s">
        <v>151</v>
      </c>
      <c r="B56" s="24" t="s">
        <v>65</v>
      </c>
      <c r="C56" s="24">
        <v>28000</v>
      </c>
      <c r="D56" s="77"/>
      <c r="E56" s="884"/>
      <c r="F56" s="98"/>
      <c r="G56" s="54"/>
      <c r="H56" s="42"/>
    </row>
    <row r="57" spans="1:8" s="8" customFormat="1" ht="13.5" customHeight="1">
      <c r="A57" s="71" t="s">
        <v>152</v>
      </c>
      <c r="B57" s="24" t="s">
        <v>70</v>
      </c>
      <c r="C57" s="24">
        <v>4000</v>
      </c>
      <c r="D57" s="77"/>
      <c r="E57" s="884"/>
      <c r="F57" s="98"/>
      <c r="G57" s="54"/>
      <c r="H57" s="42"/>
    </row>
    <row r="58" spans="1:8" s="8" customFormat="1" ht="13.5" customHeight="1">
      <c r="A58" s="71" t="s">
        <v>154</v>
      </c>
      <c r="B58" s="24" t="s">
        <v>133</v>
      </c>
      <c r="C58" s="24">
        <v>7000</v>
      </c>
      <c r="D58" s="77"/>
      <c r="E58" s="884"/>
      <c r="F58" s="199"/>
      <c r="G58" s="54"/>
      <c r="H58" s="73"/>
    </row>
    <row r="59" spans="1:8" s="8" customFormat="1" ht="13.5" customHeight="1" thickBot="1">
      <c r="A59" s="71"/>
      <c r="B59" s="24"/>
      <c r="C59" s="23"/>
      <c r="D59" s="77"/>
      <c r="E59" s="884"/>
      <c r="F59" s="199"/>
      <c r="G59" s="54"/>
      <c r="H59" s="73"/>
    </row>
    <row r="60" spans="1:5" s="65" customFormat="1" ht="14.25" thickBot="1">
      <c r="A60" s="1015" t="s">
        <v>3</v>
      </c>
      <c r="B60" s="1016"/>
      <c r="C60" s="635">
        <f>C61+C63+C65+C67+C70+C73+C75</f>
        <v>1325200</v>
      </c>
      <c r="D60" s="201"/>
      <c r="E60" s="851"/>
    </row>
    <row r="61" spans="1:5" s="55" customFormat="1" ht="13.5">
      <c r="A61" s="249" t="s">
        <v>339</v>
      </c>
      <c r="B61" s="199" t="s">
        <v>340</v>
      </c>
      <c r="C61" s="63">
        <f>SUM(C62)</f>
        <v>5000</v>
      </c>
      <c r="D61" s="56"/>
      <c r="E61" s="886"/>
    </row>
    <row r="62" spans="1:9" s="8" customFormat="1" ht="13.5" customHeight="1">
      <c r="A62" s="71" t="s">
        <v>347</v>
      </c>
      <c r="B62" s="58" t="s">
        <v>348</v>
      </c>
      <c r="C62" s="24">
        <v>5000</v>
      </c>
      <c r="D62" s="77"/>
      <c r="E62" s="884"/>
      <c r="F62" s="98"/>
      <c r="G62" s="54"/>
      <c r="H62" s="42"/>
      <c r="I62" s="82"/>
    </row>
    <row r="63" spans="1:9" s="8" customFormat="1" ht="13.5" customHeight="1">
      <c r="A63" s="62" t="s">
        <v>110</v>
      </c>
      <c r="B63" s="62" t="s">
        <v>111</v>
      </c>
      <c r="C63" s="31">
        <f>SUM(C64)</f>
        <v>39200</v>
      </c>
      <c r="D63" s="77"/>
      <c r="E63" s="884"/>
      <c r="F63" s="98"/>
      <c r="G63" s="54"/>
      <c r="H63" s="42"/>
      <c r="I63" s="82"/>
    </row>
    <row r="64" spans="1:8" s="8" customFormat="1" ht="13.5" customHeight="1">
      <c r="A64" s="58" t="s">
        <v>52</v>
      </c>
      <c r="B64" s="58" t="s">
        <v>15</v>
      </c>
      <c r="C64" s="24">
        <v>39200</v>
      </c>
      <c r="D64" s="83"/>
      <c r="E64" s="884"/>
      <c r="F64" s="98"/>
      <c r="G64" s="54"/>
      <c r="H64" s="42"/>
    </row>
    <row r="65" spans="1:8" s="8" customFormat="1" ht="13.5" customHeight="1">
      <c r="A65" s="62" t="s">
        <v>120</v>
      </c>
      <c r="B65" s="62" t="s">
        <v>485</v>
      </c>
      <c r="C65" s="31">
        <f>SUM(C66)</f>
        <v>18000</v>
      </c>
      <c r="D65" s="83"/>
      <c r="E65" s="884"/>
      <c r="F65" s="98"/>
      <c r="G65" s="54"/>
      <c r="H65" s="42"/>
    </row>
    <row r="66" spans="1:8" s="8" customFormat="1" ht="13.5" customHeight="1">
      <c r="A66" s="58" t="s">
        <v>136</v>
      </c>
      <c r="B66" s="58" t="s">
        <v>71</v>
      </c>
      <c r="C66" s="24">
        <v>18000</v>
      </c>
      <c r="D66" s="77"/>
      <c r="E66" s="884"/>
      <c r="F66" s="194"/>
      <c r="G66" s="54"/>
      <c r="H66" s="54"/>
    </row>
    <row r="67" spans="1:8" s="8" customFormat="1" ht="13.5" customHeight="1">
      <c r="A67" s="249" t="s">
        <v>112</v>
      </c>
      <c r="B67" s="62" t="s">
        <v>156</v>
      </c>
      <c r="C67" s="31">
        <f>SUM(C68:C69)</f>
        <v>770000</v>
      </c>
      <c r="D67" s="83"/>
      <c r="E67" s="884"/>
      <c r="F67" s="98"/>
      <c r="G67" s="54"/>
      <c r="H67" s="42"/>
    </row>
    <row r="68" spans="1:6" s="55" customFormat="1" ht="13.5">
      <c r="A68" s="71" t="s">
        <v>138</v>
      </c>
      <c r="B68" s="58" t="s">
        <v>137</v>
      </c>
      <c r="C68" s="59">
        <v>10000</v>
      </c>
      <c r="D68" s="63"/>
      <c r="E68" s="886"/>
      <c r="F68" s="56"/>
    </row>
    <row r="69" spans="1:6" s="55" customFormat="1" ht="13.5">
      <c r="A69" s="71" t="s">
        <v>49</v>
      </c>
      <c r="B69" s="24" t="s">
        <v>87</v>
      </c>
      <c r="C69" s="59">
        <v>760000</v>
      </c>
      <c r="E69" s="886"/>
      <c r="F69" s="59"/>
    </row>
    <row r="70" spans="1:6" s="55" customFormat="1" ht="13.5">
      <c r="A70" s="249" t="s">
        <v>113</v>
      </c>
      <c r="B70" s="31" t="s">
        <v>114</v>
      </c>
      <c r="C70" s="63">
        <f>SUM(C71:C72)</f>
        <v>97000</v>
      </c>
      <c r="E70" s="886"/>
      <c r="F70" s="59"/>
    </row>
    <row r="71" spans="1:6" s="55" customFormat="1" ht="13.5">
      <c r="A71" s="71" t="s">
        <v>88</v>
      </c>
      <c r="B71" s="24" t="s">
        <v>64</v>
      </c>
      <c r="C71" s="59">
        <v>22000</v>
      </c>
      <c r="E71" s="886"/>
      <c r="F71" s="59"/>
    </row>
    <row r="72" spans="1:8" s="71" customFormat="1" ht="12.75" customHeight="1">
      <c r="A72" s="71" t="s">
        <v>362</v>
      </c>
      <c r="B72" s="24" t="s">
        <v>363</v>
      </c>
      <c r="C72" s="24">
        <v>75000</v>
      </c>
      <c r="D72" s="533"/>
      <c r="E72" s="533"/>
      <c r="F72" s="546"/>
      <c r="G72" s="537"/>
      <c r="H72" s="533"/>
    </row>
    <row r="73" spans="1:6" s="55" customFormat="1" ht="13.5">
      <c r="A73" s="249" t="s">
        <v>132</v>
      </c>
      <c r="B73" s="31" t="s">
        <v>56</v>
      </c>
      <c r="C73" s="63">
        <f>SUM(C74)</f>
        <v>17000</v>
      </c>
      <c r="E73" s="886"/>
      <c r="F73" s="59"/>
    </row>
    <row r="74" spans="1:6" s="55" customFormat="1" ht="13.5">
      <c r="A74" s="71" t="s">
        <v>55</v>
      </c>
      <c r="B74" s="58" t="s">
        <v>56</v>
      </c>
      <c r="C74" s="59">
        <v>17000</v>
      </c>
      <c r="E74" s="886"/>
      <c r="F74" s="59"/>
    </row>
    <row r="75" spans="1:6" s="55" customFormat="1" ht="13.5">
      <c r="A75" s="249" t="s">
        <v>115</v>
      </c>
      <c r="B75" s="31" t="s">
        <v>8</v>
      </c>
      <c r="C75" s="63">
        <f>SUM(C76:C79)</f>
        <v>379000</v>
      </c>
      <c r="E75" s="886"/>
      <c r="F75" s="59"/>
    </row>
    <row r="76" spans="1:9" s="55" customFormat="1" ht="13.5">
      <c r="A76" s="71" t="s">
        <v>92</v>
      </c>
      <c r="B76" s="24" t="s">
        <v>8</v>
      </c>
      <c r="C76" s="59">
        <v>280000</v>
      </c>
      <c r="E76" s="886"/>
      <c r="F76" s="59"/>
      <c r="G76" s="65"/>
      <c r="H76" s="65"/>
      <c r="I76" s="65"/>
    </row>
    <row r="77" spans="1:6" s="55" customFormat="1" ht="13.5">
      <c r="A77" s="71" t="s">
        <v>94</v>
      </c>
      <c r="B77" s="24" t="s">
        <v>50</v>
      </c>
      <c r="C77" s="59">
        <v>52000</v>
      </c>
      <c r="E77" s="886"/>
      <c r="F77" s="63"/>
    </row>
    <row r="78" spans="1:6" s="65" customFormat="1" ht="13.5">
      <c r="A78" s="71" t="s">
        <v>180</v>
      </c>
      <c r="B78" s="58" t="s">
        <v>179</v>
      </c>
      <c r="C78" s="59">
        <v>12000</v>
      </c>
      <c r="D78" s="59"/>
      <c r="E78" s="886"/>
      <c r="F78" s="56"/>
    </row>
    <row r="79" spans="1:9" s="65" customFormat="1" ht="13.5">
      <c r="A79" s="71" t="s">
        <v>90</v>
      </c>
      <c r="B79" s="24" t="s">
        <v>7</v>
      </c>
      <c r="C79" s="59">
        <v>35000</v>
      </c>
      <c r="D79" s="25"/>
      <c r="E79" s="888"/>
      <c r="F79" s="56"/>
      <c r="G79" s="55"/>
      <c r="H79" s="55"/>
      <c r="I79" s="55"/>
    </row>
    <row r="80" spans="1:9" s="65" customFormat="1" ht="14.25" thickBot="1">
      <c r="A80" s="71"/>
      <c r="B80" s="24"/>
      <c r="C80" s="59"/>
      <c r="D80" s="25"/>
      <c r="E80" s="888"/>
      <c r="F80" s="56"/>
      <c r="G80" s="55"/>
      <c r="H80" s="55"/>
      <c r="I80" s="55"/>
    </row>
    <row r="81" spans="1:5" s="65" customFormat="1" ht="14.25" thickBot="1">
      <c r="A81" s="1017" t="s">
        <v>4</v>
      </c>
      <c r="B81" s="1018"/>
      <c r="C81" s="637">
        <f>C82+C86</f>
        <v>130000</v>
      </c>
      <c r="D81" s="201"/>
      <c r="E81" s="885"/>
    </row>
    <row r="82" spans="1:5" s="55" customFormat="1" ht="13.5">
      <c r="A82" s="506" t="s">
        <v>116</v>
      </c>
      <c r="B82" s="199" t="s">
        <v>117</v>
      </c>
      <c r="C82" s="63">
        <f>SUM(C83:C85)</f>
        <v>122000</v>
      </c>
      <c r="D82" s="56"/>
      <c r="E82" s="886"/>
    </row>
    <row r="83" spans="1:5" s="65" customFormat="1" ht="13.5">
      <c r="A83" s="71" t="s">
        <v>91</v>
      </c>
      <c r="B83" s="69" t="s">
        <v>139</v>
      </c>
      <c r="C83" s="59">
        <v>87000</v>
      </c>
      <c r="D83" s="67"/>
      <c r="E83" s="885"/>
    </row>
    <row r="84" spans="1:5" s="65" customFormat="1" ht="13.5">
      <c r="A84" s="69" t="s">
        <v>57</v>
      </c>
      <c r="B84" s="69" t="s">
        <v>58</v>
      </c>
      <c r="C84" s="59">
        <v>20000</v>
      </c>
      <c r="D84" s="59"/>
      <c r="E84" s="885"/>
    </row>
    <row r="85" spans="1:8" s="8" customFormat="1" ht="13.5" customHeight="1">
      <c r="A85" s="71" t="s">
        <v>756</v>
      </c>
      <c r="B85" s="23" t="s">
        <v>757</v>
      </c>
      <c r="C85" s="24">
        <v>15000</v>
      </c>
      <c r="D85" s="77"/>
      <c r="E85" s="25"/>
      <c r="F85" s="98"/>
      <c r="G85" s="54"/>
      <c r="H85" s="42"/>
    </row>
    <row r="86" spans="1:5" s="65" customFormat="1" ht="13.5">
      <c r="A86" s="249" t="s">
        <v>165</v>
      </c>
      <c r="B86" s="25" t="s">
        <v>51</v>
      </c>
      <c r="C86" s="63">
        <f>SUM(C87)</f>
        <v>8000</v>
      </c>
      <c r="D86" s="67"/>
      <c r="E86" s="885"/>
    </row>
    <row r="87" spans="1:5" s="65" customFormat="1" ht="13.5">
      <c r="A87" s="71" t="s">
        <v>166</v>
      </c>
      <c r="B87" s="23" t="s">
        <v>51</v>
      </c>
      <c r="C87" s="59">
        <v>8000</v>
      </c>
      <c r="D87" s="67"/>
      <c r="E87" s="885"/>
    </row>
    <row r="88" spans="1:5" s="65" customFormat="1" ht="13.5">
      <c r="A88" s="69"/>
      <c r="B88" s="69"/>
      <c r="C88" s="59"/>
      <c r="D88" s="59"/>
      <c r="E88" s="885"/>
    </row>
    <row r="89" spans="3:5" s="65" customFormat="1" ht="12.75">
      <c r="C89" s="67"/>
      <c r="D89" s="56"/>
      <c r="E89" s="885"/>
    </row>
    <row r="90" spans="3:5" s="65" customFormat="1" ht="12.75">
      <c r="C90" s="67"/>
      <c r="D90" s="56"/>
      <c r="E90" s="885"/>
    </row>
    <row r="91" spans="3:5" s="65" customFormat="1" ht="12.75">
      <c r="C91" s="67"/>
      <c r="D91" s="56"/>
      <c r="E91" s="885"/>
    </row>
    <row r="92" spans="3:5" s="65" customFormat="1" ht="12.75">
      <c r="C92" s="67"/>
      <c r="D92" s="56"/>
      <c r="E92" s="885"/>
    </row>
    <row r="93" spans="1:5" s="65" customFormat="1" ht="12.75">
      <c r="A93" s="3"/>
      <c r="B93" s="3"/>
      <c r="C93" s="18"/>
      <c r="D93" s="375"/>
      <c r="E93" s="889"/>
    </row>
  </sheetData>
  <sheetProtection sheet="1" objects="1" scenarios="1" sort="0" autoFilter="0"/>
  <mergeCells count="5">
    <mergeCell ref="A6:E10"/>
    <mergeCell ref="A17:B17"/>
    <mergeCell ref="A40:B40"/>
    <mergeCell ref="A60:B60"/>
    <mergeCell ref="A81:B8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J156"/>
  <sheetViews>
    <sheetView zoomScalePageLayoutView="0" workbookViewId="0" topLeftCell="A136">
      <selection activeCell="K169" sqref="K169"/>
    </sheetView>
  </sheetViews>
  <sheetFormatPr defaultColWidth="11.421875" defaultRowHeight="12.75"/>
  <cols>
    <col min="1" max="1" width="9.7109375" style="51" customWidth="1"/>
    <col min="2" max="2" width="46.00390625" style="51" customWidth="1"/>
    <col min="3" max="3" width="12.7109375" style="61" customWidth="1"/>
    <col min="4" max="4" width="11.7109375" style="61" customWidth="1"/>
    <col min="5" max="5" width="14.57421875" style="61" customWidth="1"/>
    <col min="6" max="6" width="8.28125" style="51" customWidth="1"/>
    <col min="7" max="7" width="7.421875" style="51" customWidth="1"/>
    <col min="8" max="16384" width="11.421875" style="51" customWidth="1"/>
  </cols>
  <sheetData>
    <row r="1" spans="1:2" ht="12.75">
      <c r="A1" s="560" t="s">
        <v>1065</v>
      </c>
      <c r="B1" s="560"/>
    </row>
    <row r="2" ht="12.75">
      <c r="A2" s="433"/>
    </row>
    <row r="3" ht="13.5" thickBot="1"/>
    <row r="4" spans="1:5" ht="12.75">
      <c r="A4" s="939" t="s">
        <v>1066</v>
      </c>
      <c r="B4" s="940"/>
      <c r="C4" s="941"/>
      <c r="D4" s="942" t="s">
        <v>6</v>
      </c>
      <c r="E4" s="871" t="s">
        <v>1067</v>
      </c>
    </row>
    <row r="5" spans="1:5" ht="13.5" thickBot="1">
      <c r="A5" s="943"/>
      <c r="B5" s="944"/>
      <c r="C5" s="945"/>
      <c r="D5" s="946"/>
      <c r="E5" s="876"/>
    </row>
    <row r="6" spans="1:5" s="434" customFormat="1" ht="13.5" customHeight="1">
      <c r="A6" s="979" t="s">
        <v>1068</v>
      </c>
      <c r="B6" s="980"/>
      <c r="C6" s="980"/>
      <c r="D6" s="980"/>
      <c r="E6" s="981"/>
    </row>
    <row r="7" spans="1:5" s="434" customFormat="1" ht="13.5">
      <c r="A7" s="982"/>
      <c r="B7" s="983"/>
      <c r="C7" s="983"/>
      <c r="D7" s="983"/>
      <c r="E7" s="984"/>
    </row>
    <row r="8" spans="1:5" s="434" customFormat="1" ht="13.5">
      <c r="A8" s="982"/>
      <c r="B8" s="983"/>
      <c r="C8" s="983"/>
      <c r="D8" s="983"/>
      <c r="E8" s="984"/>
    </row>
    <row r="9" spans="1:5" s="434" customFormat="1" ht="13.5">
      <c r="A9" s="982"/>
      <c r="B9" s="983"/>
      <c r="C9" s="983"/>
      <c r="D9" s="983"/>
      <c r="E9" s="984"/>
    </row>
    <row r="10" spans="1:5" s="434" customFormat="1" ht="13.5">
      <c r="A10" s="982"/>
      <c r="B10" s="983"/>
      <c r="C10" s="983"/>
      <c r="D10" s="983"/>
      <c r="E10" s="984"/>
    </row>
    <row r="11" spans="1:5" s="434" customFormat="1" ht="13.5">
      <c r="A11" s="982"/>
      <c r="B11" s="983"/>
      <c r="C11" s="983"/>
      <c r="D11" s="983"/>
      <c r="E11" s="984"/>
    </row>
    <row r="12" spans="1:5" s="434" customFormat="1" ht="14.25" thickBot="1">
      <c r="A12" s="985"/>
      <c r="B12" s="986"/>
      <c r="C12" s="986"/>
      <c r="D12" s="986"/>
      <c r="E12" s="987"/>
    </row>
    <row r="13" spans="1:5" s="434" customFormat="1" ht="13.5">
      <c r="A13" s="57" t="s">
        <v>809</v>
      </c>
      <c r="B13" s="58"/>
      <c r="C13" s="59"/>
      <c r="D13" s="59"/>
      <c r="E13" s="60"/>
    </row>
    <row r="14" spans="1:5" s="434" customFormat="1" ht="13.5">
      <c r="A14" s="57" t="s">
        <v>1069</v>
      </c>
      <c r="B14" s="58"/>
      <c r="C14" s="59"/>
      <c r="D14" s="59"/>
      <c r="E14" s="60"/>
    </row>
    <row r="15" spans="1:5" s="434" customFormat="1" ht="13.5">
      <c r="A15" s="57" t="s">
        <v>1070</v>
      </c>
      <c r="B15" s="58"/>
      <c r="C15" s="59"/>
      <c r="D15" s="59"/>
      <c r="E15" s="60"/>
    </row>
    <row r="16" spans="1:5" s="434" customFormat="1" ht="14.25" thickBot="1">
      <c r="A16" s="57" t="s">
        <v>13</v>
      </c>
      <c r="B16" s="58"/>
      <c r="C16" s="59"/>
      <c r="D16" s="59"/>
      <c r="E16" s="60"/>
    </row>
    <row r="17" spans="1:6" s="434" customFormat="1" ht="14.25" thickBot="1">
      <c r="A17" s="877" t="s">
        <v>14</v>
      </c>
      <c r="B17" s="878"/>
      <c r="C17" s="879"/>
      <c r="D17" s="947"/>
      <c r="E17" s="880">
        <f>C19+C42+C62+C86</f>
        <v>6707577</v>
      </c>
      <c r="F17" s="948"/>
    </row>
    <row r="18" spans="1:5" s="220" customFormat="1" ht="14.25" thickBot="1">
      <c r="A18" s="62"/>
      <c r="B18" s="62"/>
      <c r="C18" s="63"/>
      <c r="D18" s="63"/>
      <c r="E18" s="63"/>
    </row>
    <row r="19" spans="1:5" s="220" customFormat="1" ht="14.25" thickBot="1">
      <c r="A19" s="1140" t="s">
        <v>1</v>
      </c>
      <c r="B19" s="1141"/>
      <c r="C19" s="882">
        <f>C20+C27+C34</f>
        <v>4500857</v>
      </c>
      <c r="D19" s="63"/>
      <c r="E19" s="858"/>
    </row>
    <row r="20" spans="1:6" s="42" customFormat="1" ht="12.75" customHeight="1">
      <c r="A20" s="11" t="s">
        <v>97</v>
      </c>
      <c r="B20" s="199" t="s">
        <v>98</v>
      </c>
      <c r="C20" s="31">
        <f>SUM(C21:C26)</f>
        <v>566178</v>
      </c>
      <c r="D20" s="22"/>
      <c r="E20" s="24"/>
      <c r="F20" s="94"/>
    </row>
    <row r="21" spans="1:6" s="8" customFormat="1" ht="12.75" customHeight="1">
      <c r="A21" s="12" t="s">
        <v>23</v>
      </c>
      <c r="B21" s="24" t="s">
        <v>20</v>
      </c>
      <c r="C21" s="24">
        <f>58424+31133+344077</f>
        <v>433634</v>
      </c>
      <c r="D21" s="22"/>
      <c r="E21" s="25"/>
      <c r="F21" s="91"/>
    </row>
    <row r="22" spans="1:6" s="8" customFormat="1" ht="12.75" customHeight="1">
      <c r="A22" s="12" t="s">
        <v>24</v>
      </c>
      <c r="B22" s="24" t="s">
        <v>22</v>
      </c>
      <c r="C22" s="24">
        <f>51932+14606</f>
        <v>66538</v>
      </c>
      <c r="D22" s="22"/>
      <c r="E22" s="25"/>
      <c r="F22" s="91"/>
    </row>
    <row r="23" spans="1:6" s="9" customFormat="1" ht="12.75" customHeight="1">
      <c r="A23" s="12" t="s">
        <v>25</v>
      </c>
      <c r="B23" s="24" t="s">
        <v>76</v>
      </c>
      <c r="C23" s="24">
        <f>11003+55000</f>
        <v>66003</v>
      </c>
      <c r="D23" s="22"/>
      <c r="E23" s="25"/>
      <c r="F23" s="91"/>
    </row>
    <row r="24" spans="1:6" s="9" customFormat="1" ht="12.75" customHeight="1">
      <c r="A24" s="12" t="s">
        <v>26</v>
      </c>
      <c r="B24" s="24" t="s">
        <v>77</v>
      </c>
      <c r="C24" s="24">
        <v>1</v>
      </c>
      <c r="D24" s="22"/>
      <c r="E24" s="25"/>
      <c r="F24" s="91"/>
    </row>
    <row r="25" spans="1:6" s="9" customFormat="1" ht="12.75" customHeight="1">
      <c r="A25" s="12" t="s">
        <v>27</v>
      </c>
      <c r="B25" s="24" t="s">
        <v>21</v>
      </c>
      <c r="C25" s="24">
        <v>1</v>
      </c>
      <c r="D25" s="22"/>
      <c r="E25" s="25"/>
      <c r="F25" s="91"/>
    </row>
    <row r="26" spans="1:6" s="9" customFormat="1" ht="12.75" customHeight="1">
      <c r="A26" s="12" t="s">
        <v>28</v>
      </c>
      <c r="B26" s="24" t="s">
        <v>19</v>
      </c>
      <c r="C26" s="24">
        <v>1</v>
      </c>
      <c r="D26" s="22"/>
      <c r="E26" s="25"/>
      <c r="F26" s="91"/>
    </row>
    <row r="27" spans="1:6" s="9" customFormat="1" ht="12.75" customHeight="1">
      <c r="A27" s="11" t="s">
        <v>99</v>
      </c>
      <c r="B27" s="31" t="s">
        <v>100</v>
      </c>
      <c r="C27" s="31">
        <f>SUM(C28:C33)</f>
        <v>3934673</v>
      </c>
      <c r="D27" s="22"/>
      <c r="E27" s="25"/>
      <c r="F27" s="91"/>
    </row>
    <row r="28" spans="1:6" s="9" customFormat="1" ht="12.75" customHeight="1">
      <c r="A28" s="12" t="s">
        <v>30</v>
      </c>
      <c r="B28" s="24" t="s">
        <v>78</v>
      </c>
      <c r="C28" s="24">
        <f>2681128+135000+482783</f>
        <v>3298911</v>
      </c>
      <c r="D28" s="22"/>
      <c r="E28" s="25"/>
      <c r="F28" s="92"/>
    </row>
    <row r="29" spans="1:8" s="8" customFormat="1" ht="12.75" customHeight="1">
      <c r="A29" s="12" t="s">
        <v>31</v>
      </c>
      <c r="B29" s="24" t="s">
        <v>79</v>
      </c>
      <c r="C29" s="24">
        <f>429141+120695</f>
        <v>549836</v>
      </c>
      <c r="D29" s="25"/>
      <c r="F29" s="53"/>
      <c r="G29" s="42"/>
      <c r="H29" s="42"/>
    </row>
    <row r="30" spans="1:6" s="8" customFormat="1" ht="12.75" customHeight="1">
      <c r="A30" s="12" t="s">
        <v>32</v>
      </c>
      <c r="B30" s="24" t="s">
        <v>80</v>
      </c>
      <c r="C30" s="24">
        <v>85923</v>
      </c>
      <c r="D30" s="25"/>
      <c r="F30" s="91"/>
    </row>
    <row r="31" spans="1:6" s="9" customFormat="1" ht="12.75" customHeight="1">
      <c r="A31" s="12" t="s">
        <v>33</v>
      </c>
      <c r="B31" s="24" t="s">
        <v>81</v>
      </c>
      <c r="C31" s="24">
        <v>1</v>
      </c>
      <c r="D31" s="25"/>
      <c r="F31" s="91"/>
    </row>
    <row r="32" spans="1:6" s="9" customFormat="1" ht="12.75" customHeight="1">
      <c r="A32" s="12" t="s">
        <v>34</v>
      </c>
      <c r="B32" s="24" t="s">
        <v>29</v>
      </c>
      <c r="C32" s="24">
        <v>1</v>
      </c>
      <c r="D32" s="25"/>
      <c r="F32" s="91"/>
    </row>
    <row r="33" spans="1:6" s="9" customFormat="1" ht="12.75" customHeight="1">
      <c r="A33" s="12" t="s">
        <v>83</v>
      </c>
      <c r="B33" s="24" t="s">
        <v>82</v>
      </c>
      <c r="C33" s="24">
        <v>1</v>
      </c>
      <c r="F33" s="92"/>
    </row>
    <row r="34" spans="1:6" s="9" customFormat="1" ht="12.75" customHeight="1">
      <c r="A34" s="11" t="s">
        <v>101</v>
      </c>
      <c r="B34" s="31" t="s">
        <v>102</v>
      </c>
      <c r="C34" s="31">
        <f>SUM(C35:C40)</f>
        <v>6</v>
      </c>
      <c r="F34" s="92"/>
    </row>
    <row r="35" spans="1:6" s="8" customFormat="1" ht="12.75" customHeight="1">
      <c r="A35" s="12" t="s">
        <v>39</v>
      </c>
      <c r="B35" s="24" t="s">
        <v>35</v>
      </c>
      <c r="C35" s="24">
        <v>1</v>
      </c>
      <c r="F35" s="25"/>
    </row>
    <row r="36" spans="1:6" s="8" customFormat="1" ht="12.75" customHeight="1">
      <c r="A36" s="12" t="s">
        <v>40</v>
      </c>
      <c r="B36" s="24" t="s">
        <v>37</v>
      </c>
      <c r="C36" s="24">
        <v>1</v>
      </c>
      <c r="F36" s="25"/>
    </row>
    <row r="37" spans="1:6" s="9" customFormat="1" ht="12.75" customHeight="1">
      <c r="A37" s="12" t="s">
        <v>41</v>
      </c>
      <c r="B37" s="24" t="s">
        <v>84</v>
      </c>
      <c r="C37" s="24">
        <v>1</v>
      </c>
      <c r="F37" s="25"/>
    </row>
    <row r="38" spans="1:6" s="9" customFormat="1" ht="12.75" customHeight="1">
      <c r="A38" s="12" t="s">
        <v>42</v>
      </c>
      <c r="B38" s="24" t="s">
        <v>85</v>
      </c>
      <c r="C38" s="24">
        <v>1</v>
      </c>
      <c r="E38" s="25"/>
      <c r="F38" s="25"/>
    </row>
    <row r="39" spans="1:6" s="9" customFormat="1" ht="12.75" customHeight="1">
      <c r="A39" s="12" t="s">
        <v>43</v>
      </c>
      <c r="B39" s="24" t="s">
        <v>36</v>
      </c>
      <c r="C39" s="24">
        <v>1</v>
      </c>
      <c r="E39" s="25"/>
      <c r="F39" s="25"/>
    </row>
    <row r="40" spans="1:6" s="9" customFormat="1" ht="12.75" customHeight="1">
      <c r="A40" s="12" t="s">
        <v>44</v>
      </c>
      <c r="B40" s="24" t="s">
        <v>38</v>
      </c>
      <c r="C40" s="24">
        <v>1</v>
      </c>
      <c r="E40" s="25"/>
      <c r="F40" s="22"/>
    </row>
    <row r="41" spans="1:6" s="65" customFormat="1" ht="14.25" thickBot="1">
      <c r="A41" s="58"/>
      <c r="B41" s="69"/>
      <c r="C41" s="66"/>
      <c r="D41" s="67"/>
      <c r="E41" s="67"/>
      <c r="F41" s="22"/>
    </row>
    <row r="42" spans="1:6" s="65" customFormat="1" ht="14.25" thickBot="1">
      <c r="A42" s="1013" t="s">
        <v>2</v>
      </c>
      <c r="B42" s="1014"/>
      <c r="C42" s="634">
        <f>C43+C45+C48+C50+C55+C57</f>
        <v>247470</v>
      </c>
      <c r="D42" s="67"/>
      <c r="E42" s="851"/>
      <c r="F42" s="22"/>
    </row>
    <row r="43" spans="1:5" s="225" customFormat="1" ht="13.5">
      <c r="A43" s="11" t="s">
        <v>103</v>
      </c>
      <c r="B43" s="199" t="s">
        <v>104</v>
      </c>
      <c r="C43" s="509">
        <f>SUM(C44)</f>
        <v>49500</v>
      </c>
      <c r="D43" s="94"/>
      <c r="E43" s="824"/>
    </row>
    <row r="44" spans="1:7" s="42" customFormat="1" ht="13.5" customHeight="1">
      <c r="A44" s="12" t="s">
        <v>46</v>
      </c>
      <c r="B44" s="42" t="s">
        <v>45</v>
      </c>
      <c r="C44" s="24">
        <v>49500</v>
      </c>
      <c r="D44" s="22"/>
      <c r="E44" s="31"/>
      <c r="G44" s="54"/>
    </row>
    <row r="45" spans="1:7" s="42" customFormat="1" ht="13.5" customHeight="1">
      <c r="A45" s="11" t="s">
        <v>105</v>
      </c>
      <c r="B45" s="505" t="s">
        <v>106</v>
      </c>
      <c r="C45" s="31">
        <f>SUM(C46:C47)</f>
        <v>44520</v>
      </c>
      <c r="D45" s="22"/>
      <c r="E45" s="31"/>
      <c r="G45" s="54"/>
    </row>
    <row r="46" spans="1:7" s="42" customFormat="1" ht="13.5" customHeight="1">
      <c r="A46" s="12" t="s">
        <v>67</v>
      </c>
      <c r="B46" s="42" t="s">
        <v>68</v>
      </c>
      <c r="C46" s="24">
        <v>15720</v>
      </c>
      <c r="D46" s="22"/>
      <c r="E46" s="31"/>
      <c r="G46" s="54"/>
    </row>
    <row r="47" spans="1:7" s="42" customFormat="1" ht="13.5" customHeight="1">
      <c r="A47" s="12" t="s">
        <v>86</v>
      </c>
      <c r="B47" s="42" t="s">
        <v>66</v>
      </c>
      <c r="C47" s="24">
        <v>28800</v>
      </c>
      <c r="D47" s="22"/>
      <c r="E47" s="31"/>
      <c r="G47" s="54"/>
    </row>
    <row r="48" spans="1:7" s="42" customFormat="1" ht="13.5" customHeight="1">
      <c r="A48" s="11" t="s">
        <v>107</v>
      </c>
      <c r="B48" s="505" t="s">
        <v>108</v>
      </c>
      <c r="C48" s="31">
        <f>SUM(C49)</f>
        <v>22640</v>
      </c>
      <c r="D48" s="22"/>
      <c r="E48" s="31"/>
      <c r="G48" s="54"/>
    </row>
    <row r="49" spans="1:8" s="8" customFormat="1" ht="13.5" customHeight="1">
      <c r="A49" s="12" t="s">
        <v>47</v>
      </c>
      <c r="B49" s="24" t="s">
        <v>48</v>
      </c>
      <c r="C49" s="24">
        <v>22640</v>
      </c>
      <c r="D49" s="77"/>
      <c r="E49" s="25"/>
      <c r="F49" s="98"/>
      <c r="G49" s="54"/>
      <c r="H49" s="42"/>
    </row>
    <row r="50" spans="1:8" s="8" customFormat="1" ht="13.5" customHeight="1">
      <c r="A50" s="11" t="s">
        <v>119</v>
      </c>
      <c r="B50" s="949" t="s">
        <v>192</v>
      </c>
      <c r="C50" s="31">
        <f>SUM(C51:C54)</f>
        <v>92050</v>
      </c>
      <c r="D50" s="77"/>
      <c r="E50" s="25"/>
      <c r="F50" s="98"/>
      <c r="G50" s="54"/>
      <c r="H50" s="42"/>
    </row>
    <row r="51" spans="1:8" s="8" customFormat="1" ht="13.5" customHeight="1">
      <c r="A51" s="12" t="s">
        <v>149</v>
      </c>
      <c r="B51" s="42" t="s">
        <v>639</v>
      </c>
      <c r="C51" s="24">
        <v>21950</v>
      </c>
      <c r="D51" s="77"/>
      <c r="E51" s="25"/>
      <c r="F51" s="98"/>
      <c r="G51" s="54"/>
      <c r="H51" s="42"/>
    </row>
    <row r="52" spans="1:8" s="8" customFormat="1" ht="13.5" customHeight="1">
      <c r="A52" s="12" t="s">
        <v>641</v>
      </c>
      <c r="B52" s="42" t="s">
        <v>640</v>
      </c>
      <c r="C52" s="24">
        <f>30000*1.17</f>
        <v>35100</v>
      </c>
      <c r="D52" s="77"/>
      <c r="E52" s="25"/>
      <c r="F52" s="98"/>
      <c r="G52" s="54"/>
      <c r="H52" s="42"/>
    </row>
    <row r="53" spans="1:5" s="65" customFormat="1" ht="13.5">
      <c r="A53" s="71" t="s">
        <v>758</v>
      </c>
      <c r="B53" s="24" t="s">
        <v>753</v>
      </c>
      <c r="C53" s="24">
        <v>16250</v>
      </c>
      <c r="D53" s="77"/>
      <c r="E53" s="25"/>
    </row>
    <row r="54" spans="1:5" s="65" customFormat="1" ht="13.5">
      <c r="A54" s="71" t="s">
        <v>754</v>
      </c>
      <c r="B54" s="24" t="s">
        <v>755</v>
      </c>
      <c r="C54" s="24">
        <v>18750</v>
      </c>
      <c r="D54" s="77"/>
      <c r="E54" s="25"/>
    </row>
    <row r="55" spans="1:5" s="65" customFormat="1" ht="13.5">
      <c r="A55" s="249" t="s">
        <v>124</v>
      </c>
      <c r="B55" s="505" t="s">
        <v>123</v>
      </c>
      <c r="C55" s="63">
        <f>SUM(C56)</f>
        <v>9340</v>
      </c>
      <c r="D55" s="67"/>
      <c r="E55" s="67"/>
    </row>
    <row r="56" spans="1:5" s="65" customFormat="1" ht="13.5">
      <c r="A56" s="71" t="s">
        <v>93</v>
      </c>
      <c r="B56" s="24" t="s">
        <v>72</v>
      </c>
      <c r="C56" s="59">
        <v>9340</v>
      </c>
      <c r="D56" s="67"/>
      <c r="E56" s="67"/>
    </row>
    <row r="57" spans="1:5" s="65" customFormat="1" ht="13.5">
      <c r="A57" s="249" t="s">
        <v>150</v>
      </c>
      <c r="B57" s="31" t="s">
        <v>125</v>
      </c>
      <c r="C57" s="63">
        <f>SUM(C58:C60)</f>
        <v>29420</v>
      </c>
      <c r="D57" s="67"/>
      <c r="E57" s="67"/>
    </row>
    <row r="58" spans="1:5" s="65" customFormat="1" ht="13.5">
      <c r="A58" s="71" t="s">
        <v>151</v>
      </c>
      <c r="B58" s="24" t="s">
        <v>65</v>
      </c>
      <c r="C58" s="59">
        <v>9420</v>
      </c>
      <c r="D58" s="67"/>
      <c r="E58" s="67"/>
    </row>
    <row r="59" spans="1:8" s="8" customFormat="1" ht="13.5" customHeight="1">
      <c r="A59" s="71" t="s">
        <v>154</v>
      </c>
      <c r="B59" s="24" t="s">
        <v>125</v>
      </c>
      <c r="C59" s="24">
        <v>6500</v>
      </c>
      <c r="D59" s="77"/>
      <c r="E59" s="25"/>
      <c r="F59" s="199"/>
      <c r="G59" s="54"/>
      <c r="H59" s="73"/>
    </row>
    <row r="60" spans="1:8" s="8" customFormat="1" ht="13.5" customHeight="1">
      <c r="A60" s="71" t="s">
        <v>1071</v>
      </c>
      <c r="B60" s="42" t="s">
        <v>642</v>
      </c>
      <c r="C60" s="24">
        <v>13500</v>
      </c>
      <c r="D60" s="77"/>
      <c r="E60" s="25"/>
      <c r="F60" s="199"/>
      <c r="G60" s="54"/>
      <c r="H60" s="73"/>
    </row>
    <row r="61" spans="1:5" s="65" customFormat="1" ht="14.25" thickBot="1">
      <c r="A61" s="69"/>
      <c r="B61" s="69"/>
      <c r="C61" s="66"/>
      <c r="D61" s="67"/>
      <c r="E61" s="67"/>
    </row>
    <row r="62" spans="1:5" s="65" customFormat="1" ht="14.25" thickBot="1">
      <c r="A62" s="1015" t="s">
        <v>3</v>
      </c>
      <c r="B62" s="1016"/>
      <c r="C62" s="635">
        <f>C63+C69+C72+C74+C76+C79+C81</f>
        <v>1838260</v>
      </c>
      <c r="D62" s="67"/>
      <c r="E62" s="851"/>
    </row>
    <row r="63" spans="1:5" s="65" customFormat="1" ht="13.5">
      <c r="A63" s="249" t="s">
        <v>339</v>
      </c>
      <c r="B63" s="199" t="s">
        <v>340</v>
      </c>
      <c r="C63" s="509">
        <f>SUM(C64:C68)</f>
        <v>103480</v>
      </c>
      <c r="D63" s="67"/>
      <c r="E63" s="851"/>
    </row>
    <row r="64" spans="1:8" s="8" customFormat="1" ht="13.5" customHeight="1">
      <c r="A64" s="71" t="s">
        <v>341</v>
      </c>
      <c r="B64" s="58" t="s">
        <v>342</v>
      </c>
      <c r="C64" s="24">
        <v>6440</v>
      </c>
      <c r="D64" s="77"/>
      <c r="F64" s="194"/>
      <c r="G64" s="54"/>
      <c r="H64" s="54"/>
    </row>
    <row r="65" spans="1:8" s="8" customFormat="1" ht="13.5" customHeight="1">
      <c r="A65" s="71" t="s">
        <v>343</v>
      </c>
      <c r="B65" s="58" t="s">
        <v>344</v>
      </c>
      <c r="C65" s="24">
        <v>8450</v>
      </c>
      <c r="D65" s="77"/>
      <c r="E65" s="25"/>
      <c r="F65" s="194"/>
      <c r="G65" s="54"/>
      <c r="H65" s="54"/>
    </row>
    <row r="66" spans="1:10" s="8" customFormat="1" ht="13.5" customHeight="1">
      <c r="A66" s="71" t="s">
        <v>345</v>
      </c>
      <c r="B66" s="58" t="s">
        <v>346</v>
      </c>
      <c r="C66" s="24">
        <v>7600</v>
      </c>
      <c r="D66" s="77"/>
      <c r="E66" s="25"/>
      <c r="F66" s="98"/>
      <c r="G66" s="54"/>
      <c r="H66" s="42"/>
      <c r="J66" s="82"/>
    </row>
    <row r="67" spans="1:9" s="8" customFormat="1" ht="13.5" customHeight="1">
      <c r="A67" s="71" t="s">
        <v>378</v>
      </c>
      <c r="B67" s="58" t="s">
        <v>533</v>
      </c>
      <c r="C67" s="24">
        <v>11190</v>
      </c>
      <c r="D67" s="77"/>
      <c r="E67" s="25"/>
      <c r="F67" s="98"/>
      <c r="G67" s="54"/>
      <c r="H67" s="42"/>
      <c r="I67" s="82"/>
    </row>
    <row r="68" spans="1:9" s="8" customFormat="1" ht="13.5" customHeight="1">
      <c r="A68" s="71" t="s">
        <v>347</v>
      </c>
      <c r="B68" s="58" t="s">
        <v>348</v>
      </c>
      <c r="C68" s="24">
        <v>69800</v>
      </c>
      <c r="D68" s="77"/>
      <c r="E68" s="25"/>
      <c r="F68" s="98"/>
      <c r="G68" s="54"/>
      <c r="H68" s="42"/>
      <c r="I68" s="82"/>
    </row>
    <row r="69" spans="1:6" s="65" customFormat="1" ht="13.5">
      <c r="A69" s="249" t="s">
        <v>110</v>
      </c>
      <c r="B69" s="62" t="s">
        <v>111</v>
      </c>
      <c r="C69" s="63">
        <f>SUM(C70:C71)</f>
        <v>289900</v>
      </c>
      <c r="D69" s="63"/>
      <c r="E69" s="56"/>
      <c r="F69" s="56"/>
    </row>
    <row r="70" spans="1:9" s="8" customFormat="1" ht="13.5" customHeight="1">
      <c r="A70" s="71" t="s">
        <v>159</v>
      </c>
      <c r="B70" s="58" t="s">
        <v>158</v>
      </c>
      <c r="C70" s="24">
        <f>220000*1.17</f>
        <v>257399.99999999997</v>
      </c>
      <c r="D70" s="77"/>
      <c r="E70" s="25"/>
      <c r="F70" s="98"/>
      <c r="G70" s="54"/>
      <c r="H70" s="42"/>
      <c r="I70" s="82"/>
    </row>
    <row r="71" spans="1:8" s="8" customFormat="1" ht="13.5" customHeight="1">
      <c r="A71" s="71" t="s">
        <v>52</v>
      </c>
      <c r="B71" s="23" t="s">
        <v>15</v>
      </c>
      <c r="C71" s="24">
        <v>32500</v>
      </c>
      <c r="D71" s="77"/>
      <c r="E71" s="25"/>
      <c r="F71" s="194"/>
      <c r="G71" s="54"/>
      <c r="H71" s="54"/>
    </row>
    <row r="72" spans="1:8" s="8" customFormat="1" ht="13.5" customHeight="1">
      <c r="A72" s="62" t="s">
        <v>120</v>
      </c>
      <c r="B72" s="25" t="s">
        <v>121</v>
      </c>
      <c r="C72" s="31">
        <f>SUM(C73)</f>
        <v>17250</v>
      </c>
      <c r="D72" s="77"/>
      <c r="E72" s="25"/>
      <c r="F72" s="194"/>
      <c r="G72" s="54"/>
      <c r="H72" s="54"/>
    </row>
    <row r="73" spans="1:8" s="8" customFormat="1" ht="13.5" customHeight="1">
      <c r="A73" s="58" t="s">
        <v>136</v>
      </c>
      <c r="B73" s="58" t="s">
        <v>71</v>
      </c>
      <c r="C73" s="24">
        <v>17250</v>
      </c>
      <c r="D73" s="77"/>
      <c r="E73" s="25"/>
      <c r="F73" s="194"/>
      <c r="G73" s="54"/>
      <c r="H73" s="54"/>
    </row>
    <row r="74" spans="1:8" s="8" customFormat="1" ht="13.5" customHeight="1">
      <c r="A74" s="249" t="s">
        <v>112</v>
      </c>
      <c r="B74" s="62" t="s">
        <v>156</v>
      </c>
      <c r="C74" s="31">
        <f>SUM(C75)</f>
        <v>700800</v>
      </c>
      <c r="D74" s="77"/>
      <c r="E74" s="25"/>
      <c r="F74" s="194"/>
      <c r="G74" s="54"/>
      <c r="H74" s="54"/>
    </row>
    <row r="75" spans="1:10" s="8" customFormat="1" ht="13.5" customHeight="1">
      <c r="A75" s="71" t="s">
        <v>49</v>
      </c>
      <c r="B75" s="24" t="s">
        <v>87</v>
      </c>
      <c r="C75" s="24">
        <v>700800</v>
      </c>
      <c r="D75" s="23"/>
      <c r="F75" s="98"/>
      <c r="G75" s="54"/>
      <c r="H75" s="42"/>
      <c r="J75" s="82"/>
    </row>
    <row r="76" spans="1:10" s="8" customFormat="1" ht="13.5" customHeight="1">
      <c r="A76" s="249" t="s">
        <v>113</v>
      </c>
      <c r="B76" s="31" t="s">
        <v>114</v>
      </c>
      <c r="C76" s="31">
        <f>SUM(C77:C78)</f>
        <v>19650</v>
      </c>
      <c r="D76" s="23"/>
      <c r="F76" s="98"/>
      <c r="G76" s="54"/>
      <c r="H76" s="42"/>
      <c r="J76" s="82"/>
    </row>
    <row r="77" spans="1:9" s="8" customFormat="1" ht="13.5" customHeight="1">
      <c r="A77" s="71" t="s">
        <v>75</v>
      </c>
      <c r="B77" s="24" t="s">
        <v>73</v>
      </c>
      <c r="C77" s="24">
        <v>6180</v>
      </c>
      <c r="D77" s="25"/>
      <c r="F77" s="98"/>
      <c r="G77" s="54"/>
      <c r="H77" s="42"/>
      <c r="I77" s="82"/>
    </row>
    <row r="78" spans="1:8" s="8" customFormat="1" ht="13.5" customHeight="1">
      <c r="A78" s="71" t="s">
        <v>88</v>
      </c>
      <c r="B78" s="24" t="s">
        <v>64</v>
      </c>
      <c r="C78" s="24">
        <v>13470</v>
      </c>
      <c r="D78" s="25"/>
      <c r="F78" s="98"/>
      <c r="G78" s="54"/>
      <c r="H78" s="42"/>
    </row>
    <row r="79" spans="1:8" s="8" customFormat="1" ht="13.5" customHeight="1">
      <c r="A79" s="506" t="s">
        <v>132</v>
      </c>
      <c r="B79" s="62" t="s">
        <v>56</v>
      </c>
      <c r="C79" s="31">
        <f>SUM(C80)</f>
        <v>42120</v>
      </c>
      <c r="D79" s="25"/>
      <c r="F79" s="98"/>
      <c r="G79" s="54"/>
      <c r="H79" s="42"/>
    </row>
    <row r="80" spans="1:4" s="55" customFormat="1" ht="13.5">
      <c r="A80" s="69" t="s">
        <v>55</v>
      </c>
      <c r="B80" s="58" t="s">
        <v>56</v>
      </c>
      <c r="C80" s="59">
        <v>42120</v>
      </c>
      <c r="D80" s="56"/>
    </row>
    <row r="81" spans="1:4" s="55" customFormat="1" ht="13.5">
      <c r="A81" s="249" t="s">
        <v>115</v>
      </c>
      <c r="B81" s="31" t="s">
        <v>8</v>
      </c>
      <c r="C81" s="63">
        <f>SUM(C82:C84)</f>
        <v>665060</v>
      </c>
      <c r="D81" s="56"/>
    </row>
    <row r="82" spans="1:4" s="65" customFormat="1" ht="13.5">
      <c r="A82" s="71" t="s">
        <v>92</v>
      </c>
      <c r="B82" s="24" t="s">
        <v>8</v>
      </c>
      <c r="C82" s="59">
        <v>525400</v>
      </c>
      <c r="D82" s="67"/>
    </row>
    <row r="83" spans="1:5" s="65" customFormat="1" ht="13.5">
      <c r="A83" s="71" t="s">
        <v>94</v>
      </c>
      <c r="B83" s="24" t="s">
        <v>50</v>
      </c>
      <c r="C83" s="59">
        <v>119660</v>
      </c>
      <c r="D83" s="67"/>
      <c r="E83" s="67"/>
    </row>
    <row r="84" spans="1:5" s="65" customFormat="1" ht="13.5">
      <c r="A84" s="71" t="s">
        <v>90</v>
      </c>
      <c r="B84" s="24" t="s">
        <v>7</v>
      </c>
      <c r="C84" s="59">
        <v>20000</v>
      </c>
      <c r="D84" s="67"/>
      <c r="E84" s="67"/>
    </row>
    <row r="85" spans="1:5" s="65" customFormat="1" ht="14.25" thickBot="1">
      <c r="A85" s="69"/>
      <c r="B85" s="69"/>
      <c r="C85" s="66"/>
      <c r="D85" s="67"/>
      <c r="E85" s="67"/>
    </row>
    <row r="86" spans="1:5" s="65" customFormat="1" ht="14.25" thickBot="1">
      <c r="A86" s="1017" t="s">
        <v>4</v>
      </c>
      <c r="B86" s="1018"/>
      <c r="C86" s="637">
        <f>+C87+C93+C91</f>
        <v>120990</v>
      </c>
      <c r="D86" s="67"/>
      <c r="E86" s="851"/>
    </row>
    <row r="87" spans="1:5" s="225" customFormat="1" ht="13.5">
      <c r="A87" s="249" t="s">
        <v>116</v>
      </c>
      <c r="B87" s="199" t="s">
        <v>117</v>
      </c>
      <c r="C87" s="509">
        <f>SUM(C88:C90)</f>
        <v>63320</v>
      </c>
      <c r="D87" s="94"/>
      <c r="E87" s="824"/>
    </row>
    <row r="88" spans="1:5" s="65" customFormat="1" ht="13.5">
      <c r="A88" s="71" t="s">
        <v>91</v>
      </c>
      <c r="B88" s="69" t="s">
        <v>139</v>
      </c>
      <c r="C88" s="59">
        <v>28320</v>
      </c>
      <c r="D88" s="67"/>
      <c r="E88" s="67"/>
    </row>
    <row r="89" spans="1:5" s="65" customFormat="1" ht="13.5">
      <c r="A89" s="69" t="s">
        <v>57</v>
      </c>
      <c r="B89" s="69" t="s">
        <v>58</v>
      </c>
      <c r="C89" s="59">
        <v>20000</v>
      </c>
      <c r="D89" s="59"/>
      <c r="E89" s="885"/>
    </row>
    <row r="90" spans="1:8" s="8" customFormat="1" ht="13.5" customHeight="1">
      <c r="A90" s="71" t="s">
        <v>756</v>
      </c>
      <c r="B90" s="23" t="s">
        <v>757</v>
      </c>
      <c r="C90" s="24">
        <v>15000</v>
      </c>
      <c r="D90" s="77"/>
      <c r="E90" s="25"/>
      <c r="F90" s="98"/>
      <c r="G90" s="54"/>
      <c r="H90" s="42"/>
    </row>
    <row r="91" spans="1:8" s="8" customFormat="1" ht="13.5" customHeight="1">
      <c r="A91" s="249" t="s">
        <v>131</v>
      </c>
      <c r="B91" s="505" t="s">
        <v>1072</v>
      </c>
      <c r="C91" s="31">
        <f>SUM(C92)</f>
        <v>50000</v>
      </c>
      <c r="D91" s="77"/>
      <c r="E91" s="25"/>
      <c r="F91" s="98"/>
      <c r="G91" s="54"/>
      <c r="H91" s="42"/>
    </row>
    <row r="92" spans="1:8" s="8" customFormat="1" ht="13.5" customHeight="1">
      <c r="A92" s="71" t="s">
        <v>164</v>
      </c>
      <c r="B92" s="42" t="s">
        <v>1072</v>
      </c>
      <c r="C92" s="24">
        <v>50000</v>
      </c>
      <c r="D92" s="77"/>
      <c r="E92" s="25"/>
      <c r="F92" s="98"/>
      <c r="G92" s="54"/>
      <c r="H92" s="42"/>
    </row>
    <row r="93" spans="1:5" s="65" customFormat="1" ht="13.5">
      <c r="A93" s="249" t="s">
        <v>165</v>
      </c>
      <c r="B93" s="25" t="s">
        <v>134</v>
      </c>
      <c r="C93" s="63">
        <f>SUM(C94)</f>
        <v>7670</v>
      </c>
      <c r="D93" s="67"/>
      <c r="E93" s="67"/>
    </row>
    <row r="94" spans="1:6" s="8" customFormat="1" ht="13.5" customHeight="1">
      <c r="A94" s="71" t="s">
        <v>166</v>
      </c>
      <c r="B94" s="23" t="s">
        <v>51</v>
      </c>
      <c r="C94" s="24">
        <v>7670</v>
      </c>
      <c r="D94" s="218"/>
      <c r="E94" s="9"/>
      <c r="F94" s="194"/>
    </row>
    <row r="95" spans="1:6" s="8" customFormat="1" ht="13.5" customHeight="1">
      <c r="A95" s="71"/>
      <c r="B95" s="23"/>
      <c r="C95" s="24"/>
      <c r="D95" s="218"/>
      <c r="E95" s="9"/>
      <c r="F95" s="194"/>
    </row>
    <row r="96" spans="1:5" s="65" customFormat="1" ht="14.25" thickBot="1">
      <c r="A96" s="69"/>
      <c r="B96" s="69"/>
      <c r="C96" s="66"/>
      <c r="D96" s="67"/>
      <c r="E96" s="67"/>
    </row>
    <row r="97" spans="1:5" s="65" customFormat="1" ht="12.75">
      <c r="A97" s="939" t="s">
        <v>1073</v>
      </c>
      <c r="B97" s="940"/>
      <c r="C97" s="941"/>
      <c r="D97" s="942" t="s">
        <v>6</v>
      </c>
      <c r="E97" s="871" t="s">
        <v>1074</v>
      </c>
    </row>
    <row r="98" spans="1:5" s="65" customFormat="1" ht="13.5" thickBot="1">
      <c r="A98" s="943"/>
      <c r="B98" s="944"/>
      <c r="C98" s="945"/>
      <c r="D98" s="946"/>
      <c r="E98" s="876"/>
    </row>
    <row r="99" spans="1:5" ht="12.75" customHeight="1">
      <c r="A99" s="979" t="s">
        <v>1075</v>
      </c>
      <c r="B99" s="980"/>
      <c r="C99" s="980"/>
      <c r="D99" s="980"/>
      <c r="E99" s="981"/>
    </row>
    <row r="100" spans="1:5" ht="12.75">
      <c r="A100" s="982"/>
      <c r="B100" s="983"/>
      <c r="C100" s="983"/>
      <c r="D100" s="983"/>
      <c r="E100" s="984"/>
    </row>
    <row r="101" spans="1:5" ht="12.75">
      <c r="A101" s="982"/>
      <c r="B101" s="983"/>
      <c r="C101" s="983"/>
      <c r="D101" s="983"/>
      <c r="E101" s="984"/>
    </row>
    <row r="102" spans="1:5" ht="12.75">
      <c r="A102" s="982"/>
      <c r="B102" s="983"/>
      <c r="C102" s="983"/>
      <c r="D102" s="983"/>
      <c r="E102" s="984"/>
    </row>
    <row r="103" spans="1:5" ht="12.75">
      <c r="A103" s="982"/>
      <c r="B103" s="983"/>
      <c r="C103" s="983"/>
      <c r="D103" s="983"/>
      <c r="E103" s="984"/>
    </row>
    <row r="104" spans="1:5" ht="12.75">
      <c r="A104" s="982"/>
      <c r="B104" s="983"/>
      <c r="C104" s="983"/>
      <c r="D104" s="983"/>
      <c r="E104" s="984"/>
    </row>
    <row r="105" spans="1:5" ht="13.5" thickBot="1">
      <c r="A105" s="985"/>
      <c r="B105" s="986"/>
      <c r="C105" s="986"/>
      <c r="D105" s="986"/>
      <c r="E105" s="987"/>
    </row>
    <row r="106" spans="1:5" ht="13.5">
      <c r="A106" s="57" t="s">
        <v>809</v>
      </c>
      <c r="B106" s="58"/>
      <c r="C106" s="59"/>
      <c r="D106" s="59"/>
      <c r="E106" s="60"/>
    </row>
    <row r="107" spans="1:5" ht="13.5">
      <c r="A107" s="57" t="s">
        <v>1069</v>
      </c>
      <c r="B107" s="58"/>
      <c r="C107" s="59"/>
      <c r="D107" s="59"/>
      <c r="E107" s="60"/>
    </row>
    <row r="108" spans="1:5" ht="13.5">
      <c r="A108" s="57" t="s">
        <v>1070</v>
      </c>
      <c r="B108" s="58"/>
      <c r="C108" s="59"/>
      <c r="D108" s="59"/>
      <c r="E108" s="60"/>
    </row>
    <row r="109" spans="1:5" ht="14.25" thickBot="1">
      <c r="A109" s="57" t="s">
        <v>13</v>
      </c>
      <c r="B109" s="58"/>
      <c r="C109" s="59"/>
      <c r="D109" s="59"/>
      <c r="E109" s="60"/>
    </row>
    <row r="110" spans="1:5" ht="14.25" thickBot="1">
      <c r="A110" s="877" t="s">
        <v>14</v>
      </c>
      <c r="B110" s="878"/>
      <c r="C110" s="879"/>
      <c r="D110" s="947"/>
      <c r="E110" s="880">
        <f>C112+C128+C154</f>
        <v>931960</v>
      </c>
    </row>
    <row r="111" ht="13.5" thickBot="1"/>
    <row r="112" spans="1:3" ht="14.25" thickBot="1">
      <c r="A112" s="1013" t="s">
        <v>2</v>
      </c>
      <c r="B112" s="1014"/>
      <c r="C112" s="634">
        <f>C113+C115+C118+C122+C124+C120</f>
        <v>267040</v>
      </c>
    </row>
    <row r="113" spans="1:3" ht="13.5">
      <c r="A113" s="11" t="s">
        <v>103</v>
      </c>
      <c r="B113" s="199" t="s">
        <v>104</v>
      </c>
      <c r="C113" s="509">
        <f>SUM(C114)</f>
        <v>40950</v>
      </c>
    </row>
    <row r="114" spans="1:3" ht="13.5">
      <c r="A114" s="12" t="s">
        <v>46</v>
      </c>
      <c r="B114" s="42" t="s">
        <v>45</v>
      </c>
      <c r="C114" s="24">
        <f>35000*1.17</f>
        <v>40950</v>
      </c>
    </row>
    <row r="115" spans="1:3" ht="13.5">
      <c r="A115" s="11" t="s">
        <v>105</v>
      </c>
      <c r="B115" s="505" t="s">
        <v>106</v>
      </c>
      <c r="C115" s="31">
        <f>SUM(C116:C117)</f>
        <v>58500</v>
      </c>
    </row>
    <row r="116" spans="1:3" ht="13.5" hidden="1">
      <c r="A116" s="12" t="s">
        <v>67</v>
      </c>
      <c r="B116" s="42" t="s">
        <v>68</v>
      </c>
      <c r="C116" s="24">
        <v>0</v>
      </c>
    </row>
    <row r="117" spans="1:3" ht="13.5">
      <c r="A117" s="12" t="s">
        <v>86</v>
      </c>
      <c r="B117" s="42" t="s">
        <v>66</v>
      </c>
      <c r="C117" s="24">
        <f>50000*1.17</f>
        <v>58500</v>
      </c>
    </row>
    <row r="118" spans="1:3" ht="13.5">
      <c r="A118" s="11" t="s">
        <v>107</v>
      </c>
      <c r="B118" s="505" t="s">
        <v>108</v>
      </c>
      <c r="C118" s="31">
        <f>SUM(C119)</f>
        <v>35100</v>
      </c>
    </row>
    <row r="119" spans="1:3" ht="13.5">
      <c r="A119" s="12" t="s">
        <v>47</v>
      </c>
      <c r="B119" s="24" t="s">
        <v>48</v>
      </c>
      <c r="C119" s="24">
        <f>30000*1.17</f>
        <v>35100</v>
      </c>
    </row>
    <row r="120" spans="1:3" ht="13.5">
      <c r="A120" s="11" t="s">
        <v>196</v>
      </c>
      <c r="B120" s="505" t="s">
        <v>195</v>
      </c>
      <c r="C120" s="31">
        <f>SUM(C121)</f>
        <v>20000</v>
      </c>
    </row>
    <row r="121" spans="1:3" ht="13.5">
      <c r="A121" s="12" t="s">
        <v>194</v>
      </c>
      <c r="B121" s="42" t="s">
        <v>193</v>
      </c>
      <c r="C121" s="24">
        <v>20000</v>
      </c>
    </row>
    <row r="122" spans="1:3" ht="13.5">
      <c r="A122" s="249" t="s">
        <v>124</v>
      </c>
      <c r="B122" s="505" t="s">
        <v>123</v>
      </c>
      <c r="C122" s="63">
        <f>SUM(C123)</f>
        <v>17550</v>
      </c>
    </row>
    <row r="123" spans="1:3" ht="13.5">
      <c r="A123" s="71" t="s">
        <v>93</v>
      </c>
      <c r="B123" s="24" t="s">
        <v>72</v>
      </c>
      <c r="C123" s="59">
        <f>15000*1.17</f>
        <v>17550</v>
      </c>
    </row>
    <row r="124" spans="1:3" ht="13.5">
      <c r="A124" s="249" t="s">
        <v>150</v>
      </c>
      <c r="B124" s="31" t="s">
        <v>125</v>
      </c>
      <c r="C124" s="63">
        <f>SUM(C125:C126)</f>
        <v>94940</v>
      </c>
    </row>
    <row r="125" spans="1:3" ht="13.5">
      <c r="A125" s="71" t="s">
        <v>154</v>
      </c>
      <c r="B125" s="24" t="s">
        <v>125</v>
      </c>
      <c r="C125" s="24">
        <f>14000*1.17</f>
        <v>16379.999999999998</v>
      </c>
    </row>
    <row r="126" spans="1:3" ht="13.5">
      <c r="A126" s="71" t="s">
        <v>643</v>
      </c>
      <c r="B126" s="42" t="s">
        <v>642</v>
      </c>
      <c r="C126" s="66">
        <v>78560</v>
      </c>
    </row>
    <row r="127" spans="1:3" ht="14.25" thickBot="1">
      <c r="A127" s="69"/>
      <c r="B127" s="200"/>
      <c r="C127" s="66"/>
    </row>
    <row r="128" spans="1:3" ht="14.25" thickBot="1">
      <c r="A128" s="1015" t="s">
        <v>3</v>
      </c>
      <c r="B128" s="1016"/>
      <c r="C128" s="635">
        <f>C129+C136+C139+C141+C143+C146+C148</f>
        <v>641440</v>
      </c>
    </row>
    <row r="129" spans="1:3" ht="13.5" hidden="1">
      <c r="A129" s="249" t="s">
        <v>339</v>
      </c>
      <c r="B129" s="199" t="s">
        <v>340</v>
      </c>
      <c r="C129" s="509">
        <f>SUM(C130:C135)</f>
        <v>0</v>
      </c>
    </row>
    <row r="130" spans="1:3" ht="13.5" hidden="1">
      <c r="A130" s="71" t="s">
        <v>341</v>
      </c>
      <c r="B130" s="58" t="s">
        <v>342</v>
      </c>
      <c r="C130" s="24">
        <v>0</v>
      </c>
    </row>
    <row r="131" spans="1:3" ht="13.5" hidden="1">
      <c r="A131" s="71" t="s">
        <v>343</v>
      </c>
      <c r="B131" s="58" t="s">
        <v>344</v>
      </c>
      <c r="C131" s="24">
        <v>0</v>
      </c>
    </row>
    <row r="132" spans="1:3" ht="13.5" hidden="1">
      <c r="A132" s="71" t="s">
        <v>345</v>
      </c>
      <c r="B132" s="58" t="s">
        <v>346</v>
      </c>
      <c r="C132" s="24">
        <v>0</v>
      </c>
    </row>
    <row r="133" spans="1:3" ht="13.5" hidden="1">
      <c r="A133" s="71" t="s">
        <v>378</v>
      </c>
      <c r="B133" s="58" t="s">
        <v>533</v>
      </c>
      <c r="C133" s="24">
        <v>0</v>
      </c>
    </row>
    <row r="134" spans="1:3" ht="13.5" hidden="1">
      <c r="A134" s="71" t="s">
        <v>347</v>
      </c>
      <c r="B134" s="58" t="s">
        <v>348</v>
      </c>
      <c r="C134" s="24">
        <v>0</v>
      </c>
    </row>
    <row r="135" spans="1:3" ht="13.5" hidden="1">
      <c r="A135" s="71" t="s">
        <v>349</v>
      </c>
      <c r="B135" s="58" t="s">
        <v>350</v>
      </c>
      <c r="C135" s="59">
        <v>0</v>
      </c>
    </row>
    <row r="136" spans="1:3" ht="13.5">
      <c r="A136" s="249" t="s">
        <v>110</v>
      </c>
      <c r="B136" s="62" t="s">
        <v>111</v>
      </c>
      <c r="C136" s="63">
        <f>SUM(C137:C138)</f>
        <v>22340</v>
      </c>
    </row>
    <row r="137" spans="1:3" ht="13.5" hidden="1">
      <c r="A137" s="71" t="s">
        <v>159</v>
      </c>
      <c r="B137" s="58" t="s">
        <v>158</v>
      </c>
      <c r="C137" s="24">
        <v>0</v>
      </c>
    </row>
    <row r="138" spans="1:3" ht="13.5">
      <c r="A138" s="71" t="s">
        <v>52</v>
      </c>
      <c r="B138" s="23" t="s">
        <v>15</v>
      </c>
      <c r="C138" s="24">
        <v>22340</v>
      </c>
    </row>
    <row r="139" spans="1:3" ht="13.5">
      <c r="A139" s="62" t="s">
        <v>120</v>
      </c>
      <c r="B139" s="25" t="s">
        <v>121</v>
      </c>
      <c r="C139" s="31">
        <f>SUM(C140)</f>
        <v>15209.999999999998</v>
      </c>
    </row>
    <row r="140" spans="1:3" ht="13.5">
      <c r="A140" s="58" t="s">
        <v>136</v>
      </c>
      <c r="B140" s="58" t="s">
        <v>71</v>
      </c>
      <c r="C140" s="24">
        <f>13000*1.17</f>
        <v>15209.999999999998</v>
      </c>
    </row>
    <row r="141" spans="1:3" ht="13.5">
      <c r="A141" s="249" t="s">
        <v>112</v>
      </c>
      <c r="B141" s="62" t="s">
        <v>156</v>
      </c>
      <c r="C141" s="31">
        <f>SUM(C142)</f>
        <v>97980</v>
      </c>
    </row>
    <row r="142" spans="1:3" ht="13.5">
      <c r="A142" s="71" t="s">
        <v>49</v>
      </c>
      <c r="B142" s="24" t="s">
        <v>87</v>
      </c>
      <c r="C142" s="24">
        <v>97980</v>
      </c>
    </row>
    <row r="143" spans="1:3" ht="13.5">
      <c r="A143" s="249" t="s">
        <v>113</v>
      </c>
      <c r="B143" s="31" t="s">
        <v>114</v>
      </c>
      <c r="C143" s="31">
        <f>SUM(C144:C145)</f>
        <v>14300</v>
      </c>
    </row>
    <row r="144" spans="1:3" ht="13.5" hidden="1">
      <c r="A144" s="71" t="s">
        <v>75</v>
      </c>
      <c r="B144" s="24" t="s">
        <v>73</v>
      </c>
      <c r="C144" s="24">
        <v>0</v>
      </c>
    </row>
    <row r="145" spans="1:3" ht="13.5">
      <c r="A145" s="71" t="s">
        <v>88</v>
      </c>
      <c r="B145" s="24" t="s">
        <v>64</v>
      </c>
      <c r="C145" s="24">
        <v>14300</v>
      </c>
    </row>
    <row r="146" spans="1:3" ht="13.5">
      <c r="A146" s="506" t="s">
        <v>132</v>
      </c>
      <c r="B146" s="62" t="s">
        <v>56</v>
      </c>
      <c r="C146" s="31">
        <f>SUM(C147)</f>
        <v>48700</v>
      </c>
    </row>
    <row r="147" spans="1:3" ht="13.5">
      <c r="A147" s="69" t="s">
        <v>55</v>
      </c>
      <c r="B147" s="58" t="s">
        <v>56</v>
      </c>
      <c r="C147" s="59">
        <v>48700</v>
      </c>
    </row>
    <row r="148" spans="1:3" ht="13.5">
      <c r="A148" s="249" t="s">
        <v>115</v>
      </c>
      <c r="B148" s="31" t="s">
        <v>8</v>
      </c>
      <c r="C148" s="63">
        <f>SUM(C149:C152)</f>
        <v>442910</v>
      </c>
    </row>
    <row r="149" spans="1:3" ht="13.5">
      <c r="A149" s="71" t="s">
        <v>92</v>
      </c>
      <c r="B149" s="24" t="s">
        <v>8</v>
      </c>
      <c r="C149" s="59">
        <v>295700</v>
      </c>
    </row>
    <row r="150" spans="1:3" ht="13.5">
      <c r="A150" s="71" t="s">
        <v>94</v>
      </c>
      <c r="B150" s="24" t="s">
        <v>50</v>
      </c>
      <c r="C150" s="59">
        <f>20000*1.17</f>
        <v>23400</v>
      </c>
    </row>
    <row r="151" spans="1:3" ht="13.5">
      <c r="A151" s="71" t="s">
        <v>223</v>
      </c>
      <c r="B151" s="42" t="s">
        <v>541</v>
      </c>
      <c r="C151" s="59">
        <v>89520</v>
      </c>
    </row>
    <row r="152" spans="1:3" ht="13.5">
      <c r="A152" s="71" t="s">
        <v>90</v>
      </c>
      <c r="B152" s="24" t="s">
        <v>7</v>
      </c>
      <c r="C152" s="59">
        <v>34290</v>
      </c>
    </row>
    <row r="153" spans="1:3" ht="14.25" thickBot="1">
      <c r="A153" s="69"/>
      <c r="B153" s="69"/>
      <c r="C153" s="66"/>
    </row>
    <row r="154" spans="1:3" ht="14.25" thickBot="1">
      <c r="A154" s="1017" t="s">
        <v>4</v>
      </c>
      <c r="B154" s="1018"/>
      <c r="C154" s="637">
        <f>+C155</f>
        <v>23480</v>
      </c>
    </row>
    <row r="155" spans="1:3" ht="13.5">
      <c r="A155" s="249" t="s">
        <v>165</v>
      </c>
      <c r="B155" s="25" t="s">
        <v>134</v>
      </c>
      <c r="C155" s="63">
        <f>SUM(C156)</f>
        <v>23480</v>
      </c>
    </row>
    <row r="156" spans="1:3" ht="13.5">
      <c r="A156" s="71" t="s">
        <v>166</v>
      </c>
      <c r="B156" s="23" t="s">
        <v>51</v>
      </c>
      <c r="C156" s="24">
        <v>23480</v>
      </c>
    </row>
  </sheetData>
  <sheetProtection sheet="1" objects="1" scenarios="1" sort="0" autoFilter="0"/>
  <mergeCells count="9">
    <mergeCell ref="A112:B112"/>
    <mergeCell ref="A128:B128"/>
    <mergeCell ref="A154:B154"/>
    <mergeCell ref="A6:E12"/>
    <mergeCell ref="A19:B19"/>
    <mergeCell ref="A42:B42"/>
    <mergeCell ref="A62:B62"/>
    <mergeCell ref="A86:B86"/>
    <mergeCell ref="A99:E10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IV32"/>
  <sheetViews>
    <sheetView zoomScalePageLayoutView="0" workbookViewId="0" topLeftCell="A1">
      <selection activeCell="I23" sqref="I23"/>
    </sheetView>
  </sheetViews>
  <sheetFormatPr defaultColWidth="11.28125" defaultRowHeight="12.75"/>
  <cols>
    <col min="1" max="1" width="9.7109375" style="3" customWidth="1"/>
    <col min="2" max="2" width="46.7109375" style="3" customWidth="1"/>
    <col min="3" max="3" width="12.7109375" style="18" customWidth="1"/>
    <col min="4" max="4" width="10.7109375" style="18" customWidth="1"/>
    <col min="5" max="5" width="13.7109375" style="18" customWidth="1"/>
    <col min="6" max="16384" width="11.28125" style="3" customWidth="1"/>
  </cols>
  <sheetData>
    <row r="1" spans="1:2" ht="12.75">
      <c r="A1" s="460" t="s">
        <v>1076</v>
      </c>
      <c r="B1" s="460"/>
    </row>
    <row r="2" ht="12.75">
      <c r="A2" s="74"/>
    </row>
    <row r="3" ht="13.5" thickBot="1"/>
    <row r="4" spans="1:5" s="10" customFormat="1" ht="13.5">
      <c r="A4" s="891" t="s">
        <v>1077</v>
      </c>
      <c r="B4" s="919"/>
      <c r="C4" s="920"/>
      <c r="D4" s="921" t="s">
        <v>6</v>
      </c>
      <c r="E4" s="922" t="s">
        <v>1078</v>
      </c>
    </row>
    <row r="5" spans="1:5" s="10" customFormat="1" ht="14.25" thickBot="1">
      <c r="A5" s="923"/>
      <c r="B5" s="924"/>
      <c r="C5" s="925"/>
      <c r="D5" s="926"/>
      <c r="E5" s="927"/>
    </row>
    <row r="6" spans="1:5" s="10" customFormat="1" ht="13.5">
      <c r="A6" s="979" t="s">
        <v>1079</v>
      </c>
      <c r="B6" s="980"/>
      <c r="C6" s="980"/>
      <c r="D6" s="980"/>
      <c r="E6" s="981"/>
    </row>
    <row r="7" spans="1:5" s="10" customFormat="1" ht="14.25" thickBot="1">
      <c r="A7" s="982"/>
      <c r="B7" s="983"/>
      <c r="C7" s="983"/>
      <c r="D7" s="983"/>
      <c r="E7" s="984"/>
    </row>
    <row r="8" spans="1:5" s="10" customFormat="1" ht="13.5">
      <c r="A8" s="116" t="s">
        <v>809</v>
      </c>
      <c r="B8" s="167"/>
      <c r="C8" s="400"/>
      <c r="D8" s="400"/>
      <c r="E8" s="402"/>
    </row>
    <row r="9" spans="1:5" s="10" customFormat="1" ht="13.5">
      <c r="A9" s="40" t="s">
        <v>1080</v>
      </c>
      <c r="B9" s="12"/>
      <c r="C9" s="24"/>
      <c r="D9" s="24"/>
      <c r="E9" s="303"/>
    </row>
    <row r="10" spans="1:5" s="10" customFormat="1" ht="13.5">
      <c r="A10" s="40" t="s">
        <v>1052</v>
      </c>
      <c r="B10" s="12"/>
      <c r="C10" s="24"/>
      <c r="D10" s="24"/>
      <c r="E10" s="303"/>
    </row>
    <row r="11" spans="1:5" s="10" customFormat="1" ht="14.25" thickBot="1">
      <c r="A11" s="75" t="s">
        <v>13</v>
      </c>
      <c r="B11" s="135"/>
      <c r="C11" s="360"/>
      <c r="D11" s="360"/>
      <c r="E11" s="361"/>
    </row>
    <row r="12" spans="1:6" s="10" customFormat="1" ht="14.25" thickBot="1">
      <c r="A12" s="928" t="s">
        <v>14</v>
      </c>
      <c r="B12" s="929"/>
      <c r="C12" s="930"/>
      <c r="D12" s="931"/>
      <c r="E12" s="932">
        <f>C14+C20+C27</f>
        <v>56954</v>
      </c>
      <c r="F12" s="950"/>
    </row>
    <row r="13" ht="13.5" thickBot="1"/>
    <row r="14" spans="1:5" ht="14.25" thickBot="1">
      <c r="A14" s="992" t="s">
        <v>2</v>
      </c>
      <c r="B14" s="993"/>
      <c r="C14" s="602">
        <f>C15+C17</f>
        <v>9564</v>
      </c>
      <c r="E14" s="846"/>
    </row>
    <row r="15" spans="1:7" s="12" customFormat="1" ht="13.5" customHeight="1">
      <c r="A15" s="11" t="s">
        <v>107</v>
      </c>
      <c r="B15" s="249" t="s">
        <v>108</v>
      </c>
      <c r="C15" s="31">
        <f>SUM(C16)</f>
        <v>5460</v>
      </c>
      <c r="D15" s="22"/>
      <c r="E15" s="31"/>
      <c r="G15" s="24"/>
    </row>
    <row r="16" spans="1:8" s="71" customFormat="1" ht="13.5" customHeight="1">
      <c r="A16" s="12" t="s">
        <v>47</v>
      </c>
      <c r="B16" s="23" t="s">
        <v>48</v>
      </c>
      <c r="C16" s="24">
        <f>4550*1.2</f>
        <v>5460</v>
      </c>
      <c r="D16" s="77"/>
      <c r="E16" s="25"/>
      <c r="F16" s="100"/>
      <c r="G16" s="24"/>
      <c r="H16" s="12"/>
    </row>
    <row r="17" spans="1:8" s="71" customFormat="1" ht="13.5" customHeight="1">
      <c r="A17" s="249" t="s">
        <v>1081</v>
      </c>
      <c r="B17" s="25" t="s">
        <v>125</v>
      </c>
      <c r="C17" s="31">
        <f>SUM(C18)</f>
        <v>4104</v>
      </c>
      <c r="D17" s="77"/>
      <c r="E17" s="25"/>
      <c r="F17" s="100"/>
      <c r="G17" s="24"/>
      <c r="H17" s="12"/>
    </row>
    <row r="18" spans="1:8" s="71" customFormat="1" ht="13.5" customHeight="1">
      <c r="A18" s="71" t="s">
        <v>154</v>
      </c>
      <c r="B18" s="23" t="s">
        <v>125</v>
      </c>
      <c r="C18" s="24">
        <f>3420*1.2</f>
        <v>4104</v>
      </c>
      <c r="D18" s="77"/>
      <c r="E18" s="25"/>
      <c r="F18" s="281"/>
      <c r="G18" s="24"/>
      <c r="H18" s="119"/>
    </row>
    <row r="19" spans="2:8" s="71" customFormat="1" ht="13.5" customHeight="1" thickBot="1">
      <c r="B19" s="23"/>
      <c r="C19" s="23"/>
      <c r="D19" s="77"/>
      <c r="E19" s="25"/>
      <c r="F19" s="281"/>
      <c r="G19" s="24"/>
      <c r="H19" s="119"/>
    </row>
    <row r="20" spans="1:5" s="5" customFormat="1" ht="14.25" thickBot="1">
      <c r="A20" s="994" t="s">
        <v>3</v>
      </c>
      <c r="B20" s="995"/>
      <c r="C20" s="603">
        <f>C21+C23</f>
        <v>32424</v>
      </c>
      <c r="D20" s="21"/>
      <c r="E20" s="21"/>
    </row>
    <row r="21" spans="1:5" s="334" customFormat="1" ht="13.5">
      <c r="A21" s="249" t="s">
        <v>339</v>
      </c>
      <c r="B21" s="281" t="s">
        <v>340</v>
      </c>
      <c r="C21" s="32">
        <f>SUM(C22)</f>
        <v>4824</v>
      </c>
      <c r="D21" s="223"/>
      <c r="E21" s="223"/>
    </row>
    <row r="22" spans="1:9" s="71" customFormat="1" ht="13.5" customHeight="1">
      <c r="A22" s="71" t="s">
        <v>347</v>
      </c>
      <c r="B22" s="12" t="s">
        <v>348</v>
      </c>
      <c r="C22" s="24">
        <f>4020*1.2</f>
        <v>4824</v>
      </c>
      <c r="D22" s="77"/>
      <c r="E22" s="25"/>
      <c r="F22" s="100"/>
      <c r="G22" s="24"/>
      <c r="H22" s="12"/>
      <c r="I22" s="23"/>
    </row>
    <row r="23" spans="1:6" s="142" customFormat="1" ht="13.5">
      <c r="A23" s="249" t="s">
        <v>115</v>
      </c>
      <c r="B23" s="31" t="s">
        <v>8</v>
      </c>
      <c r="C23" s="31">
        <f>SUM(C24:C25)</f>
        <v>27600</v>
      </c>
      <c r="D23" s="24"/>
      <c r="E23" s="117"/>
      <c r="F23" s="117"/>
    </row>
    <row r="24" spans="1:6" s="5" customFormat="1" ht="13.5">
      <c r="A24" s="71" t="s">
        <v>89</v>
      </c>
      <c r="B24" s="24" t="s">
        <v>8</v>
      </c>
      <c r="C24" s="24">
        <f>12000*1.3</f>
        <v>15600</v>
      </c>
      <c r="D24" s="24"/>
      <c r="E24" s="117"/>
      <c r="F24" s="117"/>
    </row>
    <row r="25" spans="1:256" s="71" customFormat="1" ht="13.5" customHeight="1">
      <c r="A25" s="71" t="s">
        <v>90</v>
      </c>
      <c r="B25" s="23" t="s">
        <v>7</v>
      </c>
      <c r="C25" s="24">
        <f>10000*1.2</f>
        <v>12000</v>
      </c>
      <c r="D25" s="78"/>
      <c r="E25" s="25"/>
      <c r="F25" s="100"/>
      <c r="G25" s="24"/>
      <c r="H25" s="12"/>
      <c r="IV25" s="23">
        <f>SUM(C25:IU25)</f>
        <v>12000</v>
      </c>
    </row>
    <row r="26" spans="1:6" s="5" customFormat="1" ht="14.25" thickBot="1">
      <c r="A26" s="71"/>
      <c r="B26" s="24"/>
      <c r="C26" s="23"/>
      <c r="D26" s="24"/>
      <c r="E26" s="117"/>
      <c r="F26" s="117"/>
    </row>
    <row r="27" spans="1:5" s="5" customFormat="1" ht="14.25" thickBot="1">
      <c r="A27" s="996" t="s">
        <v>4</v>
      </c>
      <c r="B27" s="997"/>
      <c r="C27" s="605">
        <f>C28+C30</f>
        <v>14966</v>
      </c>
      <c r="D27" s="21"/>
      <c r="E27" s="21"/>
    </row>
    <row r="28" spans="1:5" s="334" customFormat="1" ht="13.5">
      <c r="A28" s="249" t="s">
        <v>116</v>
      </c>
      <c r="B28" s="281" t="s">
        <v>117</v>
      </c>
      <c r="C28" s="32">
        <f>SUM(C29)</f>
        <v>11150</v>
      </c>
      <c r="D28" s="223"/>
      <c r="E28" s="223"/>
    </row>
    <row r="29" spans="1:5" s="5" customFormat="1" ht="13.5">
      <c r="A29" s="71" t="s">
        <v>91</v>
      </c>
      <c r="B29" s="71" t="s">
        <v>139</v>
      </c>
      <c r="C29" s="24">
        <f>11150</f>
        <v>11150</v>
      </c>
      <c r="D29" s="21"/>
      <c r="E29" s="21"/>
    </row>
    <row r="30" spans="1:5" s="5" customFormat="1" ht="13.5">
      <c r="A30" s="249" t="s">
        <v>165</v>
      </c>
      <c r="B30" s="25" t="s">
        <v>134</v>
      </c>
      <c r="C30" s="31">
        <f>SUM(C31)</f>
        <v>3816</v>
      </c>
      <c r="D30" s="21"/>
      <c r="E30" s="21"/>
    </row>
    <row r="31" spans="1:5" s="5" customFormat="1" ht="13.5">
      <c r="A31" s="71" t="s">
        <v>166</v>
      </c>
      <c r="B31" s="23" t="s">
        <v>51</v>
      </c>
      <c r="C31" s="24">
        <f>3180*1.2</f>
        <v>3816</v>
      </c>
      <c r="D31" s="23"/>
      <c r="E31" s="21"/>
    </row>
    <row r="32" spans="3:5" s="5" customFormat="1" ht="12.75">
      <c r="C32" s="21"/>
      <c r="D32" s="21"/>
      <c r="E32" s="21"/>
    </row>
  </sheetData>
  <sheetProtection sheet="1" objects="1" scenarios="1" sort="0" autoFilter="0"/>
  <mergeCells count="4">
    <mergeCell ref="A6:E7"/>
    <mergeCell ref="A14:B14"/>
    <mergeCell ref="A20:B20"/>
    <mergeCell ref="A27:B27"/>
  </mergeCells>
  <printOptions/>
  <pageMargins left="0.7" right="0.7" top="0.75" bottom="0.75" header="0.3" footer="0.3"/>
  <pageSetup orientation="portrait" paperSize="9" r:id="rId1"/>
</worksheet>
</file>

<file path=xl/worksheets/sheet14.xml><?xml version="1.0" encoding="utf-8"?>
<worksheet xmlns="http://schemas.openxmlformats.org/spreadsheetml/2006/main" xmlns:r="http://schemas.openxmlformats.org/officeDocument/2006/relationships">
  <dimension ref="A1:J38"/>
  <sheetViews>
    <sheetView zoomScalePageLayoutView="0" workbookViewId="0" topLeftCell="A13">
      <selection activeCell="L16" sqref="L16"/>
    </sheetView>
  </sheetViews>
  <sheetFormatPr defaultColWidth="11.421875" defaultRowHeight="12.75"/>
  <cols>
    <col min="1" max="1" width="9.7109375" style="3" customWidth="1"/>
    <col min="2" max="2" width="46.7109375" style="3" customWidth="1"/>
    <col min="3" max="3" width="12.7109375" style="18" customWidth="1"/>
    <col min="4" max="4" width="10.7109375" style="18" customWidth="1"/>
    <col min="5" max="5" width="13.7109375" style="18" customWidth="1"/>
    <col min="6" max="6" width="7.421875" style="3" customWidth="1"/>
    <col min="7" max="7" width="8.421875" style="3" customWidth="1"/>
    <col min="8" max="16384" width="11.421875" style="3" customWidth="1"/>
  </cols>
  <sheetData>
    <row r="1" spans="1:2" ht="12.75">
      <c r="A1" s="460" t="s">
        <v>1082</v>
      </c>
      <c r="B1" s="460"/>
    </row>
    <row r="2" ht="12.75">
      <c r="A2" s="74"/>
    </row>
    <row r="3" ht="13.5" thickBot="1"/>
    <row r="4" spans="1:5" ht="12.75">
      <c r="A4" s="891" t="s">
        <v>1083</v>
      </c>
      <c r="B4" s="919"/>
      <c r="C4" s="920"/>
      <c r="D4" s="921" t="s">
        <v>6</v>
      </c>
      <c r="E4" s="922" t="s">
        <v>1084</v>
      </c>
    </row>
    <row r="5" spans="1:5" ht="13.5" thickBot="1">
      <c r="A5" s="923"/>
      <c r="B5" s="924"/>
      <c r="C5" s="925"/>
      <c r="D5" s="926"/>
      <c r="E5" s="927"/>
    </row>
    <row r="6" spans="1:5" ht="12.75">
      <c r="A6" s="979" t="s">
        <v>1085</v>
      </c>
      <c r="B6" s="980"/>
      <c r="C6" s="980"/>
      <c r="D6" s="980"/>
      <c r="E6" s="981"/>
    </row>
    <row r="7" spans="1:5" ht="12.75">
      <c r="A7" s="982"/>
      <c r="B7" s="983"/>
      <c r="C7" s="983"/>
      <c r="D7" s="983"/>
      <c r="E7" s="984"/>
    </row>
    <row r="8" spans="1:5" ht="13.5" thickBot="1">
      <c r="A8" s="985"/>
      <c r="B8" s="986"/>
      <c r="C8" s="986"/>
      <c r="D8" s="986"/>
      <c r="E8" s="987"/>
    </row>
    <row r="9" spans="1:5" s="10" customFormat="1" ht="13.5">
      <c r="A9" s="116" t="s">
        <v>809</v>
      </c>
      <c r="B9" s="167"/>
      <c r="C9" s="400"/>
      <c r="D9" s="400"/>
      <c r="E9" s="402"/>
    </row>
    <row r="10" spans="1:5" s="10" customFormat="1" ht="13.5">
      <c r="A10" s="40" t="s">
        <v>1086</v>
      </c>
      <c r="B10" s="12"/>
      <c r="C10" s="24"/>
      <c r="D10" s="24"/>
      <c r="E10" s="303"/>
    </row>
    <row r="11" spans="1:5" s="187" customFormat="1" ht="13.5">
      <c r="A11" s="40" t="s">
        <v>1087</v>
      </c>
      <c r="B11" s="12"/>
      <c r="C11" s="24"/>
      <c r="D11" s="24"/>
      <c r="E11" s="303"/>
    </row>
    <row r="12" spans="1:5" s="10" customFormat="1" ht="14.25" thickBot="1">
      <c r="A12" s="75" t="s">
        <v>13</v>
      </c>
      <c r="B12" s="135"/>
      <c r="C12" s="360"/>
      <c r="D12" s="360"/>
      <c r="E12" s="361"/>
    </row>
    <row r="13" spans="1:7" s="10" customFormat="1" ht="14.25" thickBot="1">
      <c r="A13" s="928" t="s">
        <v>14</v>
      </c>
      <c r="B13" s="929"/>
      <c r="C13" s="930"/>
      <c r="D13" s="931"/>
      <c r="E13" s="932">
        <f>C15+C25+C33</f>
        <v>156240</v>
      </c>
      <c r="G13" s="846"/>
    </row>
    <row r="14" ht="13.5" thickBot="1"/>
    <row r="15" spans="1:3" ht="14.25" thickBot="1">
      <c r="A15" s="992" t="s">
        <v>2</v>
      </c>
      <c r="B15" s="993"/>
      <c r="C15" s="602">
        <f>C16+C18+C22+C20</f>
        <v>36060</v>
      </c>
    </row>
    <row r="16" spans="1:5" ht="13.5">
      <c r="A16" s="11" t="s">
        <v>103</v>
      </c>
      <c r="B16" s="249" t="s">
        <v>108</v>
      </c>
      <c r="C16" s="32">
        <f>SUM(C17)</f>
        <v>7020</v>
      </c>
      <c r="E16" s="846"/>
    </row>
    <row r="17" spans="1:7" s="42" customFormat="1" ht="13.5" customHeight="1">
      <c r="A17" s="12" t="s">
        <v>46</v>
      </c>
      <c r="B17" s="8" t="s">
        <v>45</v>
      </c>
      <c r="C17" s="24">
        <f>5400*1.3</f>
        <v>7020</v>
      </c>
      <c r="D17" s="22"/>
      <c r="E17" s="887"/>
      <c r="G17" s="54"/>
    </row>
    <row r="18" spans="1:5" s="332" customFormat="1" ht="13.5">
      <c r="A18" s="11" t="s">
        <v>107</v>
      </c>
      <c r="B18" s="249" t="s">
        <v>108</v>
      </c>
      <c r="C18" s="32">
        <f>SUM(C19)</f>
        <v>14040</v>
      </c>
      <c r="D18" s="331"/>
      <c r="E18" s="951"/>
    </row>
    <row r="19" spans="1:8" s="71" customFormat="1" ht="13.5" customHeight="1">
      <c r="A19" s="12" t="s">
        <v>47</v>
      </c>
      <c r="B19" s="23" t="s">
        <v>48</v>
      </c>
      <c r="C19" s="24">
        <f>11700*1.2</f>
        <v>14040</v>
      </c>
      <c r="D19" s="77"/>
      <c r="E19" s="25"/>
      <c r="F19" s="100"/>
      <c r="G19" s="24"/>
      <c r="H19" s="12"/>
    </row>
    <row r="20" spans="1:8" s="8" customFormat="1" ht="13.5" customHeight="1">
      <c r="A20" s="249" t="s">
        <v>124</v>
      </c>
      <c r="B20" s="31" t="s">
        <v>123</v>
      </c>
      <c r="C20" s="31">
        <f>SUM(C21)</f>
        <v>9000</v>
      </c>
      <c r="D20" s="77"/>
      <c r="E20" s="884"/>
      <c r="F20" s="98"/>
      <c r="G20" s="54"/>
      <c r="H20" s="42"/>
    </row>
    <row r="21" spans="1:5" s="65" customFormat="1" ht="13.5">
      <c r="A21" s="71" t="s">
        <v>93</v>
      </c>
      <c r="B21" s="24" t="s">
        <v>72</v>
      </c>
      <c r="C21" s="59">
        <v>9000</v>
      </c>
      <c r="D21" s="67"/>
      <c r="E21" s="885"/>
    </row>
    <row r="22" spans="1:8" s="71" customFormat="1" ht="13.5" customHeight="1">
      <c r="A22" s="249" t="s">
        <v>504</v>
      </c>
      <c r="B22" s="25" t="s">
        <v>133</v>
      </c>
      <c r="C22" s="31">
        <f>SUM(C23)</f>
        <v>6000</v>
      </c>
      <c r="D22" s="77"/>
      <c r="E22" s="25"/>
      <c r="F22" s="100"/>
      <c r="G22" s="24"/>
      <c r="H22" s="12"/>
    </row>
    <row r="23" spans="1:8" s="71" customFormat="1" ht="13.5" customHeight="1">
      <c r="A23" s="71" t="s">
        <v>154</v>
      </c>
      <c r="B23" s="23" t="s">
        <v>133</v>
      </c>
      <c r="C23" s="24">
        <f>5000*1.2</f>
        <v>6000</v>
      </c>
      <c r="D23" s="77"/>
      <c r="E23" s="25"/>
      <c r="F23" s="281"/>
      <c r="G23" s="24"/>
      <c r="H23" s="119"/>
    </row>
    <row r="24" spans="2:8" s="71" customFormat="1" ht="13.5" customHeight="1" thickBot="1">
      <c r="B24" s="23"/>
      <c r="C24" s="23"/>
      <c r="D24" s="77"/>
      <c r="E24" s="25"/>
      <c r="F24" s="281"/>
      <c r="G24" s="24"/>
      <c r="H24" s="119"/>
    </row>
    <row r="25" spans="1:5" s="5" customFormat="1" ht="14.25" thickBot="1">
      <c r="A25" s="994" t="s">
        <v>3</v>
      </c>
      <c r="B25" s="995"/>
      <c r="C25" s="603">
        <f>C26+C28</f>
        <v>100884</v>
      </c>
      <c r="D25" s="21"/>
      <c r="E25" s="21"/>
    </row>
    <row r="26" spans="1:5" s="334" customFormat="1" ht="13.5">
      <c r="A26" s="249" t="s">
        <v>113</v>
      </c>
      <c r="B26" s="281" t="s">
        <v>114</v>
      </c>
      <c r="C26" s="32">
        <f>SUM(C27)</f>
        <v>5040</v>
      </c>
      <c r="D26" s="223"/>
      <c r="E26" s="223"/>
    </row>
    <row r="27" spans="1:8" s="71" customFormat="1" ht="13.5" customHeight="1">
      <c r="A27" s="71" t="s">
        <v>88</v>
      </c>
      <c r="B27" s="23" t="s">
        <v>64</v>
      </c>
      <c r="C27" s="24">
        <f>4200*1.2</f>
        <v>5040</v>
      </c>
      <c r="D27" s="77"/>
      <c r="E27" s="25"/>
      <c r="F27" s="217"/>
      <c r="G27" s="24"/>
      <c r="H27" s="24"/>
    </row>
    <row r="28" spans="1:8" s="71" customFormat="1" ht="13.5" customHeight="1">
      <c r="A28" s="249" t="s">
        <v>115</v>
      </c>
      <c r="B28" s="25" t="s">
        <v>8</v>
      </c>
      <c r="C28" s="31">
        <f>SUM(C29:C31)</f>
        <v>95844</v>
      </c>
      <c r="D28" s="77"/>
      <c r="E28" s="25"/>
      <c r="F28" s="217"/>
      <c r="G28" s="24"/>
      <c r="H28" s="24"/>
    </row>
    <row r="29" spans="1:10" s="71" customFormat="1" ht="13.5" customHeight="1">
      <c r="A29" s="71" t="s">
        <v>449</v>
      </c>
      <c r="B29" s="23" t="s">
        <v>8</v>
      </c>
      <c r="C29" s="24">
        <f>10500*7</f>
        <v>73500</v>
      </c>
      <c r="D29" s="77"/>
      <c r="E29" s="25"/>
      <c r="F29" s="100"/>
      <c r="G29" s="24"/>
      <c r="H29" s="12"/>
      <c r="J29" s="23"/>
    </row>
    <row r="30" spans="1:9" s="71" customFormat="1" ht="13.5" customHeight="1">
      <c r="A30" s="71" t="s">
        <v>182</v>
      </c>
      <c r="B30" s="23" t="s">
        <v>50</v>
      </c>
      <c r="C30" s="24">
        <f>6500*1.2</f>
        <v>7800</v>
      </c>
      <c r="D30" s="77"/>
      <c r="E30" s="25"/>
      <c r="F30" s="100"/>
      <c r="G30" s="24"/>
      <c r="H30" s="12"/>
      <c r="I30" s="23"/>
    </row>
    <row r="31" spans="1:8" s="71" customFormat="1" ht="13.5" customHeight="1">
      <c r="A31" s="71" t="s">
        <v>90</v>
      </c>
      <c r="B31" s="23" t="s">
        <v>7</v>
      </c>
      <c r="C31" s="24">
        <f>12120*1.2</f>
        <v>14544</v>
      </c>
      <c r="D31" s="78"/>
      <c r="E31" s="25"/>
      <c r="F31" s="100"/>
      <c r="G31" s="24"/>
      <c r="H31" s="12"/>
    </row>
    <row r="32" spans="2:8" s="71" customFormat="1" ht="13.5" customHeight="1" thickBot="1">
      <c r="B32" s="23"/>
      <c r="C32" s="24"/>
      <c r="D32" s="78"/>
      <c r="E32" s="25"/>
      <c r="F32" s="100"/>
      <c r="G32" s="24"/>
      <c r="H32" s="12"/>
    </row>
    <row r="33" spans="1:5" s="5" customFormat="1" ht="14.25" thickBot="1">
      <c r="A33" s="996" t="s">
        <v>4</v>
      </c>
      <c r="B33" s="997"/>
      <c r="C33" s="605">
        <f>+C34+C36</f>
        <v>19296</v>
      </c>
      <c r="D33" s="21"/>
      <c r="E33" s="21"/>
    </row>
    <row r="34" spans="1:5" s="334" customFormat="1" ht="13.5">
      <c r="A34" s="249" t="s">
        <v>116</v>
      </c>
      <c r="B34" s="281" t="s">
        <v>117</v>
      </c>
      <c r="C34" s="32">
        <f>SUM(C35:C35)</f>
        <v>14256</v>
      </c>
      <c r="D34" s="223"/>
      <c r="E34" s="223"/>
    </row>
    <row r="35" spans="1:8" s="71" customFormat="1" ht="13.5" customHeight="1">
      <c r="A35" s="71" t="s">
        <v>91</v>
      </c>
      <c r="B35" s="23" t="s">
        <v>139</v>
      </c>
      <c r="C35" s="24">
        <f>11880*1.2</f>
        <v>14256</v>
      </c>
      <c r="D35" s="77"/>
      <c r="E35" s="25"/>
      <c r="F35" s="100"/>
      <c r="G35" s="24"/>
      <c r="H35" s="12"/>
    </row>
    <row r="36" spans="1:8" s="71" customFormat="1" ht="13.5" customHeight="1">
      <c r="A36" s="249" t="s">
        <v>165</v>
      </c>
      <c r="B36" s="25" t="s">
        <v>134</v>
      </c>
      <c r="C36" s="31">
        <f>SUM(C37)</f>
        <v>5040</v>
      </c>
      <c r="D36" s="77"/>
      <c r="E36" s="25"/>
      <c r="F36" s="100"/>
      <c r="G36" s="24"/>
      <c r="H36" s="12"/>
    </row>
    <row r="37" spans="1:8" s="71" customFormat="1" ht="13.5" customHeight="1">
      <c r="A37" s="71" t="s">
        <v>166</v>
      </c>
      <c r="B37" s="23" t="s">
        <v>51</v>
      </c>
      <c r="C37" s="24">
        <f>4200*1.2</f>
        <v>5040</v>
      </c>
      <c r="D37" s="77"/>
      <c r="E37" s="25"/>
      <c r="F37" s="100"/>
      <c r="G37" s="24"/>
      <c r="H37" s="12"/>
    </row>
    <row r="38" spans="3:5" s="5" customFormat="1" ht="12.75">
      <c r="C38" s="21"/>
      <c r="D38" s="21"/>
      <c r="E38" s="21"/>
    </row>
  </sheetData>
  <sheetProtection sheet="1" objects="1" scenarios="1" sort="0" autoFilter="0"/>
  <mergeCells count="4">
    <mergeCell ref="A6:E8"/>
    <mergeCell ref="A15:B15"/>
    <mergeCell ref="A25:B25"/>
    <mergeCell ref="A33:B33"/>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J58"/>
  <sheetViews>
    <sheetView zoomScalePageLayoutView="0" workbookViewId="0" topLeftCell="A13">
      <selection activeCell="K21" sqref="K21"/>
    </sheetView>
  </sheetViews>
  <sheetFormatPr defaultColWidth="11.421875" defaultRowHeight="12.75"/>
  <cols>
    <col min="1" max="1" width="9.7109375" style="3" customWidth="1"/>
    <col min="2" max="2" width="46.7109375" style="3" customWidth="1"/>
    <col min="3" max="3" width="12.7109375" style="18" customWidth="1"/>
    <col min="4" max="4" width="10.7109375" style="18" customWidth="1"/>
    <col min="5" max="5" width="13.7109375" style="18" customWidth="1"/>
    <col min="6" max="16384" width="11.421875" style="3" customWidth="1"/>
  </cols>
  <sheetData>
    <row r="1" spans="1:2" ht="12.75">
      <c r="A1" s="460" t="s">
        <v>1088</v>
      </c>
      <c r="B1" s="460"/>
    </row>
    <row r="2" ht="12.75">
      <c r="A2" s="74"/>
    </row>
    <row r="3" ht="13.5" thickBot="1"/>
    <row r="4" spans="1:5" ht="12.75">
      <c r="A4" s="891" t="s">
        <v>1089</v>
      </c>
      <c r="B4" s="919"/>
      <c r="C4" s="920"/>
      <c r="D4" s="921" t="s">
        <v>6</v>
      </c>
      <c r="E4" s="922" t="s">
        <v>1090</v>
      </c>
    </row>
    <row r="5" spans="1:5" ht="13.5" thickBot="1">
      <c r="A5" s="923"/>
      <c r="B5" s="924"/>
      <c r="C5" s="925"/>
      <c r="D5" s="926"/>
      <c r="E5" s="927"/>
    </row>
    <row r="6" spans="1:5" ht="12.75">
      <c r="A6" s="979" t="s">
        <v>1091</v>
      </c>
      <c r="B6" s="980"/>
      <c r="C6" s="980"/>
      <c r="D6" s="980"/>
      <c r="E6" s="981"/>
    </row>
    <row r="7" spans="1:5" ht="13.5" thickBot="1">
      <c r="A7" s="985"/>
      <c r="B7" s="986"/>
      <c r="C7" s="986"/>
      <c r="D7" s="986"/>
      <c r="E7" s="987"/>
    </row>
    <row r="8" spans="1:5" s="10" customFormat="1" ht="13.5">
      <c r="A8" s="116" t="s">
        <v>809</v>
      </c>
      <c r="B8" s="167"/>
      <c r="C8" s="400"/>
      <c r="D8" s="400"/>
      <c r="E8" s="402"/>
    </row>
    <row r="9" spans="1:5" s="10" customFormat="1" ht="13.5">
      <c r="A9" s="40" t="s">
        <v>1092</v>
      </c>
      <c r="B9" s="12"/>
      <c r="C9" s="24"/>
      <c r="D9" s="24"/>
      <c r="E9" s="303"/>
    </row>
    <row r="10" spans="1:5" s="10" customFormat="1" ht="13.5">
      <c r="A10" s="40" t="s">
        <v>1052</v>
      </c>
      <c r="B10" s="12"/>
      <c r="C10" s="24"/>
      <c r="D10" s="24"/>
      <c r="E10" s="303"/>
    </row>
    <row r="11" spans="1:5" s="10" customFormat="1" ht="14.25" thickBot="1">
      <c r="A11" s="75" t="s">
        <v>13</v>
      </c>
      <c r="B11" s="135"/>
      <c r="C11" s="360"/>
      <c r="D11" s="360"/>
      <c r="E11" s="361"/>
    </row>
    <row r="12" spans="1:7" s="10" customFormat="1" ht="14.25" thickBot="1">
      <c r="A12" s="901" t="s">
        <v>14</v>
      </c>
      <c r="B12" s="952"/>
      <c r="C12" s="953"/>
      <c r="D12" s="905"/>
      <c r="E12" s="954">
        <f>C14+C22+C31</f>
        <v>123520</v>
      </c>
      <c r="G12" s="846"/>
    </row>
    <row r="13" ht="13.5" thickBot="1"/>
    <row r="14" spans="1:3" ht="14.25" thickBot="1">
      <c r="A14" s="992" t="s">
        <v>2</v>
      </c>
      <c r="B14" s="993"/>
      <c r="C14" s="602">
        <f>C15+C17+C19</f>
        <v>17136</v>
      </c>
    </row>
    <row r="15" spans="1:5" s="332" customFormat="1" ht="13.5">
      <c r="A15" s="11" t="s">
        <v>105</v>
      </c>
      <c r="B15" s="281" t="s">
        <v>1093</v>
      </c>
      <c r="C15" s="32">
        <f>SUM(C16)</f>
        <v>3528</v>
      </c>
      <c r="D15" s="331"/>
      <c r="E15" s="951"/>
    </row>
    <row r="16" spans="1:7" s="12" customFormat="1" ht="13.5" customHeight="1">
      <c r="A16" s="12" t="s">
        <v>86</v>
      </c>
      <c r="B16" s="71" t="s">
        <v>66</v>
      </c>
      <c r="C16" s="24">
        <f>2940*1.2</f>
        <v>3528</v>
      </c>
      <c r="D16" s="22"/>
      <c r="E16" s="31"/>
      <c r="G16" s="24"/>
    </row>
    <row r="17" spans="1:7" s="12" customFormat="1" ht="13.5" customHeight="1">
      <c r="A17" s="11" t="s">
        <v>107</v>
      </c>
      <c r="B17" s="249" t="s">
        <v>1094</v>
      </c>
      <c r="C17" s="31">
        <f>SUM(C18)</f>
        <v>10800</v>
      </c>
      <c r="D17" s="22"/>
      <c r="E17" s="31"/>
      <c r="G17" s="24"/>
    </row>
    <row r="18" spans="1:8" s="71" customFormat="1" ht="13.5" customHeight="1">
      <c r="A18" s="12" t="s">
        <v>47</v>
      </c>
      <c r="B18" s="23" t="s">
        <v>48</v>
      </c>
      <c r="C18" s="24">
        <f>9000*1.2</f>
        <v>10800</v>
      </c>
      <c r="D18" s="77"/>
      <c r="E18" s="25"/>
      <c r="F18" s="100"/>
      <c r="G18" s="24"/>
      <c r="H18" s="12"/>
    </row>
    <row r="19" spans="1:8" s="71" customFormat="1" ht="13.5" customHeight="1">
      <c r="A19" s="249" t="s">
        <v>150</v>
      </c>
      <c r="B19" s="25" t="s">
        <v>133</v>
      </c>
      <c r="C19" s="31">
        <f>SUM(C20)</f>
        <v>2808</v>
      </c>
      <c r="D19" s="77"/>
      <c r="E19" s="25"/>
      <c r="F19" s="100"/>
      <c r="G19" s="24"/>
      <c r="H19" s="12"/>
    </row>
    <row r="20" spans="1:8" s="71" customFormat="1" ht="13.5" customHeight="1">
      <c r="A20" s="71" t="s">
        <v>154</v>
      </c>
      <c r="B20" s="23" t="s">
        <v>133</v>
      </c>
      <c r="C20" s="24">
        <f>2340*1.2</f>
        <v>2808</v>
      </c>
      <c r="D20" s="77"/>
      <c r="E20" s="25"/>
      <c r="F20" s="281"/>
      <c r="G20" s="24"/>
      <c r="H20" s="119"/>
    </row>
    <row r="21" spans="2:8" s="71" customFormat="1" ht="13.5" customHeight="1" thickBot="1">
      <c r="B21" s="23"/>
      <c r="C21" s="23"/>
      <c r="D21" s="77"/>
      <c r="E21" s="25"/>
      <c r="F21" s="281"/>
      <c r="G21" s="24"/>
      <c r="H21" s="119"/>
    </row>
    <row r="22" spans="1:5" s="5" customFormat="1" ht="14.25" thickBot="1">
      <c r="A22" s="994" t="s">
        <v>3</v>
      </c>
      <c r="B22" s="995"/>
      <c r="C22" s="603">
        <f>C23+C25+C27</f>
        <v>92776</v>
      </c>
      <c r="D22" s="21"/>
      <c r="E22" s="21"/>
    </row>
    <row r="23" spans="1:6" s="142" customFormat="1" ht="13.5">
      <c r="A23" s="249" t="s">
        <v>113</v>
      </c>
      <c r="B23" s="25" t="s">
        <v>114</v>
      </c>
      <c r="C23" s="31">
        <f>SUM(C24)</f>
        <v>4120</v>
      </c>
      <c r="D23" s="24"/>
      <c r="E23" s="117"/>
      <c r="F23" s="117"/>
    </row>
    <row r="24" spans="1:6" s="142" customFormat="1" ht="13.5">
      <c r="A24" s="71" t="s">
        <v>88</v>
      </c>
      <c r="B24" s="23" t="s">
        <v>64</v>
      </c>
      <c r="C24" s="24">
        <f>4120</f>
        <v>4120</v>
      </c>
      <c r="D24" s="24"/>
      <c r="E24" s="117"/>
      <c r="F24" s="117"/>
    </row>
    <row r="25" spans="1:6" s="142" customFormat="1" ht="13.5">
      <c r="A25" s="249" t="s">
        <v>132</v>
      </c>
      <c r="B25" s="11" t="s">
        <v>56</v>
      </c>
      <c r="C25" s="31">
        <f>SUM(C26)</f>
        <v>4536</v>
      </c>
      <c r="D25" s="24"/>
      <c r="E25" s="117"/>
      <c r="F25" s="117"/>
    </row>
    <row r="26" spans="1:6" s="142" customFormat="1" ht="13.5">
      <c r="A26" s="71" t="s">
        <v>55</v>
      </c>
      <c r="B26" s="12" t="s">
        <v>56</v>
      </c>
      <c r="C26" s="24">
        <f>3780*1.2</f>
        <v>4536</v>
      </c>
      <c r="D26" s="24"/>
      <c r="E26" s="117"/>
      <c r="F26" s="117"/>
    </row>
    <row r="27" spans="1:6" s="142" customFormat="1" ht="13.5">
      <c r="A27" s="249" t="s">
        <v>115</v>
      </c>
      <c r="B27" s="31" t="s">
        <v>8</v>
      </c>
      <c r="C27" s="31">
        <f>SUM(C28:C29)</f>
        <v>84120</v>
      </c>
      <c r="D27" s="24"/>
      <c r="E27" s="117"/>
      <c r="F27" s="117"/>
    </row>
    <row r="28" spans="1:10" s="142" customFormat="1" ht="13.5">
      <c r="A28" s="71" t="s">
        <v>89</v>
      </c>
      <c r="B28" s="24" t="s">
        <v>8</v>
      </c>
      <c r="C28" s="24">
        <f>9500*8</f>
        <v>76000</v>
      </c>
      <c r="D28" s="24"/>
      <c r="E28" s="117"/>
      <c r="F28" s="117"/>
      <c r="G28" s="5"/>
      <c r="H28" s="5"/>
      <c r="I28" s="5"/>
      <c r="J28" s="5"/>
    </row>
    <row r="29" spans="1:10" s="5" customFormat="1" ht="13.5">
      <c r="A29" s="71" t="s">
        <v>90</v>
      </c>
      <c r="B29" s="24" t="s">
        <v>7</v>
      </c>
      <c r="C29" s="24">
        <f>8120</f>
        <v>8120</v>
      </c>
      <c r="D29" s="25"/>
      <c r="E29" s="38"/>
      <c r="F29" s="117"/>
      <c r="G29" s="142"/>
      <c r="H29" s="142"/>
      <c r="I29" s="142"/>
      <c r="J29" s="142"/>
    </row>
    <row r="30" spans="1:8" s="71" customFormat="1" ht="13.5" customHeight="1" thickBot="1">
      <c r="A30" s="12"/>
      <c r="B30" s="12"/>
      <c r="C30" s="24"/>
      <c r="D30" s="77"/>
      <c r="E30" s="25"/>
      <c r="F30" s="217"/>
      <c r="G30" s="24"/>
      <c r="H30" s="24"/>
    </row>
    <row r="31" spans="1:5" s="5" customFormat="1" ht="14.25" thickBot="1">
      <c r="A31" s="996" t="s">
        <v>4</v>
      </c>
      <c r="B31" s="997"/>
      <c r="C31" s="605">
        <f>C32+C34</f>
        <v>13608</v>
      </c>
      <c r="D31" s="21"/>
      <c r="E31" s="21"/>
    </row>
    <row r="32" spans="1:5" s="5" customFormat="1" ht="13.5">
      <c r="A32" s="249" t="s">
        <v>116</v>
      </c>
      <c r="B32" s="25" t="s">
        <v>117</v>
      </c>
      <c r="C32" s="31">
        <f>SUM(C33)</f>
        <v>10728</v>
      </c>
      <c r="D32" s="23"/>
      <c r="E32" s="21"/>
    </row>
    <row r="33" spans="1:5" s="5" customFormat="1" ht="13.5">
      <c r="A33" s="71" t="s">
        <v>91</v>
      </c>
      <c r="B33" s="71" t="s">
        <v>139</v>
      </c>
      <c r="C33" s="24">
        <f>8940*1.2</f>
        <v>10728</v>
      </c>
      <c r="D33" s="21"/>
      <c r="E33" s="21"/>
    </row>
    <row r="34" spans="1:5" s="334" customFormat="1" ht="13.5">
      <c r="A34" s="249" t="s">
        <v>165</v>
      </c>
      <c r="B34" s="25" t="s">
        <v>134</v>
      </c>
      <c r="C34" s="32">
        <f>SUM(C35)</f>
        <v>2880</v>
      </c>
      <c r="D34" s="223"/>
      <c r="E34" s="223"/>
    </row>
    <row r="35" spans="1:5" s="5" customFormat="1" ht="13.5">
      <c r="A35" s="71" t="s">
        <v>166</v>
      </c>
      <c r="B35" s="23" t="s">
        <v>51</v>
      </c>
      <c r="C35" s="24">
        <f>2400*1.2</f>
        <v>2880</v>
      </c>
      <c r="D35" s="23"/>
      <c r="E35" s="21"/>
    </row>
    <row r="36" spans="3:5" s="5" customFormat="1" ht="12.75">
      <c r="C36" s="21"/>
      <c r="D36" s="21"/>
      <c r="E36" s="21"/>
    </row>
    <row r="37" spans="3:5" s="5" customFormat="1" ht="12.75">
      <c r="C37" s="21"/>
      <c r="D37" s="21"/>
      <c r="E37" s="21"/>
    </row>
    <row r="38" spans="3:5" s="5" customFormat="1" ht="12.75">
      <c r="C38" s="21"/>
      <c r="D38" s="21"/>
      <c r="E38" s="21"/>
    </row>
    <row r="39" spans="3:5" s="5" customFormat="1" ht="12.75">
      <c r="C39" s="21"/>
      <c r="D39" s="21"/>
      <c r="E39" s="21"/>
    </row>
    <row r="40" spans="3:5" s="5" customFormat="1" ht="12.75">
      <c r="C40" s="21"/>
      <c r="D40" s="21"/>
      <c r="E40" s="21"/>
    </row>
    <row r="41" spans="3:5" s="5" customFormat="1" ht="12.75">
      <c r="C41" s="21"/>
      <c r="D41" s="21"/>
      <c r="E41" s="21"/>
    </row>
    <row r="42" spans="3:5" s="5" customFormat="1" ht="12.75">
      <c r="C42" s="21"/>
      <c r="D42" s="21"/>
      <c r="E42" s="21"/>
    </row>
    <row r="43" spans="3:5" s="5" customFormat="1" ht="12.75">
      <c r="C43" s="21"/>
      <c r="D43" s="21"/>
      <c r="E43" s="21"/>
    </row>
    <row r="44" spans="3:5" s="5" customFormat="1" ht="12.75">
      <c r="C44" s="21"/>
      <c r="D44" s="21"/>
      <c r="E44" s="21"/>
    </row>
    <row r="45" spans="3:5" s="5" customFormat="1" ht="12.75">
      <c r="C45" s="21"/>
      <c r="D45" s="21"/>
      <c r="E45" s="21"/>
    </row>
    <row r="46" spans="3:5" s="5" customFormat="1" ht="12.75">
      <c r="C46" s="21"/>
      <c r="D46" s="21"/>
      <c r="E46" s="21"/>
    </row>
    <row r="47" spans="3:5" s="5" customFormat="1" ht="12.75">
      <c r="C47" s="21"/>
      <c r="D47" s="21"/>
      <c r="E47" s="21"/>
    </row>
    <row r="48" spans="3:5" s="5" customFormat="1" ht="12.75">
      <c r="C48" s="21"/>
      <c r="D48" s="21"/>
      <c r="E48" s="21"/>
    </row>
    <row r="49" spans="3:5" s="5" customFormat="1" ht="12.75">
      <c r="C49" s="21"/>
      <c r="D49" s="21"/>
      <c r="E49" s="21"/>
    </row>
    <row r="50" spans="3:5" s="5" customFormat="1" ht="12.75">
      <c r="C50" s="21"/>
      <c r="D50" s="21"/>
      <c r="E50" s="21"/>
    </row>
    <row r="51" spans="3:5" s="5" customFormat="1" ht="12.75">
      <c r="C51" s="21"/>
      <c r="D51" s="21"/>
      <c r="E51" s="21"/>
    </row>
    <row r="52" spans="3:5" s="5" customFormat="1" ht="12.75">
      <c r="C52" s="21"/>
      <c r="D52" s="21"/>
      <c r="E52" s="21"/>
    </row>
    <row r="53" spans="3:5" s="5" customFormat="1" ht="12.75">
      <c r="C53" s="21"/>
      <c r="D53" s="21"/>
      <c r="E53" s="21"/>
    </row>
    <row r="54" spans="3:5" s="5" customFormat="1" ht="12.75">
      <c r="C54" s="21"/>
      <c r="D54" s="21"/>
      <c r="E54" s="21"/>
    </row>
    <row r="55" spans="3:5" s="5" customFormat="1" ht="12.75">
      <c r="C55" s="21"/>
      <c r="D55" s="21"/>
      <c r="E55" s="21"/>
    </row>
    <row r="56" spans="3:5" s="5" customFormat="1" ht="12.75">
      <c r="C56" s="21"/>
      <c r="D56" s="21"/>
      <c r="E56" s="21"/>
    </row>
    <row r="57" spans="3:5" s="5" customFormat="1" ht="12.75">
      <c r="C57" s="21"/>
      <c r="D57" s="21"/>
      <c r="E57" s="21"/>
    </row>
    <row r="58" spans="3:5" s="5" customFormat="1" ht="12.75">
      <c r="C58" s="21"/>
      <c r="D58" s="21"/>
      <c r="E58" s="21"/>
    </row>
  </sheetData>
  <sheetProtection sheet="1" objects="1" scenarios="1" sort="0" autoFilter="0"/>
  <mergeCells count="4">
    <mergeCell ref="A6:E7"/>
    <mergeCell ref="A14:B14"/>
    <mergeCell ref="A22:B22"/>
    <mergeCell ref="A31:B31"/>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I47"/>
  <sheetViews>
    <sheetView zoomScalePageLayoutView="0" workbookViewId="0" topLeftCell="A16">
      <selection activeCell="L20" sqref="L20"/>
    </sheetView>
  </sheetViews>
  <sheetFormatPr defaultColWidth="11.421875" defaultRowHeight="12.75"/>
  <cols>
    <col min="1" max="1" width="9.7109375" style="51" customWidth="1"/>
    <col min="2" max="2" width="46.7109375" style="51" customWidth="1"/>
    <col min="3" max="3" width="12.7109375" style="61" customWidth="1"/>
    <col min="4" max="4" width="10.7109375" style="61" customWidth="1"/>
    <col min="5" max="5" width="13.7109375" style="61" customWidth="1"/>
    <col min="6" max="6" width="6.421875" style="51" customWidth="1"/>
    <col min="7" max="16384" width="11.421875" style="51" customWidth="1"/>
  </cols>
  <sheetData>
    <row r="1" spans="1:2" ht="12.75">
      <c r="A1" s="560" t="s">
        <v>1095</v>
      </c>
      <c r="B1" s="560"/>
    </row>
    <row r="2" ht="12.75">
      <c r="A2" s="433"/>
    </row>
    <row r="3" ht="13.5" thickBot="1"/>
    <row r="4" spans="1:5" ht="12.75">
      <c r="A4" s="939" t="s">
        <v>1096</v>
      </c>
      <c r="B4" s="940"/>
      <c r="C4" s="941"/>
      <c r="D4" s="942" t="s">
        <v>6</v>
      </c>
      <c r="E4" s="871" t="s">
        <v>1097</v>
      </c>
    </row>
    <row r="5" spans="1:5" ht="13.5" thickBot="1">
      <c r="A5" s="943"/>
      <c r="B5" s="944"/>
      <c r="C5" s="945"/>
      <c r="D5" s="946"/>
      <c r="E5" s="876"/>
    </row>
    <row r="6" spans="1:5" ht="12.75">
      <c r="A6" s="979" t="s">
        <v>1098</v>
      </c>
      <c r="B6" s="980"/>
      <c r="C6" s="980"/>
      <c r="D6" s="980"/>
      <c r="E6" s="981"/>
    </row>
    <row r="7" spans="1:5" ht="12.75">
      <c r="A7" s="982"/>
      <c r="B7" s="983"/>
      <c r="C7" s="983"/>
      <c r="D7" s="983"/>
      <c r="E7" s="984"/>
    </row>
    <row r="8" spans="1:5" ht="13.5" thickBot="1">
      <c r="A8" s="985"/>
      <c r="B8" s="986"/>
      <c r="C8" s="986"/>
      <c r="D8" s="986"/>
      <c r="E8" s="987"/>
    </row>
    <row r="9" spans="1:5" s="434" customFormat="1" ht="13.5">
      <c r="A9" s="57" t="s">
        <v>809</v>
      </c>
      <c r="B9" s="58"/>
      <c r="C9" s="59"/>
      <c r="D9" s="59"/>
      <c r="E9" s="60"/>
    </row>
    <row r="10" spans="1:5" s="434" customFormat="1" ht="13.5">
      <c r="A10" s="57" t="s">
        <v>1099</v>
      </c>
      <c r="B10" s="58"/>
      <c r="C10" s="59"/>
      <c r="D10" s="59"/>
      <c r="E10" s="60"/>
    </row>
    <row r="11" spans="1:5" s="434" customFormat="1" ht="13.5">
      <c r="A11" s="57" t="s">
        <v>1100</v>
      </c>
      <c r="B11" s="58"/>
      <c r="C11" s="59"/>
      <c r="D11" s="59"/>
      <c r="E11" s="60"/>
    </row>
    <row r="12" spans="1:5" s="434" customFormat="1" ht="14.25" thickBot="1">
      <c r="A12" s="57" t="s">
        <v>13</v>
      </c>
      <c r="B12" s="58"/>
      <c r="C12" s="59"/>
      <c r="D12" s="59"/>
      <c r="E12" s="60"/>
    </row>
    <row r="13" spans="1:7" s="434" customFormat="1" ht="14.25" thickBot="1">
      <c r="A13" s="877" t="s">
        <v>14</v>
      </c>
      <c r="B13" s="878"/>
      <c r="C13" s="879"/>
      <c r="D13" s="947"/>
      <c r="E13" s="880">
        <f>C15+C32+C42</f>
        <v>648395</v>
      </c>
      <c r="G13" s="881"/>
    </row>
    <row r="14" ht="13.5" thickBot="1"/>
    <row r="15" spans="1:5" ht="14.25" thickBot="1">
      <c r="A15" s="1013" t="s">
        <v>2</v>
      </c>
      <c r="B15" s="1014"/>
      <c r="C15" s="634">
        <f>C16+C18+C21+C27+C25+C23</f>
        <v>90685</v>
      </c>
      <c r="E15" s="955"/>
    </row>
    <row r="16" spans="1:5" s="214" customFormat="1" ht="13.5">
      <c r="A16" s="11" t="s">
        <v>103</v>
      </c>
      <c r="B16" s="199" t="s">
        <v>104</v>
      </c>
      <c r="C16" s="509">
        <f>SUM(C17)</f>
        <v>21850</v>
      </c>
      <c r="D16" s="89"/>
      <c r="E16" s="956"/>
    </row>
    <row r="17" spans="1:7" s="42" customFormat="1" ht="13.5" customHeight="1">
      <c r="A17" s="12" t="s">
        <v>46</v>
      </c>
      <c r="B17" s="42" t="s">
        <v>45</v>
      </c>
      <c r="C17" s="24">
        <v>21850</v>
      </c>
      <c r="D17" s="22"/>
      <c r="E17" s="31"/>
      <c r="G17" s="54"/>
    </row>
    <row r="18" spans="1:7" s="42" customFormat="1" ht="13.5" customHeight="1">
      <c r="A18" s="11" t="s">
        <v>105</v>
      </c>
      <c r="B18" s="502" t="s">
        <v>106</v>
      </c>
      <c r="C18" s="31">
        <f>SUM(C19:C20)</f>
        <v>22800</v>
      </c>
      <c r="D18" s="22"/>
      <c r="E18" s="31"/>
      <c r="G18" s="54"/>
    </row>
    <row r="19" spans="1:7" s="42" customFormat="1" ht="13.5" customHeight="1">
      <c r="A19" s="12" t="s">
        <v>67</v>
      </c>
      <c r="B19" s="42" t="s">
        <v>68</v>
      </c>
      <c r="C19" s="24">
        <v>6900</v>
      </c>
      <c r="D19" s="22"/>
      <c r="E19" s="31"/>
      <c r="G19" s="54"/>
    </row>
    <row r="20" spans="1:7" s="42" customFormat="1" ht="13.5" customHeight="1">
      <c r="A20" s="12" t="s">
        <v>86</v>
      </c>
      <c r="B20" s="42" t="s">
        <v>66</v>
      </c>
      <c r="C20" s="24">
        <v>15900</v>
      </c>
      <c r="D20" s="22"/>
      <c r="E20" s="31"/>
      <c r="G20" s="54"/>
    </row>
    <row r="21" spans="1:7" s="42" customFormat="1" ht="13.5" customHeight="1">
      <c r="A21" s="11" t="s">
        <v>107</v>
      </c>
      <c r="B21" s="502" t="s">
        <v>108</v>
      </c>
      <c r="C21" s="31">
        <f>SUM(C22)</f>
        <v>14560</v>
      </c>
      <c r="D21" s="22"/>
      <c r="E21" s="31"/>
      <c r="G21" s="54"/>
    </row>
    <row r="22" spans="1:8" s="8" customFormat="1" ht="13.5" customHeight="1">
      <c r="A22" s="12" t="s">
        <v>47</v>
      </c>
      <c r="B22" s="24" t="s">
        <v>48</v>
      </c>
      <c r="C22" s="24">
        <v>14560</v>
      </c>
      <c r="D22" s="77"/>
      <c r="E22" s="25"/>
      <c r="F22" s="98"/>
      <c r="G22" s="54"/>
      <c r="H22" s="42"/>
    </row>
    <row r="23" spans="1:8" s="8" customFormat="1" ht="13.5" customHeight="1">
      <c r="A23" s="249" t="s">
        <v>119</v>
      </c>
      <c r="B23" s="505" t="s">
        <v>192</v>
      </c>
      <c r="C23" s="31">
        <f>SUM(C24)</f>
        <v>8000</v>
      </c>
      <c r="D23" s="77"/>
      <c r="E23" s="25"/>
      <c r="F23" s="98"/>
      <c r="G23" s="54"/>
      <c r="H23" s="42"/>
    </row>
    <row r="24" spans="1:8" s="8" customFormat="1" ht="13.5" customHeight="1">
      <c r="A24" s="71" t="s">
        <v>641</v>
      </c>
      <c r="B24" s="24" t="s">
        <v>753</v>
      </c>
      <c r="C24" s="24">
        <v>8000</v>
      </c>
      <c r="D24" s="77"/>
      <c r="E24" s="25"/>
      <c r="F24" s="98"/>
      <c r="G24" s="54"/>
      <c r="H24" s="42"/>
    </row>
    <row r="25" spans="1:5" s="65" customFormat="1" ht="13.5">
      <c r="A25" s="249" t="s">
        <v>124</v>
      </c>
      <c r="B25" s="505" t="s">
        <v>123</v>
      </c>
      <c r="C25" s="63">
        <f>SUM(C26)</f>
        <v>5400</v>
      </c>
      <c r="D25" s="67"/>
      <c r="E25" s="67"/>
    </row>
    <row r="26" spans="1:8" s="8" customFormat="1" ht="13.5" customHeight="1">
      <c r="A26" s="58" t="s">
        <v>93</v>
      </c>
      <c r="B26" s="58" t="s">
        <v>1101</v>
      </c>
      <c r="C26" s="24">
        <v>5400</v>
      </c>
      <c r="D26" s="77"/>
      <c r="E26" s="25"/>
      <c r="F26" s="194"/>
      <c r="G26" s="54"/>
      <c r="H26" s="54"/>
    </row>
    <row r="27" spans="1:5" s="65" customFormat="1" ht="13.5">
      <c r="A27" s="249" t="s">
        <v>150</v>
      </c>
      <c r="B27" s="25" t="s">
        <v>125</v>
      </c>
      <c r="C27" s="63">
        <f>SUM(C28:C30)</f>
        <v>18075</v>
      </c>
      <c r="D27" s="67"/>
      <c r="E27" s="67"/>
    </row>
    <row r="28" spans="1:5" s="65" customFormat="1" ht="13.5" customHeight="1">
      <c r="A28" s="12" t="s">
        <v>151</v>
      </c>
      <c r="B28" s="24" t="s">
        <v>65</v>
      </c>
      <c r="C28" s="59">
        <v>3875</v>
      </c>
      <c r="D28" s="67"/>
      <c r="E28" s="67"/>
    </row>
    <row r="29" spans="1:5" s="65" customFormat="1" ht="13.5" customHeight="1">
      <c r="A29" s="12" t="s">
        <v>152</v>
      </c>
      <c r="B29" s="24" t="s">
        <v>70</v>
      </c>
      <c r="C29" s="59">
        <v>7800</v>
      </c>
      <c r="D29" s="67"/>
      <c r="E29" s="67"/>
    </row>
    <row r="30" spans="1:8" s="8" customFormat="1" ht="13.5" customHeight="1">
      <c r="A30" s="12" t="s">
        <v>154</v>
      </c>
      <c r="B30" s="23" t="s">
        <v>125</v>
      </c>
      <c r="C30" s="24">
        <v>6400</v>
      </c>
      <c r="D30" s="77"/>
      <c r="E30" s="25"/>
      <c r="F30" s="199"/>
      <c r="G30" s="54"/>
      <c r="H30" s="73"/>
    </row>
    <row r="31" spans="1:8" s="8" customFormat="1" ht="13.5" customHeight="1" thickBot="1">
      <c r="A31" s="12"/>
      <c r="B31" s="24"/>
      <c r="C31" s="24"/>
      <c r="D31" s="77"/>
      <c r="E31" s="25"/>
      <c r="F31" s="199"/>
      <c r="G31" s="54"/>
      <c r="H31" s="73"/>
    </row>
    <row r="32" spans="1:5" s="65" customFormat="1" ht="14.25" thickBot="1">
      <c r="A32" s="1015" t="s">
        <v>3</v>
      </c>
      <c r="B32" s="1016"/>
      <c r="C32" s="635">
        <f>C33+C35+C37</f>
        <v>538330</v>
      </c>
      <c r="D32" s="67"/>
      <c r="E32" s="67"/>
    </row>
    <row r="33" spans="1:9" s="8" customFormat="1" ht="13.5" customHeight="1">
      <c r="A33" s="506" t="s">
        <v>120</v>
      </c>
      <c r="B33" s="507" t="s">
        <v>121</v>
      </c>
      <c r="C33" s="31">
        <f>SUM(C34)</f>
        <v>8500</v>
      </c>
      <c r="D33" s="77"/>
      <c r="E33" s="25"/>
      <c r="F33" s="98"/>
      <c r="G33" s="54"/>
      <c r="H33" s="42"/>
      <c r="I33" s="82"/>
    </row>
    <row r="34" spans="1:8" s="8" customFormat="1" ht="13.5" customHeight="1">
      <c r="A34" s="58" t="s">
        <v>136</v>
      </c>
      <c r="B34" s="58" t="s">
        <v>71</v>
      </c>
      <c r="C34" s="24">
        <v>8500</v>
      </c>
      <c r="D34" s="77"/>
      <c r="E34" s="25"/>
      <c r="F34" s="194"/>
      <c r="G34" s="54"/>
      <c r="H34" s="54"/>
    </row>
    <row r="35" spans="1:8" s="8" customFormat="1" ht="13.5" customHeight="1">
      <c r="A35" s="249" t="s">
        <v>112</v>
      </c>
      <c r="B35" s="25" t="s">
        <v>156</v>
      </c>
      <c r="C35" s="31">
        <f>SUM(C36)</f>
        <v>324500</v>
      </c>
      <c r="D35" s="77"/>
      <c r="E35" s="25"/>
      <c r="F35" s="194"/>
      <c r="G35" s="54"/>
      <c r="H35" s="54"/>
    </row>
    <row r="36" spans="1:6" s="55" customFormat="1" ht="13.5" customHeight="1">
      <c r="A36" s="71" t="s">
        <v>49</v>
      </c>
      <c r="B36" s="23" t="s">
        <v>87</v>
      </c>
      <c r="C36" s="59">
        <v>324500</v>
      </c>
      <c r="F36" s="56"/>
    </row>
    <row r="37" spans="1:6" s="55" customFormat="1" ht="13.5">
      <c r="A37" s="249" t="s">
        <v>115</v>
      </c>
      <c r="B37" s="25" t="s">
        <v>8</v>
      </c>
      <c r="C37" s="63">
        <f>SUM(C38:C40)</f>
        <v>205330</v>
      </c>
      <c r="F37" s="56"/>
    </row>
    <row r="38" spans="1:9" s="55" customFormat="1" ht="13.5" customHeight="1">
      <c r="A38" s="71" t="s">
        <v>92</v>
      </c>
      <c r="B38" s="23" t="s">
        <v>8</v>
      </c>
      <c r="C38" s="59">
        <v>167700</v>
      </c>
      <c r="F38" s="56"/>
      <c r="G38" s="65"/>
      <c r="H38" s="65"/>
      <c r="I38" s="65"/>
    </row>
    <row r="39" spans="1:6" s="55" customFormat="1" ht="13.5" customHeight="1">
      <c r="A39" s="71" t="s">
        <v>182</v>
      </c>
      <c r="B39" s="23" t="s">
        <v>50</v>
      </c>
      <c r="C39" s="59">
        <v>7630</v>
      </c>
      <c r="D39" s="63"/>
      <c r="E39" s="56"/>
      <c r="F39" s="56"/>
    </row>
    <row r="40" spans="1:9" s="65" customFormat="1" ht="13.5" customHeight="1">
      <c r="A40" s="71" t="s">
        <v>90</v>
      </c>
      <c r="B40" s="23" t="s">
        <v>7</v>
      </c>
      <c r="C40" s="59">
        <v>30000</v>
      </c>
      <c r="D40" s="25"/>
      <c r="E40" s="201"/>
      <c r="F40" s="56"/>
      <c r="G40" s="55"/>
      <c r="H40" s="55"/>
      <c r="I40" s="55"/>
    </row>
    <row r="41" spans="1:6" s="65" customFormat="1" ht="14.25" thickBot="1">
      <c r="A41" s="71"/>
      <c r="B41" s="58"/>
      <c r="C41" s="66"/>
      <c r="D41" s="59"/>
      <c r="E41" s="56"/>
      <c r="F41" s="56"/>
    </row>
    <row r="42" spans="1:5" s="65" customFormat="1" ht="14.25" thickBot="1">
      <c r="A42" s="1017" t="s">
        <v>4</v>
      </c>
      <c r="B42" s="1018"/>
      <c r="C42" s="637">
        <f>C43+C45</f>
        <v>19380</v>
      </c>
      <c r="D42" s="67"/>
      <c r="E42" s="67"/>
    </row>
    <row r="43" spans="1:5" s="225" customFormat="1" ht="13.5">
      <c r="A43" s="249" t="s">
        <v>116</v>
      </c>
      <c r="B43" s="199" t="s">
        <v>117</v>
      </c>
      <c r="C43" s="509">
        <f>SUM(C44)</f>
        <v>12820</v>
      </c>
      <c r="D43" s="94"/>
      <c r="E43" s="94"/>
    </row>
    <row r="44" spans="1:5" s="65" customFormat="1" ht="13.5" customHeight="1">
      <c r="A44" s="71" t="s">
        <v>91</v>
      </c>
      <c r="B44" s="69" t="s">
        <v>139</v>
      </c>
      <c r="C44" s="59">
        <v>12820</v>
      </c>
      <c r="D44" s="67"/>
      <c r="E44" s="67"/>
    </row>
    <row r="45" spans="1:5" s="65" customFormat="1" ht="13.5">
      <c r="A45" s="249" t="s">
        <v>165</v>
      </c>
      <c r="B45" s="25" t="s">
        <v>135</v>
      </c>
      <c r="C45" s="63">
        <f>SUM(C46)</f>
        <v>6560</v>
      </c>
      <c r="D45" s="67"/>
      <c r="E45" s="67"/>
    </row>
    <row r="46" spans="1:5" s="65" customFormat="1" ht="13.5" customHeight="1">
      <c r="A46" s="71" t="s">
        <v>166</v>
      </c>
      <c r="B46" s="23" t="s">
        <v>51</v>
      </c>
      <c r="C46" s="59">
        <v>6560</v>
      </c>
      <c r="D46" s="66"/>
      <c r="E46" s="67"/>
    </row>
    <row r="47" spans="3:5" s="65" customFormat="1" ht="12.75">
      <c r="C47" s="56"/>
      <c r="D47" s="67"/>
      <c r="E47" s="67"/>
    </row>
  </sheetData>
  <sheetProtection sheet="1" objects="1" scenarios="1" sort="0" autoFilter="0"/>
  <mergeCells count="4">
    <mergeCell ref="A6:E8"/>
    <mergeCell ref="A15:B15"/>
    <mergeCell ref="A32:B32"/>
    <mergeCell ref="A42:B42"/>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L53"/>
  <sheetViews>
    <sheetView zoomScalePageLayoutView="0" workbookViewId="0" topLeftCell="A1">
      <selection activeCell="H20" sqref="H20"/>
    </sheetView>
  </sheetViews>
  <sheetFormatPr defaultColWidth="11.421875" defaultRowHeight="12.75"/>
  <cols>
    <col min="1" max="1" width="9.7109375" style="908" customWidth="1"/>
    <col min="2" max="2" width="46.7109375" style="913" customWidth="1"/>
    <col min="3" max="3" width="12.7109375" style="457" customWidth="1"/>
    <col min="4" max="4" width="10.7109375" style="914" customWidth="1"/>
    <col min="5" max="5" width="13.7109375" style="911" customWidth="1"/>
    <col min="6" max="6" width="7.421875" style="915" customWidth="1"/>
    <col min="7" max="10" width="12.7109375" style="488" customWidth="1"/>
    <col min="11" max="16384" width="11.421875" style="4" customWidth="1"/>
  </cols>
  <sheetData>
    <row r="1" spans="1:10" s="475" customFormat="1" ht="12.75" customHeight="1">
      <c r="A1" s="525" t="s">
        <v>1047</v>
      </c>
      <c r="B1" s="890"/>
      <c r="C1" s="470"/>
      <c r="D1" s="471"/>
      <c r="E1" s="472"/>
      <c r="F1" s="473"/>
      <c r="G1" s="474"/>
      <c r="H1" s="474"/>
      <c r="I1" s="474"/>
      <c r="J1" s="474"/>
    </row>
    <row r="2" spans="1:10" s="475" customFormat="1" ht="12.75" customHeight="1">
      <c r="A2" s="476"/>
      <c r="B2" s="469"/>
      <c r="C2" s="470"/>
      <c r="D2" s="471"/>
      <c r="E2" s="472"/>
      <c r="F2" s="473"/>
      <c r="G2" s="474"/>
      <c r="H2" s="474"/>
      <c r="I2" s="474"/>
      <c r="J2" s="474"/>
    </row>
    <row r="3" spans="1:6" s="6" customFormat="1" ht="13.5" customHeight="1" thickBot="1">
      <c r="A3" s="71"/>
      <c r="B3" s="174"/>
      <c r="C3" s="23"/>
      <c r="D3" s="218"/>
      <c r="E3" s="152"/>
      <c r="F3" s="211"/>
    </row>
    <row r="4" spans="1:6" s="13" customFormat="1" ht="13.5" customHeight="1">
      <c r="A4" s="891" t="s">
        <v>1048</v>
      </c>
      <c r="B4" s="892"/>
      <c r="C4" s="893"/>
      <c r="D4" s="894" t="s">
        <v>6</v>
      </c>
      <c r="E4" s="895">
        <v>6001</v>
      </c>
      <c r="F4" s="212"/>
    </row>
    <row r="5" spans="1:6" s="13" customFormat="1" ht="13.5" customHeight="1" thickBot="1">
      <c r="A5" s="896"/>
      <c r="B5" s="897"/>
      <c r="C5" s="898"/>
      <c r="D5" s="899"/>
      <c r="E5" s="900"/>
      <c r="F5" s="212"/>
    </row>
    <row r="6" spans="1:6" s="13" customFormat="1" ht="13.5" customHeight="1">
      <c r="A6" s="979" t="s">
        <v>1049</v>
      </c>
      <c r="B6" s="980"/>
      <c r="C6" s="980"/>
      <c r="D6" s="980"/>
      <c r="E6" s="981"/>
      <c r="F6" s="212"/>
    </row>
    <row r="7" spans="1:6" s="13" customFormat="1" ht="13.5" customHeight="1" thickBot="1">
      <c r="A7" s="985"/>
      <c r="B7" s="986"/>
      <c r="C7" s="986"/>
      <c r="D7" s="986"/>
      <c r="E7" s="987"/>
      <c r="F7" s="212"/>
    </row>
    <row r="8" spans="1:6" s="13" customFormat="1" ht="13.5" customHeight="1">
      <c r="A8" s="116" t="s">
        <v>1050</v>
      </c>
      <c r="B8" s="166"/>
      <c r="C8" s="400"/>
      <c r="D8" s="486"/>
      <c r="E8" s="164"/>
      <c r="F8" s="212"/>
    </row>
    <row r="9" spans="1:6" s="13" customFormat="1" ht="13.5" customHeight="1">
      <c r="A9" s="40" t="s">
        <v>1051</v>
      </c>
      <c r="B9" s="138"/>
      <c r="C9" s="24"/>
      <c r="D9" s="215"/>
      <c r="E9" s="136"/>
      <c r="F9" s="212"/>
    </row>
    <row r="10" spans="1:6" s="13" customFormat="1" ht="13.5" customHeight="1">
      <c r="A10" s="40" t="s">
        <v>1052</v>
      </c>
      <c r="B10" s="138"/>
      <c r="C10" s="24"/>
      <c r="D10" s="215"/>
      <c r="E10" s="136"/>
      <c r="F10" s="212"/>
    </row>
    <row r="11" spans="1:6" s="13" customFormat="1" ht="13.5" customHeight="1" thickBot="1">
      <c r="A11" s="75" t="s">
        <v>11</v>
      </c>
      <c r="B11" s="134"/>
      <c r="C11" s="360"/>
      <c r="D11" s="487"/>
      <c r="E11" s="132"/>
      <c r="F11" s="212"/>
    </row>
    <row r="12" spans="1:6" s="13" customFormat="1" ht="13.5" customHeight="1" thickBot="1">
      <c r="A12" s="901" t="s">
        <v>0</v>
      </c>
      <c r="B12" s="902"/>
      <c r="C12" s="903" t="s">
        <v>201</v>
      </c>
      <c r="D12" s="904"/>
      <c r="E12" s="905">
        <f>C14+C20+C27</f>
        <v>181570</v>
      </c>
      <c r="F12" s="906"/>
    </row>
    <row r="13" spans="1:12" s="6" customFormat="1" ht="13.5" customHeight="1" thickBot="1">
      <c r="A13" s="11"/>
      <c r="B13" s="168"/>
      <c r="C13" s="31"/>
      <c r="D13" s="477"/>
      <c r="E13" s="44"/>
      <c r="F13" s="211"/>
      <c r="G13" s="55"/>
      <c r="H13" s="55"/>
      <c r="I13" s="55"/>
      <c r="J13" s="55"/>
      <c r="K13" s="55"/>
      <c r="L13" s="13"/>
    </row>
    <row r="14" spans="1:12" s="8" customFormat="1" ht="13.5" customHeight="1" thickBot="1">
      <c r="A14" s="992" t="s">
        <v>2</v>
      </c>
      <c r="B14" s="993"/>
      <c r="C14" s="602">
        <f>C15+C17</f>
        <v>14950</v>
      </c>
      <c r="D14" s="67"/>
      <c r="E14" s="484"/>
      <c r="F14" s="194"/>
      <c r="G14" s="199"/>
      <c r="H14" s="84"/>
      <c r="I14" s="42"/>
      <c r="J14" s="42"/>
      <c r="K14" s="42"/>
      <c r="L14" s="42"/>
    </row>
    <row r="15" spans="1:11" s="98" customFormat="1" ht="13.5" customHeight="1">
      <c r="A15" s="11" t="s">
        <v>107</v>
      </c>
      <c r="B15" s="502" t="s">
        <v>108</v>
      </c>
      <c r="C15" s="32">
        <f>SUM(C16)</f>
        <v>8500</v>
      </c>
      <c r="D15" s="94"/>
      <c r="E15" s="907"/>
      <c r="H15" s="54"/>
      <c r="I15" s="42"/>
      <c r="J15" s="42"/>
      <c r="K15" s="42"/>
    </row>
    <row r="16" spans="1:12" s="65" customFormat="1" ht="13.5">
      <c r="A16" s="12" t="s">
        <v>47</v>
      </c>
      <c r="B16" s="23" t="s">
        <v>48</v>
      </c>
      <c r="C16" s="24">
        <f>8500</f>
        <v>8500</v>
      </c>
      <c r="D16" s="461"/>
      <c r="E16" s="461"/>
      <c r="F16" s="461"/>
      <c r="G16" s="199"/>
      <c r="H16" s="54"/>
      <c r="I16" s="73"/>
      <c r="J16" s="42"/>
      <c r="K16" s="42"/>
      <c r="L16" s="55"/>
    </row>
    <row r="17" spans="1:12" s="65" customFormat="1" ht="13.5">
      <c r="A17" s="249" t="s">
        <v>150</v>
      </c>
      <c r="B17" s="25" t="s">
        <v>133</v>
      </c>
      <c r="C17" s="31">
        <f>SUM(C18)</f>
        <v>6450</v>
      </c>
      <c r="D17" s="461"/>
      <c r="E17" s="461"/>
      <c r="F17" s="461"/>
      <c r="G17" s="482"/>
      <c r="H17" s="55"/>
      <c r="I17" s="55"/>
      <c r="J17" s="55"/>
      <c r="K17" s="55"/>
      <c r="L17" s="55"/>
    </row>
    <row r="18" spans="1:12" s="65" customFormat="1" ht="13.5">
      <c r="A18" s="71" t="s">
        <v>154</v>
      </c>
      <c r="B18" s="23" t="s">
        <v>125</v>
      </c>
      <c r="C18" s="59">
        <f>6450</f>
        <v>6450</v>
      </c>
      <c r="D18" s="461"/>
      <c r="E18" s="461"/>
      <c r="F18" s="461"/>
      <c r="G18" s="482"/>
      <c r="H18" s="55"/>
      <c r="I18" s="55"/>
      <c r="J18" s="55"/>
      <c r="K18" s="55"/>
      <c r="L18" s="55"/>
    </row>
    <row r="19" spans="1:12" s="65" customFormat="1" ht="14.25" thickBot="1">
      <c r="A19" s="71"/>
      <c r="B19" s="23"/>
      <c r="C19" s="66"/>
      <c r="D19" s="461"/>
      <c r="E19" s="461"/>
      <c r="F19" s="461"/>
      <c r="G19" s="482"/>
      <c r="H19" s="55"/>
      <c r="I19" s="55"/>
      <c r="J19" s="55"/>
      <c r="K19" s="55"/>
      <c r="L19" s="55"/>
    </row>
    <row r="20" spans="1:12" s="8" customFormat="1" ht="13.5" customHeight="1" thickBot="1">
      <c r="A20" s="994" t="s">
        <v>3</v>
      </c>
      <c r="B20" s="995"/>
      <c r="C20" s="603">
        <f>C21+C23</f>
        <v>153000</v>
      </c>
      <c r="D20" s="56"/>
      <c r="E20" s="444"/>
      <c r="F20" s="98"/>
      <c r="G20" s="42"/>
      <c r="H20" s="42"/>
      <c r="I20" s="42"/>
      <c r="J20" s="42"/>
      <c r="K20" s="42"/>
      <c r="L20" s="42"/>
    </row>
    <row r="21" spans="1:8" s="100" customFormat="1" ht="13.5" customHeight="1">
      <c r="A21" s="11" t="s">
        <v>339</v>
      </c>
      <c r="B21" s="281" t="s">
        <v>340</v>
      </c>
      <c r="C21" s="32">
        <f>SUM(C22)</f>
        <v>15500</v>
      </c>
      <c r="D21" s="223"/>
      <c r="E21" s="223"/>
      <c r="F21" s="334"/>
      <c r="G21" s="334"/>
      <c r="H21" s="95"/>
    </row>
    <row r="22" spans="1:9" s="71" customFormat="1" ht="13.5" customHeight="1">
      <c r="A22" s="12" t="s">
        <v>347</v>
      </c>
      <c r="B22" s="12" t="s">
        <v>348</v>
      </c>
      <c r="C22" s="22">
        <f>15500</f>
        <v>15500</v>
      </c>
      <c r="D22" s="95"/>
      <c r="E22" s="31"/>
      <c r="F22" s="100"/>
      <c r="G22" s="95"/>
      <c r="H22" s="12"/>
      <c r="I22" s="23"/>
    </row>
    <row r="23" spans="1:5" s="98" customFormat="1" ht="13.5" customHeight="1">
      <c r="A23" s="506" t="s">
        <v>115</v>
      </c>
      <c r="B23" s="31" t="s">
        <v>8</v>
      </c>
      <c r="C23" s="32">
        <f>SUM(C24:C25)</f>
        <v>137500</v>
      </c>
      <c r="D23" s="94"/>
      <c r="E23" s="150"/>
    </row>
    <row r="24" spans="1:10" s="8" customFormat="1" ht="13.5" customHeight="1">
      <c r="A24" s="71" t="s">
        <v>92</v>
      </c>
      <c r="B24" s="24" t="s">
        <v>8</v>
      </c>
      <c r="C24" s="24">
        <f>9500*12</f>
        <v>114000</v>
      </c>
      <c r="D24" s="42"/>
      <c r="E24" s="336"/>
      <c r="F24" s="340"/>
      <c r="G24" s="481"/>
      <c r="H24" s="42"/>
      <c r="J24" s="82"/>
    </row>
    <row r="25" spans="1:7" s="8" customFormat="1" ht="13.5" customHeight="1">
      <c r="A25" s="71" t="s">
        <v>90</v>
      </c>
      <c r="B25" s="24" t="s">
        <v>7</v>
      </c>
      <c r="C25" s="59">
        <f>23500</f>
        <v>23500</v>
      </c>
      <c r="D25" s="481"/>
      <c r="E25" s="336"/>
      <c r="F25" s="461"/>
      <c r="G25" s="484"/>
    </row>
    <row r="26" spans="1:7" s="8" customFormat="1" ht="13.5" customHeight="1" thickBot="1">
      <c r="A26" s="71"/>
      <c r="B26" s="24"/>
      <c r="C26" s="59"/>
      <c r="D26" s="481"/>
      <c r="E26" s="336"/>
      <c r="F26" s="461"/>
      <c r="G26" s="484"/>
    </row>
    <row r="27" spans="1:6" s="8" customFormat="1" ht="13.5" customHeight="1" thickBot="1">
      <c r="A27" s="996" t="s">
        <v>4</v>
      </c>
      <c r="B27" s="997"/>
      <c r="C27" s="605">
        <f>C28+C30</f>
        <v>13620</v>
      </c>
      <c r="D27" s="56"/>
      <c r="E27" s="72"/>
      <c r="F27" s="98"/>
    </row>
    <row r="28" spans="1:5" s="98" customFormat="1" ht="13.5" customHeight="1">
      <c r="A28" s="249" t="s">
        <v>116</v>
      </c>
      <c r="B28" s="199" t="s">
        <v>117</v>
      </c>
      <c r="C28" s="32">
        <f>SUM(C29)</f>
        <v>7980</v>
      </c>
      <c r="D28" s="94"/>
      <c r="E28" s="150"/>
    </row>
    <row r="29" spans="1:7" s="65" customFormat="1" ht="13.5">
      <c r="A29" s="69" t="s">
        <v>91</v>
      </c>
      <c r="B29" s="69" t="s">
        <v>139</v>
      </c>
      <c r="C29" s="59">
        <f>6650*1.2</f>
        <v>7980</v>
      </c>
      <c r="D29" s="468"/>
      <c r="E29" s="468"/>
      <c r="F29" s="468"/>
      <c r="G29" s="485"/>
    </row>
    <row r="30" spans="1:7" s="65" customFormat="1" ht="13.5">
      <c r="A30" s="249" t="s">
        <v>165</v>
      </c>
      <c r="B30" s="25" t="s">
        <v>134</v>
      </c>
      <c r="C30" s="63">
        <f>SUM(C31)</f>
        <v>5640</v>
      </c>
      <c r="D30" s="468"/>
      <c r="E30" s="468"/>
      <c r="F30" s="468"/>
      <c r="G30" s="485"/>
    </row>
    <row r="31" spans="1:7" s="65" customFormat="1" ht="13.5">
      <c r="A31" s="71" t="s">
        <v>166</v>
      </c>
      <c r="B31" s="23" t="s">
        <v>51</v>
      </c>
      <c r="C31" s="59">
        <f>4700*1.2</f>
        <v>5640</v>
      </c>
      <c r="D31" s="468"/>
      <c r="E31" s="468"/>
      <c r="F31" s="468"/>
      <c r="G31" s="485"/>
    </row>
    <row r="32" spans="1:6" s="6" customFormat="1" ht="13.5" customHeight="1">
      <c r="A32" s="71"/>
      <c r="B32" s="71"/>
      <c r="C32" s="24"/>
      <c r="D32" s="218"/>
      <c r="E32" s="152"/>
      <c r="F32" s="211"/>
    </row>
    <row r="33" spans="2:6" ht="13.5">
      <c r="B33" s="909"/>
      <c r="C33" s="292"/>
      <c r="D33" s="910"/>
      <c r="F33" s="912"/>
    </row>
    <row r="43" spans="1:6" s="6" customFormat="1" ht="13.5" customHeight="1">
      <c r="A43" s="10"/>
      <c r="B43" s="916"/>
      <c r="C43" s="28"/>
      <c r="D43" s="219"/>
      <c r="E43" s="152"/>
      <c r="F43" s="211"/>
    </row>
    <row r="44" spans="1:6" s="6" customFormat="1" ht="13.5" customHeight="1">
      <c r="A44" s="10"/>
      <c r="B44" s="916"/>
      <c r="C44" s="28"/>
      <c r="D44" s="917"/>
      <c r="E44" s="152"/>
      <c r="F44" s="211"/>
    </row>
    <row r="45" spans="1:6" s="6" customFormat="1" ht="13.5" customHeight="1">
      <c r="A45" s="10"/>
      <c r="B45" s="916"/>
      <c r="C45" s="28"/>
      <c r="D45" s="917"/>
      <c r="E45" s="152"/>
      <c r="F45" s="211"/>
    </row>
    <row r="46" spans="1:6" s="6" customFormat="1" ht="13.5" customHeight="1">
      <c r="A46" s="10"/>
      <c r="B46" s="916"/>
      <c r="C46" s="28"/>
      <c r="D46" s="917"/>
      <c r="E46" s="152"/>
      <c r="F46" s="211"/>
    </row>
    <row r="47" spans="1:6" s="6" customFormat="1" ht="13.5" customHeight="1">
      <c r="A47" s="10"/>
      <c r="B47" s="916"/>
      <c r="C47" s="28"/>
      <c r="D47" s="917"/>
      <c r="E47" s="152"/>
      <c r="F47" s="211"/>
    </row>
    <row r="48" spans="1:6" s="6" customFormat="1" ht="13.5" customHeight="1">
      <c r="A48" s="10"/>
      <c r="B48" s="916"/>
      <c r="C48" s="28"/>
      <c r="D48" s="917"/>
      <c r="E48" s="152"/>
      <c r="F48" s="211"/>
    </row>
    <row r="49" spans="1:6" s="6" customFormat="1" ht="13.5" customHeight="1">
      <c r="A49" s="10"/>
      <c r="B49" s="916"/>
      <c r="C49" s="28"/>
      <c r="D49" s="917"/>
      <c r="E49" s="152"/>
      <c r="F49" s="211"/>
    </row>
    <row r="50" spans="1:6" s="6" customFormat="1" ht="13.5" customHeight="1">
      <c r="A50" s="10"/>
      <c r="B50" s="916"/>
      <c r="C50" s="28"/>
      <c r="D50" s="917"/>
      <c r="E50" s="152"/>
      <c r="F50" s="211"/>
    </row>
    <row r="51" spans="1:6" s="6" customFormat="1" ht="13.5" customHeight="1">
      <c r="A51" s="10"/>
      <c r="B51" s="916"/>
      <c r="C51" s="28"/>
      <c r="D51" s="917"/>
      <c r="E51" s="152"/>
      <c r="F51" s="211"/>
    </row>
    <row r="52" spans="1:6" s="6" customFormat="1" ht="13.5" customHeight="1">
      <c r="A52" s="10"/>
      <c r="B52" s="916"/>
      <c r="C52" s="28"/>
      <c r="D52" s="917"/>
      <c r="E52" s="152"/>
      <c r="F52" s="211"/>
    </row>
    <row r="53" spans="1:6" s="6" customFormat="1" ht="13.5" customHeight="1">
      <c r="A53" s="10"/>
      <c r="B53" s="916"/>
      <c r="C53" s="28"/>
      <c r="D53" s="917"/>
      <c r="E53" s="152"/>
      <c r="F53" s="211"/>
    </row>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sheetData>
  <sheetProtection sheet="1" objects="1" scenarios="1" sort="0" autoFilter="0"/>
  <mergeCells count="4">
    <mergeCell ref="A6:E7"/>
    <mergeCell ref="A14:B14"/>
    <mergeCell ref="A20:B20"/>
    <mergeCell ref="A27:B27"/>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theme="4" tint="-0.24997000396251678"/>
  </sheetPr>
  <dimension ref="A1:IU788"/>
  <sheetViews>
    <sheetView zoomScale="120" zoomScaleNormal="120" zoomScaleSheetLayoutView="100" zoomScalePageLayoutView="115" workbookViewId="0" topLeftCell="A380">
      <selection activeCell="D474" sqref="D474"/>
    </sheetView>
  </sheetViews>
  <sheetFormatPr defaultColWidth="11.421875" defaultRowHeight="12.75"/>
  <cols>
    <col min="1" max="1" width="9.7109375" style="51" customWidth="1"/>
    <col min="2" max="2" width="46.7109375" style="51" customWidth="1"/>
    <col min="3" max="3" width="12.7109375" style="61" customWidth="1"/>
    <col min="4" max="4" width="10.7109375" style="61" customWidth="1"/>
    <col min="5" max="5" width="15.7109375" style="61" customWidth="1"/>
    <col min="6" max="6" width="18.421875" style="51" customWidth="1"/>
    <col min="7" max="7" width="15.421875" style="51" customWidth="1"/>
    <col min="8" max="16384" width="11.421875" style="51" customWidth="1"/>
  </cols>
  <sheetData>
    <row r="1" spans="1:7" ht="15.75">
      <c r="A1" s="560"/>
      <c r="B1" s="782" t="s">
        <v>1023</v>
      </c>
      <c r="F1" s="794"/>
      <c r="G1" s="784"/>
    </row>
    <row r="2" ht="12.75">
      <c r="A2" s="433"/>
    </row>
    <row r="3" ht="13.5" thickBot="1"/>
    <row r="4" spans="1:5" s="434" customFormat="1" ht="13.5" customHeight="1">
      <c r="A4" s="1040" t="s">
        <v>835</v>
      </c>
      <c r="B4" s="1041"/>
      <c r="C4" s="1042"/>
      <c r="D4" s="639" t="s">
        <v>6</v>
      </c>
      <c r="E4" s="754" t="s">
        <v>1024</v>
      </c>
    </row>
    <row r="5" spans="1:5" s="434" customFormat="1" ht="14.25" thickBot="1">
      <c r="A5" s="1043"/>
      <c r="B5" s="1044"/>
      <c r="C5" s="1045"/>
      <c r="D5" s="676"/>
      <c r="E5" s="677"/>
    </row>
    <row r="6" spans="1:5" ht="12.75" customHeight="1">
      <c r="A6" s="979" t="s">
        <v>837</v>
      </c>
      <c r="B6" s="980"/>
      <c r="C6" s="980"/>
      <c r="D6" s="980"/>
      <c r="E6" s="981"/>
    </row>
    <row r="7" spans="1:5" ht="12.75">
      <c r="A7" s="982"/>
      <c r="B7" s="983"/>
      <c r="C7" s="983"/>
      <c r="D7" s="983"/>
      <c r="E7" s="984"/>
    </row>
    <row r="8" spans="1:5" ht="12.75">
      <c r="A8" s="982"/>
      <c r="B8" s="983"/>
      <c r="C8" s="983"/>
      <c r="D8" s="983"/>
      <c r="E8" s="984"/>
    </row>
    <row r="9" spans="1:5" ht="12.75">
      <c r="A9" s="982"/>
      <c r="B9" s="983"/>
      <c r="C9" s="983"/>
      <c r="D9" s="983"/>
      <c r="E9" s="984"/>
    </row>
    <row r="10" spans="1:5" ht="13.5" thickBot="1">
      <c r="A10" s="985"/>
      <c r="B10" s="986"/>
      <c r="C10" s="986"/>
      <c r="D10" s="986"/>
      <c r="E10" s="987"/>
    </row>
    <row r="11" spans="1:5" s="434" customFormat="1" ht="13.5">
      <c r="A11" s="57" t="s">
        <v>809</v>
      </c>
      <c r="B11" s="58"/>
      <c r="C11" s="59"/>
      <c r="D11" s="59"/>
      <c r="E11" s="60"/>
    </row>
    <row r="12" spans="1:5" s="434" customFormat="1" ht="13.5">
      <c r="A12" s="57" t="s">
        <v>566</v>
      </c>
      <c r="B12" s="58"/>
      <c r="C12" s="59"/>
      <c r="D12" s="59"/>
      <c r="E12" s="60"/>
    </row>
    <row r="13" spans="1:5" s="434" customFormat="1" ht="13.5">
      <c r="A13" s="57" t="s">
        <v>567</v>
      </c>
      <c r="B13" s="58"/>
      <c r="C13" s="59"/>
      <c r="D13" s="59"/>
      <c r="E13" s="60"/>
    </row>
    <row r="14" spans="1:5" s="434" customFormat="1" ht="14.25" thickBot="1">
      <c r="A14" s="57" t="s">
        <v>13</v>
      </c>
      <c r="B14" s="58"/>
      <c r="C14" s="59"/>
      <c r="D14" s="59"/>
      <c r="E14" s="60"/>
    </row>
    <row r="15" spans="1:7" s="434" customFormat="1" ht="14.25" thickBot="1">
      <c r="A15" s="678" t="s">
        <v>14</v>
      </c>
      <c r="B15" s="679"/>
      <c r="C15" s="680"/>
      <c r="D15" s="681"/>
      <c r="E15" s="682">
        <f>+C17</f>
        <v>49548222</v>
      </c>
      <c r="F15" s="228"/>
      <c r="G15" s="228"/>
    </row>
    <row r="16" spans="1:5" s="220" customFormat="1" ht="14.25" thickBot="1">
      <c r="A16" s="62"/>
      <c r="B16" s="62"/>
      <c r="C16" s="63"/>
      <c r="D16" s="63"/>
      <c r="E16" s="63"/>
    </row>
    <row r="17" spans="1:5" s="220" customFormat="1" ht="14.25" thickBot="1">
      <c r="A17" s="1046" t="s">
        <v>1</v>
      </c>
      <c r="B17" s="1047"/>
      <c r="C17" s="683">
        <f>C18+C25+C32</f>
        <v>49548222</v>
      </c>
      <c r="D17" s="63"/>
      <c r="E17" s="821"/>
    </row>
    <row r="18" spans="1:6" s="42" customFormat="1" ht="12.75" customHeight="1">
      <c r="A18" s="11" t="s">
        <v>97</v>
      </c>
      <c r="B18" s="199" t="s">
        <v>98</v>
      </c>
      <c r="C18" s="31">
        <f>SUM(C19:C24)</f>
        <v>25913821.999999996</v>
      </c>
      <c r="D18" s="22"/>
      <c r="E18" s="822"/>
      <c r="F18" s="94"/>
    </row>
    <row r="19" spans="1:6" s="8" customFormat="1" ht="12.75" customHeight="1">
      <c r="A19" s="12" t="s">
        <v>23</v>
      </c>
      <c r="B19" s="24" t="s">
        <v>20</v>
      </c>
      <c r="C19" s="24">
        <f>3632434.91+1150977.88+20210538.4+0.81-4000000</f>
        <v>20993951.999999996</v>
      </c>
      <c r="D19" s="22"/>
      <c r="E19" s="25"/>
      <c r="F19" s="91"/>
    </row>
    <row r="20" spans="1:6" s="8" customFormat="1" ht="12.75" customHeight="1">
      <c r="A20" s="12" t="s">
        <v>24</v>
      </c>
      <c r="B20" s="24" t="s">
        <v>22</v>
      </c>
      <c r="C20" s="24">
        <f>3321968.13+908109.02+1270.88-0.03-1000000</f>
        <v>3231348</v>
      </c>
      <c r="D20" s="22"/>
      <c r="E20" s="25"/>
      <c r="F20" s="91"/>
    </row>
    <row r="21" spans="1:6" s="9" customFormat="1" ht="12.75" customHeight="1">
      <c r="A21" s="12" t="s">
        <v>25</v>
      </c>
      <c r="B21" s="24" t="s">
        <v>76</v>
      </c>
      <c r="C21" s="24">
        <f>629382+55000</f>
        <v>684382</v>
      </c>
      <c r="D21" s="22"/>
      <c r="E21" s="25"/>
      <c r="F21" s="91"/>
    </row>
    <row r="22" spans="1:6" s="9" customFormat="1" ht="12.75" customHeight="1">
      <c r="A22" s="12" t="s">
        <v>26</v>
      </c>
      <c r="B22" s="24" t="s">
        <v>77</v>
      </c>
      <c r="C22" s="24">
        <v>1</v>
      </c>
      <c r="D22" s="22"/>
      <c r="E22" s="25"/>
      <c r="F22" s="91"/>
    </row>
    <row r="23" spans="1:6" s="9" customFormat="1" ht="12.75" customHeight="1">
      <c r="A23" s="12" t="s">
        <v>27</v>
      </c>
      <c r="B23" s="24" t="s">
        <v>21</v>
      </c>
      <c r="C23" s="24">
        <f>25398+381720</f>
        <v>407118</v>
      </c>
      <c r="D23" s="22"/>
      <c r="E23" s="25"/>
      <c r="F23" s="91"/>
    </row>
    <row r="24" spans="1:6" s="9" customFormat="1" ht="12.75" customHeight="1">
      <c r="A24" s="12" t="s">
        <v>28</v>
      </c>
      <c r="B24" s="24" t="s">
        <v>19</v>
      </c>
      <c r="C24" s="24">
        <v>597021</v>
      </c>
      <c r="D24" s="22"/>
      <c r="E24" s="25"/>
      <c r="F24" s="91"/>
    </row>
    <row r="25" spans="1:6" s="9" customFormat="1" ht="12.75" customHeight="1">
      <c r="A25" s="11" t="s">
        <v>99</v>
      </c>
      <c r="B25" s="31" t="s">
        <v>100</v>
      </c>
      <c r="C25" s="31">
        <f>SUM(C26:C31)</f>
        <v>3738375</v>
      </c>
      <c r="D25" s="22"/>
      <c r="E25" s="25"/>
      <c r="F25" s="91"/>
    </row>
    <row r="26" spans="1:6" s="9" customFormat="1" ht="12.75" customHeight="1">
      <c r="A26" s="12" t="s">
        <v>30</v>
      </c>
      <c r="B26" s="24" t="s">
        <v>78</v>
      </c>
      <c r="C26" s="24">
        <f>411500.96+1441668.41+0.63</f>
        <v>1853169.9999999998</v>
      </c>
      <c r="D26" s="22"/>
      <c r="E26" s="25"/>
      <c r="F26" s="92"/>
    </row>
    <row r="27" spans="1:8" s="8" customFormat="1" ht="12.75" customHeight="1">
      <c r="A27" s="12" t="s">
        <v>31</v>
      </c>
      <c r="B27" s="24" t="s">
        <v>79</v>
      </c>
      <c r="C27" s="24">
        <f>1294593.8+360417.2</f>
        <v>1655011</v>
      </c>
      <c r="D27" s="22"/>
      <c r="E27" s="25"/>
      <c r="F27" s="53"/>
      <c r="G27" s="42"/>
      <c r="H27" s="42"/>
    </row>
    <row r="28" spans="1:6" s="8" customFormat="1" ht="12.75" customHeight="1">
      <c r="A28" s="12" t="s">
        <v>32</v>
      </c>
      <c r="B28" s="24" t="s">
        <v>80</v>
      </c>
      <c r="C28" s="24">
        <v>230191</v>
      </c>
      <c r="D28" s="22"/>
      <c r="E28" s="25"/>
      <c r="F28" s="91"/>
    </row>
    <row r="29" spans="1:6" s="9" customFormat="1" ht="12.75" customHeight="1">
      <c r="A29" s="12" t="s">
        <v>33</v>
      </c>
      <c r="B29" s="24" t="s">
        <v>81</v>
      </c>
      <c r="C29" s="24">
        <v>1</v>
      </c>
      <c r="D29" s="22"/>
      <c r="E29" s="25"/>
      <c r="F29" s="91"/>
    </row>
    <row r="30" spans="1:6" s="9" customFormat="1" ht="12.75" customHeight="1">
      <c r="A30" s="12" t="s">
        <v>34</v>
      </c>
      <c r="B30" s="24" t="s">
        <v>29</v>
      </c>
      <c r="C30" s="24">
        <v>1</v>
      </c>
      <c r="D30" s="22"/>
      <c r="E30" s="25"/>
      <c r="F30" s="91"/>
    </row>
    <row r="31" spans="1:6" s="9" customFormat="1" ht="12.75" customHeight="1">
      <c r="A31" s="12" t="s">
        <v>83</v>
      </c>
      <c r="B31" s="24" t="s">
        <v>82</v>
      </c>
      <c r="C31" s="24">
        <v>1</v>
      </c>
      <c r="D31" s="22"/>
      <c r="E31" s="25"/>
      <c r="F31" s="92"/>
    </row>
    <row r="32" spans="1:6" s="9" customFormat="1" ht="12.75" customHeight="1">
      <c r="A32" s="11" t="s">
        <v>101</v>
      </c>
      <c r="B32" s="31" t="s">
        <v>102</v>
      </c>
      <c r="C32" s="31">
        <f>SUM(C33:C38)</f>
        <v>19896025.000000004</v>
      </c>
      <c r="D32" s="22"/>
      <c r="E32" s="25"/>
      <c r="F32" s="92"/>
    </row>
    <row r="33" spans="1:6" s="8" customFormat="1" ht="12.75" customHeight="1">
      <c r="A33" s="12" t="s">
        <v>39</v>
      </c>
      <c r="B33" s="24" t="s">
        <v>35</v>
      </c>
      <c r="C33" s="24">
        <f>2872932.14+847657.46+15702109.8+0.6-4000000</f>
        <v>15422700.000000004</v>
      </c>
      <c r="D33" s="22"/>
      <c r="E33" s="25"/>
      <c r="F33" s="91"/>
    </row>
    <row r="34" spans="1:6" s="8" customFormat="1" ht="12.75" customHeight="1">
      <c r="A34" s="12" t="s">
        <v>40</v>
      </c>
      <c r="B34" s="24" t="s">
        <v>37</v>
      </c>
      <c r="C34" s="24">
        <f>2643948.9+718233.1</f>
        <v>3362182</v>
      </c>
      <c r="D34" s="22"/>
      <c r="E34" s="25"/>
      <c r="F34" s="91"/>
    </row>
    <row r="35" spans="1:6" s="9" customFormat="1" ht="12.75" customHeight="1">
      <c r="A35" s="12" t="s">
        <v>41</v>
      </c>
      <c r="B35" s="24" t="s">
        <v>84</v>
      </c>
      <c r="C35" s="24">
        <v>505371</v>
      </c>
      <c r="D35" s="22"/>
      <c r="E35" s="25"/>
      <c r="F35" s="91"/>
    </row>
    <row r="36" spans="1:6" s="9" customFormat="1" ht="12.75" customHeight="1">
      <c r="A36" s="12" t="s">
        <v>42</v>
      </c>
      <c r="B36" s="24" t="s">
        <v>85</v>
      </c>
      <c r="C36" s="24">
        <v>1</v>
      </c>
      <c r="D36" s="22"/>
      <c r="E36" s="25"/>
      <c r="F36" s="91"/>
    </row>
    <row r="37" spans="1:6" s="9" customFormat="1" ht="12.75" customHeight="1">
      <c r="A37" s="12" t="s">
        <v>43</v>
      </c>
      <c r="B37" s="24" t="s">
        <v>36</v>
      </c>
      <c r="C37" s="24">
        <f>574728+31042</f>
        <v>605770</v>
      </c>
      <c r="D37" s="22"/>
      <c r="E37" s="25"/>
      <c r="F37" s="91"/>
    </row>
    <row r="38" spans="1:6" s="9" customFormat="1" ht="12.75" customHeight="1">
      <c r="A38" s="12" t="s">
        <v>44</v>
      </c>
      <c r="B38" s="24" t="s">
        <v>38</v>
      </c>
      <c r="C38" s="24">
        <v>1</v>
      </c>
      <c r="D38" s="22"/>
      <c r="E38" s="25"/>
      <c r="F38" s="91"/>
    </row>
    <row r="39" spans="1:6" s="9" customFormat="1" ht="12.75" customHeight="1">
      <c r="A39" s="12"/>
      <c r="B39" s="24"/>
      <c r="C39" s="24"/>
      <c r="D39" s="22"/>
      <c r="E39" s="25"/>
      <c r="F39" s="91"/>
    </row>
    <row r="40" spans="1:3" ht="14.25" thickBot="1">
      <c r="A40" s="69"/>
      <c r="B40" s="69"/>
      <c r="C40" s="66"/>
    </row>
    <row r="41" spans="1:5" ht="14.25" customHeight="1">
      <c r="A41" s="988" t="s">
        <v>760</v>
      </c>
      <c r="B41" s="1009"/>
      <c r="C41" s="989"/>
      <c r="D41" s="639" t="s">
        <v>6</v>
      </c>
      <c r="E41" s="754" t="s">
        <v>1025</v>
      </c>
    </row>
    <row r="42" spans="1:5" ht="12.75" customHeight="1" thickBot="1">
      <c r="A42" s="990"/>
      <c r="B42" s="1010"/>
      <c r="C42" s="991"/>
      <c r="D42" s="643"/>
      <c r="E42" s="644"/>
    </row>
    <row r="43" spans="1:5" ht="12.75" customHeight="1">
      <c r="A43" s="979" t="s">
        <v>839</v>
      </c>
      <c r="B43" s="980"/>
      <c r="C43" s="980"/>
      <c r="D43" s="980"/>
      <c r="E43" s="981"/>
    </row>
    <row r="44" spans="1:5" ht="12.75">
      <c r="A44" s="982"/>
      <c r="B44" s="983"/>
      <c r="C44" s="983"/>
      <c r="D44" s="983"/>
      <c r="E44" s="984"/>
    </row>
    <row r="45" spans="1:5" ht="13.5" thickBot="1">
      <c r="A45" s="982"/>
      <c r="B45" s="983"/>
      <c r="C45" s="983"/>
      <c r="D45" s="983"/>
      <c r="E45" s="984"/>
    </row>
    <row r="46" spans="1:5" s="434" customFormat="1" ht="13.5">
      <c r="A46" s="436" t="s">
        <v>809</v>
      </c>
      <c r="B46" s="163"/>
      <c r="C46" s="162"/>
      <c r="D46" s="162"/>
      <c r="E46" s="161"/>
    </row>
    <row r="47" spans="1:5" ht="13.5">
      <c r="A47" s="57" t="s">
        <v>566</v>
      </c>
      <c r="B47" s="58"/>
      <c r="C47" s="59"/>
      <c r="D47" s="59"/>
      <c r="E47" s="60"/>
    </row>
    <row r="48" spans="1:5" ht="13.5">
      <c r="A48" s="57" t="s">
        <v>567</v>
      </c>
      <c r="B48" s="58"/>
      <c r="C48" s="59"/>
      <c r="D48" s="59"/>
      <c r="E48" s="60"/>
    </row>
    <row r="49" spans="1:5" ht="14.25" thickBot="1">
      <c r="A49" s="160" t="s">
        <v>13</v>
      </c>
      <c r="B49" s="159"/>
      <c r="C49" s="158"/>
      <c r="D49" s="158"/>
      <c r="E49" s="157"/>
    </row>
    <row r="50" spans="1:7" ht="14.25" thickBot="1">
      <c r="A50" s="678" t="s">
        <v>14</v>
      </c>
      <c r="B50" s="684"/>
      <c r="C50" s="685"/>
      <c r="D50" s="686"/>
      <c r="E50" s="682">
        <f>+C52+C76+C96+C102+D122</f>
        <v>11078451</v>
      </c>
      <c r="F50" s="61"/>
      <c r="G50" s="61"/>
    </row>
    <row r="51" spans="1:5" ht="14.25" thickBot="1">
      <c r="A51" s="62"/>
      <c r="B51" s="62"/>
      <c r="C51" s="63"/>
      <c r="D51" s="63"/>
      <c r="E51" s="821"/>
    </row>
    <row r="52" spans="1:6" ht="14.25" thickBot="1">
      <c r="A52" s="1013" t="s">
        <v>2</v>
      </c>
      <c r="B52" s="1014"/>
      <c r="C52" s="634">
        <f>C53+C55+C57+C59+C61+C67+C70</f>
        <v>999660</v>
      </c>
      <c r="F52" s="805"/>
    </row>
    <row r="53" spans="1:6" ht="13.5">
      <c r="A53" s="11" t="s">
        <v>103</v>
      </c>
      <c r="B53" s="199" t="s">
        <v>484</v>
      </c>
      <c r="C53" s="63">
        <f>SUM(C54)</f>
        <v>134760</v>
      </c>
      <c r="F53" s="805"/>
    </row>
    <row r="54" spans="1:6" ht="13.5">
      <c r="A54" s="12" t="s">
        <v>46</v>
      </c>
      <c r="B54" s="8" t="s">
        <v>45</v>
      </c>
      <c r="C54" s="24">
        <v>134760</v>
      </c>
      <c r="F54" s="805"/>
    </row>
    <row r="55" spans="1:6" ht="13.5">
      <c r="A55" s="11" t="s">
        <v>105</v>
      </c>
      <c r="B55" s="502" t="s">
        <v>106</v>
      </c>
      <c r="C55" s="31">
        <f>SUM(C56:C56)</f>
        <v>295000</v>
      </c>
      <c r="F55" s="805"/>
    </row>
    <row r="56" spans="1:6" ht="13.5">
      <c r="A56" s="12" t="s">
        <v>86</v>
      </c>
      <c r="B56" s="8" t="s">
        <v>66</v>
      </c>
      <c r="C56" s="24">
        <v>295000</v>
      </c>
      <c r="F56" s="805"/>
    </row>
    <row r="57" spans="1:6" ht="13.5">
      <c r="A57" s="11" t="s">
        <v>107</v>
      </c>
      <c r="B57" s="502" t="s">
        <v>108</v>
      </c>
      <c r="C57" s="31">
        <f>SUM(C58)</f>
        <v>58400</v>
      </c>
      <c r="F57" s="805"/>
    </row>
    <row r="58" spans="1:6" ht="13.5">
      <c r="A58" s="12" t="s">
        <v>47</v>
      </c>
      <c r="B58" s="23" t="s">
        <v>48</v>
      </c>
      <c r="C58" s="24">
        <v>58400</v>
      </c>
      <c r="F58" s="805"/>
    </row>
    <row r="59" spans="1:6" ht="13.5">
      <c r="A59" s="11" t="s">
        <v>196</v>
      </c>
      <c r="B59" s="502" t="s">
        <v>195</v>
      </c>
      <c r="C59" s="31">
        <f>SUM(C60)</f>
        <v>309380</v>
      </c>
      <c r="F59" s="805"/>
    </row>
    <row r="60" spans="1:6" ht="13.5">
      <c r="A60" s="12" t="s">
        <v>194</v>
      </c>
      <c r="B60" s="8" t="s">
        <v>216</v>
      </c>
      <c r="C60" s="59">
        <v>309380</v>
      </c>
      <c r="F60" s="805"/>
    </row>
    <row r="61" spans="1:6" ht="13.5">
      <c r="A61" s="249" t="s">
        <v>119</v>
      </c>
      <c r="B61" s="25" t="s">
        <v>109</v>
      </c>
      <c r="C61" s="63">
        <f>SUM(C62:C66)</f>
        <v>90050</v>
      </c>
      <c r="F61" s="805"/>
    </row>
    <row r="62" spans="1:6" ht="13.5">
      <c r="A62" s="71" t="s">
        <v>149</v>
      </c>
      <c r="B62" s="23" t="s">
        <v>69</v>
      </c>
      <c r="C62" s="59">
        <v>10800</v>
      </c>
      <c r="F62" s="805"/>
    </row>
    <row r="63" spans="1:5" s="65" customFormat="1" ht="13.5">
      <c r="A63" s="71" t="s">
        <v>641</v>
      </c>
      <c r="B63" s="24" t="s">
        <v>640</v>
      </c>
      <c r="C63" s="24">
        <v>17000</v>
      </c>
      <c r="D63" s="77"/>
      <c r="E63" s="25"/>
    </row>
    <row r="64" spans="1:5" s="65" customFormat="1" ht="13.5">
      <c r="A64" s="71" t="s">
        <v>758</v>
      </c>
      <c r="B64" s="24" t="s">
        <v>753</v>
      </c>
      <c r="C64" s="24">
        <v>13000</v>
      </c>
      <c r="D64" s="77"/>
      <c r="E64" s="25"/>
    </row>
    <row r="65" spans="1:5" s="65" customFormat="1" ht="13.5">
      <c r="A65" s="71" t="s">
        <v>762</v>
      </c>
      <c r="B65" s="24" t="s">
        <v>763</v>
      </c>
      <c r="C65" s="24">
        <v>31250</v>
      </c>
      <c r="D65" s="77"/>
      <c r="E65" s="25"/>
    </row>
    <row r="66" spans="1:5" s="65" customFormat="1" ht="13.5">
      <c r="A66" s="71" t="s">
        <v>754</v>
      </c>
      <c r="B66" s="24" t="s">
        <v>755</v>
      </c>
      <c r="C66" s="24">
        <v>18000</v>
      </c>
      <c r="D66" s="77"/>
      <c r="E66" s="25"/>
    </row>
    <row r="67" spans="1:6" ht="13.5">
      <c r="A67" s="249" t="s">
        <v>124</v>
      </c>
      <c r="B67" s="25" t="s">
        <v>123</v>
      </c>
      <c r="C67" s="63">
        <f>SUM(C68:C69)</f>
        <v>58420</v>
      </c>
      <c r="F67" s="805"/>
    </row>
    <row r="68" spans="1:8" s="8" customFormat="1" ht="13.5" customHeight="1">
      <c r="A68" s="71" t="s">
        <v>231</v>
      </c>
      <c r="B68" s="23" t="s">
        <v>761</v>
      </c>
      <c r="C68" s="59">
        <v>30000</v>
      </c>
      <c r="D68" s="67"/>
      <c r="E68" s="63"/>
      <c r="F68" s="98"/>
      <c r="G68" s="54"/>
      <c r="H68" s="42"/>
    </row>
    <row r="69" spans="1:6" ht="13.5">
      <c r="A69" s="71" t="s">
        <v>93</v>
      </c>
      <c r="B69" s="23" t="s">
        <v>72</v>
      </c>
      <c r="C69" s="59">
        <v>28420</v>
      </c>
      <c r="F69" s="805"/>
    </row>
    <row r="70" spans="1:6" ht="13.5">
      <c r="A70" s="249" t="s">
        <v>150</v>
      </c>
      <c r="B70" s="25" t="s">
        <v>125</v>
      </c>
      <c r="C70" s="63">
        <f>SUM(C71:C74)</f>
        <v>53650</v>
      </c>
      <c r="F70" s="805"/>
    </row>
    <row r="71" spans="1:6" ht="13.5">
      <c r="A71" s="71" t="s">
        <v>151</v>
      </c>
      <c r="B71" s="23" t="s">
        <v>65</v>
      </c>
      <c r="C71" s="59">
        <v>7200</v>
      </c>
      <c r="F71" s="805"/>
    </row>
    <row r="72" spans="1:6" ht="13.5">
      <c r="A72" s="71" t="s">
        <v>152</v>
      </c>
      <c r="B72" s="23" t="s">
        <v>70</v>
      </c>
      <c r="C72" s="24">
        <v>8420</v>
      </c>
      <c r="F72" s="805"/>
    </row>
    <row r="73" spans="1:7" s="214" customFormat="1" ht="13.5">
      <c r="A73" s="71" t="s">
        <v>154</v>
      </c>
      <c r="B73" s="23" t="s">
        <v>125</v>
      </c>
      <c r="C73" s="59">
        <v>6780</v>
      </c>
      <c r="E73" s="61"/>
      <c r="F73" s="823"/>
      <c r="G73" s="89"/>
    </row>
    <row r="74" spans="1:7" s="214" customFormat="1" ht="13.5">
      <c r="A74" s="71" t="s">
        <v>643</v>
      </c>
      <c r="B74" s="23" t="s">
        <v>759</v>
      </c>
      <c r="C74" s="59">
        <v>31250</v>
      </c>
      <c r="E74" s="61"/>
      <c r="F74" s="823"/>
      <c r="G74" s="89"/>
    </row>
    <row r="75" spans="1:7" s="42" customFormat="1" ht="13.5" customHeight="1" thickBot="1">
      <c r="A75" s="71"/>
      <c r="B75" s="23"/>
      <c r="C75" s="66"/>
      <c r="E75" s="61"/>
      <c r="G75" s="24"/>
    </row>
    <row r="76" spans="1:7" s="42" customFormat="1" ht="13.5" customHeight="1" thickBot="1">
      <c r="A76" s="1015" t="s">
        <v>3</v>
      </c>
      <c r="B76" s="1016"/>
      <c r="C76" s="635">
        <f>C77+C79+C83+C86+C88+C90</f>
        <v>1319660</v>
      </c>
      <c r="E76" s="61"/>
      <c r="G76" s="22"/>
    </row>
    <row r="77" spans="1:7" s="65" customFormat="1" ht="13.5">
      <c r="A77" s="62" t="s">
        <v>110</v>
      </c>
      <c r="B77" s="199" t="s">
        <v>111</v>
      </c>
      <c r="C77" s="63">
        <f>SUM(C78)</f>
        <v>60300</v>
      </c>
      <c r="E77" s="61"/>
      <c r="F77" s="96"/>
      <c r="G77" s="67"/>
    </row>
    <row r="78" spans="1:7" s="65" customFormat="1" ht="13.5">
      <c r="A78" s="58" t="s">
        <v>52</v>
      </c>
      <c r="B78" s="58" t="s">
        <v>15</v>
      </c>
      <c r="C78" s="24">
        <v>60300</v>
      </c>
      <c r="E78" s="61"/>
      <c r="F78" s="96"/>
      <c r="G78" s="67"/>
    </row>
    <row r="79" spans="1:7" s="65" customFormat="1" ht="13.5">
      <c r="A79" s="62" t="s">
        <v>120</v>
      </c>
      <c r="B79" s="62" t="s">
        <v>485</v>
      </c>
      <c r="C79" s="63">
        <f>SUM(C80:C82)</f>
        <v>82530</v>
      </c>
      <c r="E79" s="61"/>
      <c r="G79" s="67"/>
    </row>
    <row r="80" spans="1:7" s="65" customFormat="1" ht="13.5">
      <c r="A80" s="58" t="s">
        <v>235</v>
      </c>
      <c r="B80" s="42" t="s">
        <v>236</v>
      </c>
      <c r="C80" s="59">
        <v>29100</v>
      </c>
      <c r="E80" s="61"/>
      <c r="G80" s="67"/>
    </row>
    <row r="81" spans="1:7" s="65" customFormat="1" ht="13.5">
      <c r="A81" s="58" t="s">
        <v>140</v>
      </c>
      <c r="B81" s="58" t="s">
        <v>540</v>
      </c>
      <c r="C81" s="59">
        <v>35000</v>
      </c>
      <c r="E81" s="61"/>
      <c r="G81" s="67"/>
    </row>
    <row r="82" spans="1:7" s="65" customFormat="1" ht="13.5">
      <c r="A82" s="58" t="s">
        <v>136</v>
      </c>
      <c r="B82" s="58" t="s">
        <v>71</v>
      </c>
      <c r="C82" s="59">
        <v>18430</v>
      </c>
      <c r="E82" s="61"/>
      <c r="G82" s="67"/>
    </row>
    <row r="83" spans="1:7" s="65" customFormat="1" ht="13.5">
      <c r="A83" s="249" t="s">
        <v>112</v>
      </c>
      <c r="B83" s="62" t="s">
        <v>156</v>
      </c>
      <c r="C83" s="31">
        <f>SUM(C84:C85)</f>
        <v>717800</v>
      </c>
      <c r="E83" s="61"/>
      <c r="G83" s="67"/>
    </row>
    <row r="84" spans="1:7" s="65" customFormat="1" ht="13.5">
      <c r="A84" s="71" t="s">
        <v>138</v>
      </c>
      <c r="B84" s="58" t="s">
        <v>810</v>
      </c>
      <c r="C84" s="59">
        <v>7600</v>
      </c>
      <c r="E84" s="61"/>
      <c r="G84" s="67"/>
    </row>
    <row r="85" spans="1:5" s="65" customFormat="1" ht="13.5">
      <c r="A85" s="71" t="s">
        <v>49</v>
      </c>
      <c r="B85" s="24" t="s">
        <v>87</v>
      </c>
      <c r="C85" s="59">
        <v>710200</v>
      </c>
      <c r="D85" s="67"/>
      <c r="E85" s="61"/>
    </row>
    <row r="86" spans="1:5" s="65" customFormat="1" ht="13.5">
      <c r="A86" s="249" t="s">
        <v>113</v>
      </c>
      <c r="B86" s="31" t="s">
        <v>114</v>
      </c>
      <c r="C86" s="63">
        <f>SUM(C87:C87)</f>
        <v>6320</v>
      </c>
      <c r="D86" s="67"/>
      <c r="E86" s="61"/>
    </row>
    <row r="87" spans="1:5" s="65" customFormat="1" ht="13.5">
      <c r="A87" s="71" t="s">
        <v>88</v>
      </c>
      <c r="B87" s="24" t="s">
        <v>64</v>
      </c>
      <c r="C87" s="59">
        <v>6320</v>
      </c>
      <c r="D87" s="67"/>
      <c r="E87" s="61"/>
    </row>
    <row r="88" spans="1:5" s="65" customFormat="1" ht="13.5">
      <c r="A88" s="249" t="s">
        <v>132</v>
      </c>
      <c r="B88" s="62" t="s">
        <v>56</v>
      </c>
      <c r="C88" s="63">
        <f>SUM(C89)</f>
        <v>8140</v>
      </c>
      <c r="D88" s="67"/>
      <c r="E88" s="61"/>
    </row>
    <row r="89" spans="1:7" s="225" customFormat="1" ht="13.5">
      <c r="A89" s="71" t="s">
        <v>55</v>
      </c>
      <c r="B89" s="58" t="s">
        <v>56</v>
      </c>
      <c r="C89" s="59">
        <v>8140</v>
      </c>
      <c r="E89" s="61"/>
      <c r="G89" s="94"/>
    </row>
    <row r="90" spans="1:7" s="55" customFormat="1" ht="13.5">
      <c r="A90" s="249" t="s">
        <v>115</v>
      </c>
      <c r="B90" s="31" t="s">
        <v>8</v>
      </c>
      <c r="C90" s="63">
        <f>SUM(C91:C94)</f>
        <v>444570</v>
      </c>
      <c r="E90" s="61"/>
      <c r="F90" s="56"/>
      <c r="G90" s="59"/>
    </row>
    <row r="91" spans="1:7" s="55" customFormat="1" ht="13.5">
      <c r="A91" s="71" t="s">
        <v>92</v>
      </c>
      <c r="B91" s="24" t="s">
        <v>8</v>
      </c>
      <c r="C91" s="59">
        <v>278000</v>
      </c>
      <c r="E91" s="61"/>
      <c r="F91" s="56"/>
      <c r="G91" s="63"/>
    </row>
    <row r="92" spans="1:7" s="55" customFormat="1" ht="13.5">
      <c r="A92" s="71" t="s">
        <v>486</v>
      </c>
      <c r="B92" s="24" t="s">
        <v>50</v>
      </c>
      <c r="C92" s="59">
        <v>53640</v>
      </c>
      <c r="E92" s="61"/>
      <c r="F92" s="56"/>
      <c r="G92" s="59"/>
    </row>
    <row r="93" spans="1:5" ht="13.5">
      <c r="A93" s="71" t="s">
        <v>223</v>
      </c>
      <c r="B93" s="42" t="s">
        <v>222</v>
      </c>
      <c r="C93" s="24">
        <v>28750</v>
      </c>
      <c r="D93" s="24"/>
      <c r="E93" s="117"/>
    </row>
    <row r="94" spans="1:7" s="55" customFormat="1" ht="13.5">
      <c r="A94" s="71" t="s">
        <v>90</v>
      </c>
      <c r="B94" s="24" t="s">
        <v>7</v>
      </c>
      <c r="C94" s="59">
        <v>84180</v>
      </c>
      <c r="E94" s="61"/>
      <c r="F94" s="56"/>
      <c r="G94" s="59"/>
    </row>
    <row r="95" spans="1:7" s="55" customFormat="1" ht="14.25" thickBot="1">
      <c r="A95" s="71"/>
      <c r="B95" s="24"/>
      <c r="C95" s="59"/>
      <c r="E95" s="61"/>
      <c r="F95" s="56"/>
      <c r="G95" s="59"/>
    </row>
    <row r="96" spans="1:7" s="55" customFormat="1" ht="14.25" thickBot="1">
      <c r="A96" s="1030" t="s">
        <v>5</v>
      </c>
      <c r="B96" s="1037"/>
      <c r="C96" s="661">
        <f>C97</f>
        <v>870670</v>
      </c>
      <c r="E96" s="61"/>
      <c r="F96" s="56"/>
      <c r="G96" s="56"/>
    </row>
    <row r="97" spans="1:7" s="55" customFormat="1" ht="13.5">
      <c r="A97" s="249" t="s">
        <v>128</v>
      </c>
      <c r="B97" s="199" t="s">
        <v>129</v>
      </c>
      <c r="C97" s="63">
        <f>SUM(C98:C100)</f>
        <v>870670</v>
      </c>
      <c r="E97" s="61"/>
      <c r="F97" s="56"/>
      <c r="G97" s="63"/>
    </row>
    <row r="98" spans="1:9" s="55" customFormat="1" ht="13.5">
      <c r="A98" s="71" t="s">
        <v>255</v>
      </c>
      <c r="B98" s="98" t="s">
        <v>256</v>
      </c>
      <c r="C98" s="59">
        <v>54370</v>
      </c>
      <c r="E98" s="61"/>
      <c r="G98" s="59"/>
      <c r="H98" s="56"/>
      <c r="I98" s="56"/>
    </row>
    <row r="99" spans="1:9" s="55" customFormat="1" ht="13.5">
      <c r="A99" s="71" t="s">
        <v>487</v>
      </c>
      <c r="B99" s="98" t="s">
        <v>488</v>
      </c>
      <c r="C99" s="59">
        <v>16300</v>
      </c>
      <c r="E99" s="61"/>
      <c r="G99" s="59"/>
      <c r="H99" s="56"/>
      <c r="I99" s="56"/>
    </row>
    <row r="100" spans="1:7" s="55" customFormat="1" ht="13.5">
      <c r="A100" s="71" t="s">
        <v>144</v>
      </c>
      <c r="B100" s="24" t="s">
        <v>12</v>
      </c>
      <c r="C100" s="24">
        <v>800000</v>
      </c>
      <c r="E100" s="61"/>
      <c r="F100" s="56"/>
      <c r="G100" s="59"/>
    </row>
    <row r="101" spans="1:7" s="65" customFormat="1" ht="14.25" thickBot="1">
      <c r="A101" s="71"/>
      <c r="B101" s="24"/>
      <c r="C101" s="24"/>
      <c r="E101" s="61"/>
      <c r="F101" s="56"/>
      <c r="G101" s="59"/>
    </row>
    <row r="102" spans="1:5" s="65" customFormat="1" ht="14.25" thickBot="1">
      <c r="A102" s="1017" t="s">
        <v>4</v>
      </c>
      <c r="B102" s="1018"/>
      <c r="C102" s="637">
        <f>+C103+C107+C111+C105</f>
        <v>125750</v>
      </c>
      <c r="E102" s="61"/>
    </row>
    <row r="103" spans="1:7" s="65" customFormat="1" ht="13.5">
      <c r="A103" s="249" t="s">
        <v>178</v>
      </c>
      <c r="B103" s="199" t="s">
        <v>177</v>
      </c>
      <c r="C103" s="63">
        <f>SUM(C104:C104)</f>
        <v>29470</v>
      </c>
      <c r="E103" s="61"/>
      <c r="G103" s="56"/>
    </row>
    <row r="104" spans="1:5" s="65" customFormat="1" ht="13.5">
      <c r="A104" s="71" t="s">
        <v>176</v>
      </c>
      <c r="B104" s="23" t="s">
        <v>376</v>
      </c>
      <c r="C104" s="24">
        <v>29470</v>
      </c>
      <c r="D104" s="56"/>
      <c r="E104" s="61"/>
    </row>
    <row r="105" spans="1:8" s="8" customFormat="1" ht="13.5" customHeight="1">
      <c r="A105" s="249" t="s">
        <v>170</v>
      </c>
      <c r="B105" s="25" t="s">
        <v>169</v>
      </c>
      <c r="C105" s="31">
        <f>SUM(C106)</f>
        <v>10</v>
      </c>
      <c r="D105" s="77"/>
      <c r="E105" s="61"/>
      <c r="F105" s="98"/>
      <c r="G105" s="54"/>
      <c r="H105" s="42"/>
    </row>
    <row r="106" spans="1:8" s="8" customFormat="1" ht="13.5" customHeight="1">
      <c r="A106" s="71" t="s">
        <v>168</v>
      </c>
      <c r="B106" s="24" t="s">
        <v>167</v>
      </c>
      <c r="C106" s="24">
        <v>10</v>
      </c>
      <c r="D106" s="77"/>
      <c r="E106" s="61"/>
      <c r="F106" s="98"/>
      <c r="G106" s="54"/>
      <c r="H106" s="42"/>
    </row>
    <row r="107" spans="1:5" s="65" customFormat="1" ht="13.5">
      <c r="A107" s="249" t="s">
        <v>116</v>
      </c>
      <c r="B107" s="25" t="s">
        <v>117</v>
      </c>
      <c r="C107" s="31">
        <f>SUM(C108:C110)</f>
        <v>81270</v>
      </c>
      <c r="D107" s="67"/>
      <c r="E107" s="61"/>
    </row>
    <row r="108" spans="1:5" s="225" customFormat="1" ht="13.5">
      <c r="A108" s="71" t="s">
        <v>91</v>
      </c>
      <c r="B108" s="23" t="s">
        <v>139</v>
      </c>
      <c r="C108" s="24">
        <v>33720</v>
      </c>
      <c r="D108" s="94"/>
      <c r="E108" s="61"/>
    </row>
    <row r="109" spans="1:8" s="8" customFormat="1" ht="13.5" customHeight="1">
      <c r="A109" s="71" t="s">
        <v>57</v>
      </c>
      <c r="B109" s="23" t="s">
        <v>58</v>
      </c>
      <c r="C109" s="24">
        <v>17550</v>
      </c>
      <c r="D109" s="77"/>
      <c r="E109" s="25"/>
      <c r="F109" s="98"/>
      <c r="G109" s="54"/>
      <c r="H109" s="42"/>
    </row>
    <row r="110" spans="1:8" s="8" customFormat="1" ht="13.5" customHeight="1">
      <c r="A110" s="71" t="s">
        <v>756</v>
      </c>
      <c r="B110" s="23" t="s">
        <v>757</v>
      </c>
      <c r="C110" s="24">
        <v>30000</v>
      </c>
      <c r="D110" s="77"/>
      <c r="E110" s="25"/>
      <c r="F110" s="98"/>
      <c r="G110" s="54"/>
      <c r="H110" s="42"/>
    </row>
    <row r="111" spans="1:8" s="8" customFormat="1" ht="13.5" customHeight="1">
      <c r="A111" s="249" t="s">
        <v>165</v>
      </c>
      <c r="B111" s="25" t="s">
        <v>134</v>
      </c>
      <c r="C111" s="31">
        <f>SUM(C112)</f>
        <v>15000</v>
      </c>
      <c r="D111" s="77"/>
      <c r="E111" s="61"/>
      <c r="F111" s="42"/>
      <c r="G111" s="72"/>
      <c r="H111" s="42"/>
    </row>
    <row r="112" spans="1:8" s="8" customFormat="1" ht="13.5" customHeight="1">
      <c r="A112" s="71" t="s">
        <v>166</v>
      </c>
      <c r="B112" s="23" t="s">
        <v>51</v>
      </c>
      <c r="C112" s="24">
        <v>15000</v>
      </c>
      <c r="D112" s="77"/>
      <c r="E112" s="61"/>
      <c r="F112" s="42"/>
      <c r="G112" s="72"/>
      <c r="H112" s="42"/>
    </row>
    <row r="113" spans="1:8" s="8" customFormat="1" ht="13.5" customHeight="1" thickBot="1">
      <c r="A113" s="71"/>
      <c r="B113" s="23"/>
      <c r="C113" s="24"/>
      <c r="D113" s="77"/>
      <c r="E113" s="61"/>
      <c r="F113" s="98"/>
      <c r="G113" s="54"/>
      <c r="H113" s="42"/>
    </row>
    <row r="114" spans="1:8" s="8" customFormat="1" ht="13.5" customHeight="1">
      <c r="A114" s="988" t="s">
        <v>840</v>
      </c>
      <c r="B114" s="989"/>
      <c r="C114" s="639" t="s">
        <v>6</v>
      </c>
      <c r="D114" s="754" t="s">
        <v>1026</v>
      </c>
      <c r="F114" s="98"/>
      <c r="G114" s="54"/>
      <c r="H114" s="42"/>
    </row>
    <row r="115" spans="1:8" s="8" customFormat="1" ht="13.5" customHeight="1" thickBot="1">
      <c r="A115" s="990"/>
      <c r="B115" s="991"/>
      <c r="C115" s="643"/>
      <c r="D115" s="644"/>
      <c r="F115" s="98"/>
      <c r="G115" s="54"/>
      <c r="H115" s="42"/>
    </row>
    <row r="116" spans="1:8" s="8" customFormat="1" ht="13.5" customHeight="1">
      <c r="A116" s="979" t="s">
        <v>841</v>
      </c>
      <c r="B116" s="980"/>
      <c r="C116" s="980"/>
      <c r="D116" s="981"/>
      <c r="F116" s="98"/>
      <c r="G116" s="54"/>
      <c r="H116" s="42"/>
    </row>
    <row r="117" spans="1:8" s="8" customFormat="1" ht="13.5" customHeight="1" thickBot="1">
      <c r="A117" s="985"/>
      <c r="B117" s="986"/>
      <c r="C117" s="986"/>
      <c r="D117" s="987"/>
      <c r="F117" s="98"/>
      <c r="G117" s="54"/>
      <c r="H117" s="42"/>
    </row>
    <row r="118" spans="1:8" s="8" customFormat="1" ht="13.5" customHeight="1">
      <c r="A118" s="436" t="s">
        <v>809</v>
      </c>
      <c r="B118" s="163"/>
      <c r="C118" s="162"/>
      <c r="D118" s="161"/>
      <c r="F118" s="98"/>
      <c r="G118" s="54"/>
      <c r="H118" s="42"/>
    </row>
    <row r="119" spans="1:8" s="8" customFormat="1" ht="13.5" customHeight="1">
      <c r="A119" s="57" t="s">
        <v>566</v>
      </c>
      <c r="B119" s="58"/>
      <c r="C119" s="59"/>
      <c r="D119" s="60"/>
      <c r="F119" s="98"/>
      <c r="G119" s="54"/>
      <c r="H119" s="42"/>
    </row>
    <row r="120" spans="1:8" s="8" customFormat="1" ht="13.5" customHeight="1">
      <c r="A120" s="57" t="s">
        <v>567</v>
      </c>
      <c r="B120" s="58"/>
      <c r="C120" s="59"/>
      <c r="D120" s="60"/>
      <c r="F120" s="98"/>
      <c r="G120" s="54"/>
      <c r="H120" s="42"/>
    </row>
    <row r="121" spans="1:8" s="8" customFormat="1" ht="13.5" customHeight="1" thickBot="1">
      <c r="A121" s="160" t="s">
        <v>13</v>
      </c>
      <c r="B121" s="159"/>
      <c r="C121" s="158"/>
      <c r="D121" s="157"/>
      <c r="F121" s="98"/>
      <c r="G121" s="54"/>
      <c r="H121" s="42"/>
    </row>
    <row r="122" spans="1:8" s="8" customFormat="1" ht="13.5" customHeight="1" thickBot="1">
      <c r="A122" s="678" t="s">
        <v>535</v>
      </c>
      <c r="B122" s="684"/>
      <c r="C122" s="686"/>
      <c r="D122" s="682">
        <f>C124+C137+C151</f>
        <v>7762711</v>
      </c>
      <c r="F122" s="98"/>
      <c r="G122" s="54"/>
      <c r="H122" s="42"/>
    </row>
    <row r="123" spans="1:8" s="8" customFormat="1" ht="13.5" customHeight="1" thickBot="1">
      <c r="A123" s="62"/>
      <c r="B123" s="62"/>
      <c r="C123" s="63"/>
      <c r="D123" s="63"/>
      <c r="E123" s="821"/>
      <c r="F123" s="98"/>
      <c r="G123" s="54"/>
      <c r="H123" s="42"/>
    </row>
    <row r="124" spans="1:8" s="8" customFormat="1" ht="13.5" customHeight="1" thickBot="1">
      <c r="A124" s="1013" t="s">
        <v>2</v>
      </c>
      <c r="B124" s="1014"/>
      <c r="C124" s="634">
        <f>+C125+C127+C130+C134</f>
        <v>204370</v>
      </c>
      <c r="D124" s="61"/>
      <c r="E124" s="61"/>
      <c r="F124" s="98"/>
      <c r="G124" s="54"/>
      <c r="H124" s="42"/>
    </row>
    <row r="125" spans="1:8" s="8" customFormat="1" ht="13.5" customHeight="1">
      <c r="A125" s="11" t="s">
        <v>103</v>
      </c>
      <c r="B125" s="199" t="s">
        <v>484</v>
      </c>
      <c r="C125" s="509">
        <f>SUM(C126)</f>
        <v>84240</v>
      </c>
      <c r="D125" s="214"/>
      <c r="E125" s="61"/>
      <c r="F125" s="98"/>
      <c r="G125" s="54"/>
      <c r="H125" s="42"/>
    </row>
    <row r="126" spans="1:8" s="8" customFormat="1" ht="13.5" customHeight="1">
      <c r="A126" s="12" t="s">
        <v>46</v>
      </c>
      <c r="B126" s="8" t="s">
        <v>45</v>
      </c>
      <c r="C126" s="24">
        <v>84240</v>
      </c>
      <c r="D126" s="42"/>
      <c r="E126" s="61"/>
      <c r="F126" s="98"/>
      <c r="G126" s="54"/>
      <c r="H126" s="42"/>
    </row>
    <row r="127" spans="1:8" s="8" customFormat="1" ht="13.5" customHeight="1">
      <c r="A127" s="11" t="s">
        <v>200</v>
      </c>
      <c r="B127" s="502" t="s">
        <v>489</v>
      </c>
      <c r="C127" s="31">
        <f>SUM(C128:C129)</f>
        <v>30120</v>
      </c>
      <c r="D127" s="42"/>
      <c r="E127" s="61"/>
      <c r="F127" s="98"/>
      <c r="G127" s="54"/>
      <c r="H127" s="42"/>
    </row>
    <row r="128" spans="1:8" s="8" customFormat="1" ht="13.5" customHeight="1">
      <c r="A128" s="12" t="s">
        <v>198</v>
      </c>
      <c r="B128" s="69" t="s">
        <v>490</v>
      </c>
      <c r="C128" s="59">
        <v>22400</v>
      </c>
      <c r="D128" s="65"/>
      <c r="E128" s="61"/>
      <c r="F128" s="98"/>
      <c r="G128" s="54"/>
      <c r="H128" s="42"/>
    </row>
    <row r="129" spans="1:8" s="8" customFormat="1" ht="13.5" customHeight="1">
      <c r="A129" s="12" t="s">
        <v>228</v>
      </c>
      <c r="B129" s="69" t="s">
        <v>227</v>
      </c>
      <c r="C129" s="59">
        <v>7720</v>
      </c>
      <c r="D129" s="65"/>
      <c r="E129" s="61"/>
      <c r="F129" s="98"/>
      <c r="G129" s="54"/>
      <c r="H129" s="42"/>
    </row>
    <row r="130" spans="1:8" s="8" customFormat="1" ht="13.5" customHeight="1">
      <c r="A130" s="11" t="s">
        <v>491</v>
      </c>
      <c r="B130" s="506" t="s">
        <v>467</v>
      </c>
      <c r="C130" s="63">
        <f>SUM(C131:C133)</f>
        <v>79380</v>
      </c>
      <c r="D130" s="65"/>
      <c r="E130" s="61"/>
      <c r="F130" s="98"/>
      <c r="G130" s="54"/>
      <c r="H130" s="42"/>
    </row>
    <row r="131" spans="1:8" s="8" customFormat="1" ht="13.5" customHeight="1">
      <c r="A131" s="12" t="s">
        <v>468</v>
      </c>
      <c r="B131" s="69" t="s">
        <v>492</v>
      </c>
      <c r="C131" s="59">
        <v>18360</v>
      </c>
      <c r="D131" s="65"/>
      <c r="E131" s="61"/>
      <c r="F131" s="98"/>
      <c r="G131" s="54"/>
      <c r="H131" s="42"/>
    </row>
    <row r="132" spans="1:8" s="8" customFormat="1" ht="13.5" customHeight="1">
      <c r="A132" s="12" t="s">
        <v>470</v>
      </c>
      <c r="B132" s="42" t="s">
        <v>471</v>
      </c>
      <c r="C132" s="59">
        <v>7320</v>
      </c>
      <c r="D132" s="65"/>
      <c r="E132" s="61"/>
      <c r="F132" s="98"/>
      <c r="G132" s="54"/>
      <c r="H132" s="42"/>
    </row>
    <row r="133" spans="1:8" s="8" customFormat="1" ht="13.5" customHeight="1">
      <c r="A133" s="12" t="s">
        <v>472</v>
      </c>
      <c r="B133" s="69" t="s">
        <v>493</v>
      </c>
      <c r="C133" s="59">
        <v>53700</v>
      </c>
      <c r="D133" s="65"/>
      <c r="E133" s="61"/>
      <c r="F133" s="98"/>
      <c r="G133" s="54"/>
      <c r="H133" s="42"/>
    </row>
    <row r="134" spans="1:8" s="8" customFormat="1" ht="13.5" customHeight="1">
      <c r="A134" s="249" t="s">
        <v>150</v>
      </c>
      <c r="B134" s="506" t="s">
        <v>125</v>
      </c>
      <c r="C134" s="63">
        <f>SUM(C135:C135)</f>
        <v>10630</v>
      </c>
      <c r="D134" s="67"/>
      <c r="E134" s="61"/>
      <c r="F134" s="98"/>
      <c r="G134" s="54"/>
      <c r="H134" s="42"/>
    </row>
    <row r="135" spans="1:8" s="8" customFormat="1" ht="13.5" customHeight="1">
      <c r="A135" s="71" t="s">
        <v>154</v>
      </c>
      <c r="B135" s="23" t="s">
        <v>125</v>
      </c>
      <c r="C135" s="59">
        <v>10630</v>
      </c>
      <c r="D135" s="67"/>
      <c r="E135" s="61"/>
      <c r="F135" s="98"/>
      <c r="G135" s="54"/>
      <c r="H135" s="42"/>
    </row>
    <row r="136" spans="1:8" s="8" customFormat="1" ht="13.5" customHeight="1" thickBot="1">
      <c r="A136" s="71"/>
      <c r="B136" s="23"/>
      <c r="C136" s="23"/>
      <c r="D136" s="67"/>
      <c r="E136" s="61"/>
      <c r="F136" s="98"/>
      <c r="G136" s="54"/>
      <c r="H136" s="42"/>
    </row>
    <row r="137" spans="1:8" s="8" customFormat="1" ht="13.5" customHeight="1" thickBot="1">
      <c r="A137" s="1015" t="s">
        <v>3</v>
      </c>
      <c r="B137" s="1016"/>
      <c r="C137" s="635">
        <f>C138+C140+C142+C145+C147</f>
        <v>7427440</v>
      </c>
      <c r="D137" s="67"/>
      <c r="E137" s="61"/>
      <c r="F137" s="98"/>
      <c r="G137" s="54"/>
      <c r="H137" s="42"/>
    </row>
    <row r="138" spans="1:8" s="8" customFormat="1" ht="14.25" customHeight="1">
      <c r="A138" s="62" t="s">
        <v>120</v>
      </c>
      <c r="B138" s="62" t="s">
        <v>485</v>
      </c>
      <c r="C138" s="509">
        <f>SUM(C139:C139)</f>
        <v>9370</v>
      </c>
      <c r="D138" s="225"/>
      <c r="E138" s="61"/>
      <c r="F138" s="98"/>
      <c r="G138" s="54"/>
      <c r="H138" s="42"/>
    </row>
    <row r="139" spans="1:8" s="8" customFormat="1" ht="13.5" customHeight="1">
      <c r="A139" s="58" t="s">
        <v>136</v>
      </c>
      <c r="B139" s="58" t="s">
        <v>71</v>
      </c>
      <c r="C139" s="59">
        <v>9370</v>
      </c>
      <c r="D139" s="55"/>
      <c r="E139" s="61"/>
      <c r="F139" s="98"/>
      <c r="G139" s="54"/>
      <c r="H139" s="42"/>
    </row>
    <row r="140" spans="1:8" s="8" customFormat="1" ht="13.5" customHeight="1">
      <c r="A140" s="249" t="s">
        <v>273</v>
      </c>
      <c r="B140" s="62" t="s">
        <v>274</v>
      </c>
      <c r="C140" s="63">
        <f>SUM(C141)</f>
        <v>5812500</v>
      </c>
      <c r="D140" s="55"/>
      <c r="E140" s="61"/>
      <c r="F140" s="98"/>
      <c r="G140" s="54"/>
      <c r="H140" s="42"/>
    </row>
    <row r="141" spans="1:8" s="8" customFormat="1" ht="13.5" customHeight="1">
      <c r="A141" s="71" t="s">
        <v>494</v>
      </c>
      <c r="B141" s="58" t="s">
        <v>495</v>
      </c>
      <c r="C141" s="59">
        <v>5812500</v>
      </c>
      <c r="D141" s="55"/>
      <c r="E141" s="61"/>
      <c r="F141" s="98"/>
      <c r="G141" s="54"/>
      <c r="H141" s="42"/>
    </row>
    <row r="142" spans="1:8" s="8" customFormat="1" ht="13.5" customHeight="1">
      <c r="A142" s="249" t="s">
        <v>112</v>
      </c>
      <c r="B142" s="62" t="s">
        <v>156</v>
      </c>
      <c r="C142" s="63">
        <f>SUM(C143:C144)</f>
        <v>1418140</v>
      </c>
      <c r="D142" s="55"/>
      <c r="E142" s="61"/>
      <c r="F142" s="98"/>
      <c r="G142" s="54"/>
      <c r="H142" s="42"/>
    </row>
    <row r="143" spans="1:8" s="8" customFormat="1" ht="13.5" customHeight="1">
      <c r="A143" s="71" t="s">
        <v>138</v>
      </c>
      <c r="B143" s="58" t="s">
        <v>810</v>
      </c>
      <c r="C143" s="59">
        <v>8200</v>
      </c>
      <c r="D143" s="55"/>
      <c r="E143" s="61"/>
      <c r="F143" s="98"/>
      <c r="G143" s="54"/>
      <c r="H143" s="42"/>
    </row>
    <row r="144" spans="1:8" s="8" customFormat="1" ht="13.5" customHeight="1">
      <c r="A144" s="71" t="s">
        <v>49</v>
      </c>
      <c r="B144" s="24" t="s">
        <v>87</v>
      </c>
      <c r="C144" s="59">
        <v>1409940</v>
      </c>
      <c r="D144" s="55"/>
      <c r="E144" s="61"/>
      <c r="F144" s="98"/>
      <c r="G144" s="54"/>
      <c r="H144" s="42"/>
    </row>
    <row r="145" spans="1:8" s="8" customFormat="1" ht="13.5" customHeight="1">
      <c r="A145" s="249" t="s">
        <v>113</v>
      </c>
      <c r="B145" s="31" t="s">
        <v>114</v>
      </c>
      <c r="C145" s="63">
        <f>SUM(C146:C146)</f>
        <v>43000</v>
      </c>
      <c r="D145" s="55"/>
      <c r="E145" s="61"/>
      <c r="F145" s="98"/>
      <c r="G145" s="54"/>
      <c r="H145" s="42"/>
    </row>
    <row r="146" spans="1:8" s="8" customFormat="1" ht="13.5" customHeight="1">
      <c r="A146" s="71" t="s">
        <v>163</v>
      </c>
      <c r="B146" s="58" t="s">
        <v>74</v>
      </c>
      <c r="C146" s="59">
        <v>43000</v>
      </c>
      <c r="D146" s="55"/>
      <c r="E146" s="61"/>
      <c r="F146" s="98"/>
      <c r="G146" s="54"/>
      <c r="H146" s="42"/>
    </row>
    <row r="147" spans="1:8" s="8" customFormat="1" ht="13.5" customHeight="1">
      <c r="A147" s="249" t="s">
        <v>115</v>
      </c>
      <c r="B147" s="31" t="s">
        <v>8</v>
      </c>
      <c r="C147" s="63">
        <f>SUM(C148:C149)</f>
        <v>144430</v>
      </c>
      <c r="D147" s="65"/>
      <c r="E147" s="61"/>
      <c r="F147" s="98"/>
      <c r="G147" s="54"/>
      <c r="H147" s="42"/>
    </row>
    <row r="148" spans="1:8" s="8" customFormat="1" ht="13.5" customHeight="1">
      <c r="A148" s="71" t="s">
        <v>92</v>
      </c>
      <c r="B148" s="24" t="s">
        <v>8</v>
      </c>
      <c r="C148" s="59">
        <v>123800</v>
      </c>
      <c r="D148" s="65"/>
      <c r="E148" s="61"/>
      <c r="F148" s="98"/>
      <c r="G148" s="54"/>
      <c r="H148" s="42"/>
    </row>
    <row r="149" spans="1:8" s="8" customFormat="1" ht="13.5" customHeight="1">
      <c r="A149" s="71" t="s">
        <v>90</v>
      </c>
      <c r="B149" s="24" t="s">
        <v>7</v>
      </c>
      <c r="C149" s="59">
        <v>20630</v>
      </c>
      <c r="D149" s="65"/>
      <c r="E149" s="61"/>
      <c r="F149" s="98"/>
      <c r="G149" s="54"/>
      <c r="H149" s="42"/>
    </row>
    <row r="150" spans="1:8" s="8" customFormat="1" ht="13.5" customHeight="1" thickBot="1">
      <c r="A150" s="71"/>
      <c r="B150" s="24"/>
      <c r="C150" s="59"/>
      <c r="D150" s="56"/>
      <c r="E150" s="61"/>
      <c r="F150" s="98"/>
      <c r="G150" s="54"/>
      <c r="H150" s="42"/>
    </row>
    <row r="151" spans="1:8" s="8" customFormat="1" ht="13.5" customHeight="1" thickBot="1">
      <c r="A151" s="1017" t="s">
        <v>4</v>
      </c>
      <c r="B151" s="1018"/>
      <c r="C151" s="637">
        <f>C152+C154+C156</f>
        <v>130901</v>
      </c>
      <c r="D151" s="67"/>
      <c r="E151" s="61"/>
      <c r="F151" s="98"/>
      <c r="G151" s="54"/>
      <c r="H151" s="42"/>
    </row>
    <row r="152" spans="1:8" s="8" customFormat="1" ht="13.5" customHeight="1">
      <c r="A152" s="249" t="s">
        <v>178</v>
      </c>
      <c r="B152" s="199" t="s">
        <v>177</v>
      </c>
      <c r="C152" s="509">
        <f>SUM(C153)</f>
        <v>120280</v>
      </c>
      <c r="D152" s="94"/>
      <c r="E152" s="61"/>
      <c r="F152" s="98"/>
      <c r="G152" s="54"/>
      <c r="H152" s="42"/>
    </row>
    <row r="153" spans="1:8" s="8" customFormat="1" ht="13.5" customHeight="1">
      <c r="A153" s="71" t="s">
        <v>479</v>
      </c>
      <c r="B153" s="23" t="s">
        <v>480</v>
      </c>
      <c r="C153" s="24">
        <v>120280</v>
      </c>
      <c r="D153" s="77"/>
      <c r="E153" s="61"/>
      <c r="F153" s="98"/>
      <c r="G153" s="54"/>
      <c r="H153" s="42"/>
    </row>
    <row r="154" spans="1:8" s="8" customFormat="1" ht="13.5" customHeight="1">
      <c r="A154" s="249" t="s">
        <v>170</v>
      </c>
      <c r="B154" s="25" t="s">
        <v>169</v>
      </c>
      <c r="C154" s="31">
        <f>SUM(C155)</f>
        <v>1</v>
      </c>
      <c r="D154" s="77"/>
      <c r="E154" s="61"/>
      <c r="F154" s="98"/>
      <c r="G154" s="54"/>
      <c r="H154" s="42"/>
    </row>
    <row r="155" spans="1:8" s="8" customFormat="1" ht="13.5" customHeight="1">
      <c r="A155" s="71" t="s">
        <v>168</v>
      </c>
      <c r="B155" s="24" t="s">
        <v>167</v>
      </c>
      <c r="C155" s="24">
        <v>1</v>
      </c>
      <c r="D155" s="77"/>
      <c r="E155" s="61"/>
      <c r="F155" s="98"/>
      <c r="G155" s="54"/>
      <c r="H155" s="42"/>
    </row>
    <row r="156" spans="1:8" s="8" customFormat="1" ht="13.5" customHeight="1">
      <c r="A156" s="249" t="s">
        <v>165</v>
      </c>
      <c r="B156" s="31" t="s">
        <v>496</v>
      </c>
      <c r="C156" s="31">
        <f>SUM(C157)</f>
        <v>10620</v>
      </c>
      <c r="D156" s="77"/>
      <c r="E156" s="61"/>
      <c r="F156" s="98"/>
      <c r="G156" s="54"/>
      <c r="H156" s="42"/>
    </row>
    <row r="157" spans="1:8" s="8" customFormat="1" ht="13.5" customHeight="1">
      <c r="A157" s="71" t="s">
        <v>166</v>
      </c>
      <c r="B157" s="23" t="s">
        <v>51</v>
      </c>
      <c r="C157" s="24">
        <v>10620</v>
      </c>
      <c r="D157" s="77"/>
      <c r="E157" s="61"/>
      <c r="F157" s="98"/>
      <c r="G157" s="54"/>
      <c r="H157" s="42"/>
    </row>
    <row r="158" spans="1:8" s="8" customFormat="1" ht="13.5" customHeight="1">
      <c r="A158" s="71"/>
      <c r="B158" s="23"/>
      <c r="C158" s="24"/>
      <c r="D158" s="77"/>
      <c r="E158" s="61"/>
      <c r="F158" s="98"/>
      <c r="G158" s="54"/>
      <c r="H158" s="42"/>
    </row>
    <row r="159" spans="1:8" s="8" customFormat="1" ht="13.5" customHeight="1" thickBot="1">
      <c r="A159" s="71"/>
      <c r="B159" s="23"/>
      <c r="C159" s="24"/>
      <c r="D159" s="77"/>
      <c r="E159" s="61"/>
      <c r="F159" s="98"/>
      <c r="G159" s="54"/>
      <c r="H159" s="42"/>
    </row>
    <row r="160" spans="1:8" s="8" customFormat="1" ht="13.5" customHeight="1">
      <c r="A160" s="650" t="s">
        <v>710</v>
      </c>
      <c r="B160" s="638"/>
      <c r="C160" s="647"/>
      <c r="D160" s="639" t="s">
        <v>6</v>
      </c>
      <c r="E160" s="754" t="s">
        <v>1027</v>
      </c>
      <c r="F160" s="98"/>
      <c r="G160" s="54"/>
      <c r="H160" s="42"/>
    </row>
    <row r="161" spans="1:8" s="8" customFormat="1" ht="13.5" customHeight="1" thickBot="1">
      <c r="A161" s="651"/>
      <c r="B161" s="645"/>
      <c r="C161" s="648"/>
      <c r="D161" s="688"/>
      <c r="E161" s="689"/>
      <c r="F161" s="98"/>
      <c r="G161" s="54"/>
      <c r="H161" s="42"/>
    </row>
    <row r="162" spans="1:8" s="8" customFormat="1" ht="13.5" customHeight="1">
      <c r="A162" s="979" t="s">
        <v>843</v>
      </c>
      <c r="B162" s="980"/>
      <c r="C162" s="980"/>
      <c r="D162" s="980"/>
      <c r="E162" s="981"/>
      <c r="F162" s="98"/>
      <c r="G162" s="54"/>
      <c r="H162" s="42"/>
    </row>
    <row r="163" spans="1:8" s="8" customFormat="1" ht="13.5" customHeight="1">
      <c r="A163" s="982"/>
      <c r="B163" s="983"/>
      <c r="C163" s="983"/>
      <c r="D163" s="983"/>
      <c r="E163" s="984"/>
      <c r="F163" s="98"/>
      <c r="G163" s="54"/>
      <c r="H163" s="42"/>
    </row>
    <row r="164" spans="1:8" s="8" customFormat="1" ht="27" customHeight="1" thickBot="1">
      <c r="A164" s="985"/>
      <c r="B164" s="986"/>
      <c r="C164" s="986"/>
      <c r="D164" s="986"/>
      <c r="E164" s="987"/>
      <c r="F164" s="98"/>
      <c r="G164" s="54"/>
      <c r="H164" s="42"/>
    </row>
    <row r="165" spans="1:8" s="8" customFormat="1" ht="13.5" customHeight="1">
      <c r="A165" s="57" t="s">
        <v>809</v>
      </c>
      <c r="B165" s="58"/>
      <c r="C165" s="59"/>
      <c r="D165" s="59"/>
      <c r="E165" s="60"/>
      <c r="F165" s="98"/>
      <c r="G165" s="54"/>
      <c r="H165" s="42"/>
    </row>
    <row r="166" spans="1:8" s="8" customFormat="1" ht="13.5" customHeight="1">
      <c r="A166" s="57" t="s">
        <v>566</v>
      </c>
      <c r="B166" s="58"/>
      <c r="C166" s="59"/>
      <c r="D166" s="59"/>
      <c r="E166" s="60"/>
      <c r="F166" s="98"/>
      <c r="G166" s="54"/>
      <c r="H166" s="42"/>
    </row>
    <row r="167" spans="1:8" s="8" customFormat="1" ht="13.5" customHeight="1">
      <c r="A167" s="57" t="s">
        <v>567</v>
      </c>
      <c r="B167" s="58"/>
      <c r="C167" s="59"/>
      <c r="D167" s="59"/>
      <c r="E167" s="60"/>
      <c r="F167" s="98"/>
      <c r="G167" s="54"/>
      <c r="H167" s="42"/>
    </row>
    <row r="168" spans="1:8" s="8" customFormat="1" ht="13.5" customHeight="1" thickBot="1">
      <c r="A168" s="57" t="s">
        <v>13</v>
      </c>
      <c r="B168" s="58"/>
      <c r="C168" s="59"/>
      <c r="D168" s="59"/>
      <c r="E168" s="60"/>
      <c r="F168" s="98"/>
      <c r="G168" s="54"/>
      <c r="H168" s="42"/>
    </row>
    <row r="169" spans="1:8" s="8" customFormat="1" ht="13.5" customHeight="1" thickBot="1">
      <c r="A169" s="678" t="s">
        <v>14</v>
      </c>
      <c r="B169" s="679"/>
      <c r="C169" s="685"/>
      <c r="D169" s="686"/>
      <c r="E169" s="682">
        <f>+C171+C195+C216+C222+D240+D331</f>
        <v>52359050</v>
      </c>
      <c r="F169" s="172"/>
      <c r="G169" s="54"/>
      <c r="H169" s="42"/>
    </row>
    <row r="170" spans="1:8" s="8" customFormat="1" ht="13.5" customHeight="1" thickBot="1">
      <c r="A170" s="62"/>
      <c r="B170" s="62"/>
      <c r="C170" s="63"/>
      <c r="D170" s="63"/>
      <c r="E170" s="63"/>
      <c r="F170" s="98"/>
      <c r="G170" s="54"/>
      <c r="H170" s="42"/>
    </row>
    <row r="171" spans="1:8" s="8" customFormat="1" ht="13.5" customHeight="1" thickBot="1">
      <c r="A171" s="1013" t="s">
        <v>2</v>
      </c>
      <c r="B171" s="1032"/>
      <c r="C171" s="634">
        <f>C172+C174+C176+C178+C180+C187+C189</f>
        <v>420140</v>
      </c>
      <c r="D171" s="67"/>
      <c r="E171" s="65"/>
      <c r="F171" s="98"/>
      <c r="G171" s="54"/>
      <c r="H171" s="42"/>
    </row>
    <row r="172" spans="1:8" s="8" customFormat="1" ht="13.5" customHeight="1">
      <c r="A172" s="11" t="s">
        <v>103</v>
      </c>
      <c r="B172" s="199" t="s">
        <v>484</v>
      </c>
      <c r="C172" s="63">
        <f>SUM(C173)</f>
        <v>36430</v>
      </c>
      <c r="D172" s="56"/>
      <c r="E172" s="55"/>
      <c r="F172" s="98"/>
      <c r="G172" s="54"/>
      <c r="H172" s="42"/>
    </row>
    <row r="173" spans="1:8" s="8" customFormat="1" ht="13.5" customHeight="1">
      <c r="A173" s="12" t="s">
        <v>46</v>
      </c>
      <c r="B173" s="8" t="s">
        <v>45</v>
      </c>
      <c r="C173" s="24">
        <v>36430</v>
      </c>
      <c r="D173" s="42"/>
      <c r="E173" s="42"/>
      <c r="F173" s="98"/>
      <c r="G173" s="54"/>
      <c r="H173" s="42"/>
    </row>
    <row r="174" spans="1:8" s="8" customFormat="1" ht="13.5" customHeight="1">
      <c r="A174" s="11" t="s">
        <v>105</v>
      </c>
      <c r="B174" s="502" t="s">
        <v>106</v>
      </c>
      <c r="C174" s="31">
        <f>SUM(C175:C175)</f>
        <v>29000</v>
      </c>
      <c r="D174" s="22"/>
      <c r="E174" s="31"/>
      <c r="F174" s="98"/>
      <c r="G174" s="54"/>
      <c r="H174" s="42"/>
    </row>
    <row r="175" spans="1:8" s="8" customFormat="1" ht="13.5" customHeight="1">
      <c r="A175" s="12" t="s">
        <v>86</v>
      </c>
      <c r="B175" s="8" t="s">
        <v>66</v>
      </c>
      <c r="C175" s="24">
        <v>29000</v>
      </c>
      <c r="D175" s="22"/>
      <c r="E175" s="63"/>
      <c r="F175" s="98"/>
      <c r="G175" s="54"/>
      <c r="H175" s="42"/>
    </row>
    <row r="176" spans="1:8" s="8" customFormat="1" ht="13.5" customHeight="1">
      <c r="A176" s="11" t="s">
        <v>107</v>
      </c>
      <c r="B176" s="502" t="s">
        <v>108</v>
      </c>
      <c r="C176" s="31">
        <f>SUM(C177)</f>
        <v>28500</v>
      </c>
      <c r="D176" s="22"/>
      <c r="E176" s="63"/>
      <c r="F176" s="98"/>
      <c r="G176" s="54"/>
      <c r="H176" s="42"/>
    </row>
    <row r="177" spans="1:8" s="8" customFormat="1" ht="13.5" customHeight="1">
      <c r="A177" s="12" t="s">
        <v>47</v>
      </c>
      <c r="B177" s="23" t="s">
        <v>48</v>
      </c>
      <c r="C177" s="24">
        <v>28500</v>
      </c>
      <c r="D177" s="77"/>
      <c r="E177" s="63"/>
      <c r="F177" s="98"/>
      <c r="G177" s="54"/>
      <c r="H177" s="42"/>
    </row>
    <row r="178" spans="1:8" s="8" customFormat="1" ht="13.5" customHeight="1">
      <c r="A178" s="11" t="s">
        <v>196</v>
      </c>
      <c r="B178" s="502" t="s">
        <v>195</v>
      </c>
      <c r="C178" s="31">
        <f>SUM(C179)</f>
        <v>83000</v>
      </c>
      <c r="D178" s="77"/>
      <c r="E178" s="63"/>
      <c r="F178" s="98"/>
      <c r="G178" s="54"/>
      <c r="H178" s="42"/>
    </row>
    <row r="179" spans="1:8" s="8" customFormat="1" ht="13.5" customHeight="1">
      <c r="A179" s="12" t="s">
        <v>194</v>
      </c>
      <c r="B179" s="8" t="s">
        <v>216</v>
      </c>
      <c r="C179" s="59">
        <v>83000</v>
      </c>
      <c r="D179" s="65"/>
      <c r="E179" s="65"/>
      <c r="F179" s="98"/>
      <c r="G179" s="54"/>
      <c r="H179" s="42"/>
    </row>
    <row r="180" spans="1:8" s="8" customFormat="1" ht="13.5" customHeight="1">
      <c r="A180" s="249" t="s">
        <v>119</v>
      </c>
      <c r="B180" s="25" t="s">
        <v>109</v>
      </c>
      <c r="C180" s="63">
        <f>SUM(C181:C186)</f>
        <v>109390</v>
      </c>
      <c r="D180" s="67"/>
      <c r="E180" s="63"/>
      <c r="F180" s="98"/>
      <c r="G180" s="54"/>
      <c r="H180" s="42"/>
    </row>
    <row r="181" spans="1:8" s="8" customFormat="1" ht="13.5" customHeight="1">
      <c r="A181" s="71" t="s">
        <v>191</v>
      </c>
      <c r="B181" s="23" t="s">
        <v>190</v>
      </c>
      <c r="C181" s="59">
        <v>10000</v>
      </c>
      <c r="D181" s="56"/>
      <c r="E181" s="67"/>
      <c r="F181" s="98"/>
      <c r="G181" s="54"/>
      <c r="H181" s="42"/>
    </row>
    <row r="182" spans="1:8" s="8" customFormat="1" ht="13.5" customHeight="1">
      <c r="A182" s="71" t="s">
        <v>149</v>
      </c>
      <c r="B182" s="23" t="s">
        <v>69</v>
      </c>
      <c r="C182" s="59">
        <v>40200</v>
      </c>
      <c r="D182" s="67"/>
      <c r="E182" s="67"/>
      <c r="F182" s="98"/>
      <c r="G182" s="54"/>
      <c r="H182" s="42"/>
    </row>
    <row r="183" spans="1:8" s="8" customFormat="1" ht="13.5" customHeight="1">
      <c r="A183" s="71" t="s">
        <v>189</v>
      </c>
      <c r="B183" s="23" t="s">
        <v>188</v>
      </c>
      <c r="C183" s="59">
        <v>10440</v>
      </c>
      <c r="D183" s="67"/>
      <c r="E183" s="63"/>
      <c r="F183" s="98"/>
      <c r="G183" s="54"/>
      <c r="H183" s="42"/>
    </row>
    <row r="184" spans="1:5" s="65" customFormat="1" ht="13.5">
      <c r="A184" s="71" t="s">
        <v>641</v>
      </c>
      <c r="B184" s="24" t="s">
        <v>640</v>
      </c>
      <c r="C184" s="24">
        <v>17000</v>
      </c>
      <c r="D184" s="77"/>
      <c r="E184" s="25"/>
    </row>
    <row r="185" spans="1:5" s="65" customFormat="1" ht="13.5">
      <c r="A185" s="71" t="s">
        <v>758</v>
      </c>
      <c r="B185" s="24" t="s">
        <v>753</v>
      </c>
      <c r="C185" s="24">
        <v>13000</v>
      </c>
      <c r="D185" s="77"/>
      <c r="E185" s="25"/>
    </row>
    <row r="186" spans="1:5" s="65" customFormat="1" ht="13.5">
      <c r="A186" s="71" t="s">
        <v>754</v>
      </c>
      <c r="B186" s="24" t="s">
        <v>755</v>
      </c>
      <c r="C186" s="24">
        <v>18750</v>
      </c>
      <c r="D186" s="77"/>
      <c r="E186" s="25"/>
    </row>
    <row r="187" spans="1:8" s="8" customFormat="1" ht="13.5" customHeight="1">
      <c r="A187" s="249" t="s">
        <v>124</v>
      </c>
      <c r="B187" s="25" t="s">
        <v>123</v>
      </c>
      <c r="C187" s="63">
        <f>SUM(C188)</f>
        <v>20000</v>
      </c>
      <c r="D187" s="67"/>
      <c r="E187" s="63"/>
      <c r="F187" s="98"/>
      <c r="G187" s="54"/>
      <c r="H187" s="42"/>
    </row>
    <row r="188" spans="1:8" s="8" customFormat="1" ht="13.5" customHeight="1">
      <c r="A188" s="71" t="s">
        <v>93</v>
      </c>
      <c r="B188" s="23" t="s">
        <v>72</v>
      </c>
      <c r="C188" s="59">
        <v>20000</v>
      </c>
      <c r="D188" s="67"/>
      <c r="E188" s="67"/>
      <c r="F188" s="98"/>
      <c r="G188" s="54"/>
      <c r="H188" s="42"/>
    </row>
    <row r="189" spans="1:8" s="8" customFormat="1" ht="13.5" customHeight="1">
      <c r="A189" s="249" t="s">
        <v>150</v>
      </c>
      <c r="B189" s="25" t="s">
        <v>125</v>
      </c>
      <c r="C189" s="63">
        <f>SUM(C190:C193)</f>
        <v>113820</v>
      </c>
      <c r="D189" s="67"/>
      <c r="E189" s="67"/>
      <c r="F189" s="98"/>
      <c r="G189" s="54"/>
      <c r="H189" s="42"/>
    </row>
    <row r="190" spans="1:8" s="8" customFormat="1" ht="13.5" customHeight="1">
      <c r="A190" s="71" t="s">
        <v>151</v>
      </c>
      <c r="B190" s="23" t="s">
        <v>65</v>
      </c>
      <c r="C190" s="59">
        <v>7250</v>
      </c>
      <c r="D190" s="67"/>
      <c r="E190" s="67"/>
      <c r="F190" s="98"/>
      <c r="G190" s="54"/>
      <c r="H190" s="42"/>
    </row>
    <row r="191" spans="1:8" s="8" customFormat="1" ht="13.5" customHeight="1">
      <c r="A191" s="71" t="s">
        <v>152</v>
      </c>
      <c r="B191" s="23" t="s">
        <v>70</v>
      </c>
      <c r="C191" s="24">
        <v>26570</v>
      </c>
      <c r="D191" s="77"/>
      <c r="E191" s="25"/>
      <c r="F191" s="98"/>
      <c r="G191" s="54"/>
      <c r="H191" s="42"/>
    </row>
    <row r="192" spans="1:8" s="8" customFormat="1" ht="13.5" customHeight="1">
      <c r="A192" s="71" t="s">
        <v>154</v>
      </c>
      <c r="B192" s="23" t="s">
        <v>125</v>
      </c>
      <c r="C192" s="59">
        <v>10000</v>
      </c>
      <c r="D192" s="67"/>
      <c r="E192" s="67"/>
      <c r="F192" s="98"/>
      <c r="G192" s="54"/>
      <c r="H192" s="42"/>
    </row>
    <row r="193" spans="1:7" s="214" customFormat="1" ht="13.5">
      <c r="A193" s="71" t="s">
        <v>643</v>
      </c>
      <c r="B193" s="23" t="s">
        <v>759</v>
      </c>
      <c r="C193" s="59">
        <v>70000</v>
      </c>
      <c r="E193" s="61"/>
      <c r="F193" s="823"/>
      <c r="G193" s="89"/>
    </row>
    <row r="194" spans="1:8" s="8" customFormat="1" ht="13.5" customHeight="1" thickBot="1">
      <c r="A194" s="71"/>
      <c r="B194" s="23"/>
      <c r="C194" s="66"/>
      <c r="D194" s="67"/>
      <c r="E194" s="67"/>
      <c r="F194" s="98"/>
      <c r="G194" s="54"/>
      <c r="H194" s="42"/>
    </row>
    <row r="195" spans="1:8" s="8" customFormat="1" ht="13.5" customHeight="1" thickBot="1">
      <c r="A195" s="1015" t="s">
        <v>3</v>
      </c>
      <c r="B195" s="1048"/>
      <c r="C195" s="635">
        <f>C196+C198+C202+C206+C208+C210</f>
        <v>1064340</v>
      </c>
      <c r="D195" s="67"/>
      <c r="E195" s="65"/>
      <c r="F195" s="98"/>
      <c r="G195" s="54"/>
      <c r="H195" s="42"/>
    </row>
    <row r="196" spans="1:8" s="8" customFormat="1" ht="13.5" customHeight="1">
      <c r="A196" s="62" t="s">
        <v>110</v>
      </c>
      <c r="B196" s="199" t="s">
        <v>111</v>
      </c>
      <c r="C196" s="63">
        <f>SUM(C197)</f>
        <v>18870</v>
      </c>
      <c r="D196" s="56"/>
      <c r="E196" s="55"/>
      <c r="F196" s="98"/>
      <c r="G196" s="54"/>
      <c r="H196" s="42"/>
    </row>
    <row r="197" spans="1:8" s="8" customFormat="1" ht="13.5" customHeight="1">
      <c r="A197" s="58" t="s">
        <v>52</v>
      </c>
      <c r="B197" s="58" t="s">
        <v>15</v>
      </c>
      <c r="C197" s="24">
        <v>18870</v>
      </c>
      <c r="F197" s="98"/>
      <c r="G197" s="54"/>
      <c r="H197" s="42"/>
    </row>
    <row r="198" spans="1:8" s="8" customFormat="1" ht="13.5" customHeight="1">
      <c r="A198" s="62" t="s">
        <v>120</v>
      </c>
      <c r="B198" s="62" t="s">
        <v>485</v>
      </c>
      <c r="C198" s="63">
        <f>SUM(C199:C201)</f>
        <v>63640</v>
      </c>
      <c r="D198" s="55"/>
      <c r="E198" s="55"/>
      <c r="F198" s="98"/>
      <c r="G198" s="54"/>
      <c r="H198" s="42"/>
    </row>
    <row r="199" spans="1:8" s="8" customFormat="1" ht="13.5" customHeight="1">
      <c r="A199" s="58" t="s">
        <v>235</v>
      </c>
      <c r="B199" s="42" t="s">
        <v>236</v>
      </c>
      <c r="C199" s="59">
        <v>30000</v>
      </c>
      <c r="D199" s="55"/>
      <c r="E199" s="55"/>
      <c r="F199" s="98"/>
      <c r="G199" s="54"/>
      <c r="H199" s="42"/>
    </row>
    <row r="200" spans="1:8" s="8" customFormat="1" ht="13.5" customHeight="1">
      <c r="A200" s="58" t="s">
        <v>184</v>
      </c>
      <c r="B200" s="58" t="s">
        <v>272</v>
      </c>
      <c r="C200" s="59">
        <v>14890</v>
      </c>
      <c r="D200" s="65"/>
      <c r="E200" s="65"/>
      <c r="F200" s="98"/>
      <c r="G200" s="54"/>
      <c r="H200" s="42"/>
    </row>
    <row r="201" spans="1:8" s="8" customFormat="1" ht="13.5" customHeight="1">
      <c r="A201" s="58" t="s">
        <v>136</v>
      </c>
      <c r="B201" s="58" t="s">
        <v>71</v>
      </c>
      <c r="C201" s="59">
        <v>18750</v>
      </c>
      <c r="D201" s="65"/>
      <c r="E201" s="65"/>
      <c r="F201" s="98"/>
      <c r="G201" s="54"/>
      <c r="H201" s="42"/>
    </row>
    <row r="202" spans="1:8" s="8" customFormat="1" ht="13.5" customHeight="1">
      <c r="A202" s="249" t="s">
        <v>112</v>
      </c>
      <c r="B202" s="62" t="s">
        <v>156</v>
      </c>
      <c r="C202" s="31">
        <f>SUM(C203:C205)</f>
        <v>420700</v>
      </c>
      <c r="F202" s="98"/>
      <c r="G202" s="54"/>
      <c r="H202" s="42"/>
    </row>
    <row r="203" spans="1:8" s="8" customFormat="1" ht="13.5" customHeight="1">
      <c r="A203" s="71" t="s">
        <v>138</v>
      </c>
      <c r="B203" s="58" t="s">
        <v>810</v>
      </c>
      <c r="C203" s="59">
        <v>7700</v>
      </c>
      <c r="D203" s="55"/>
      <c r="E203" s="55"/>
      <c r="F203" s="98"/>
      <c r="G203" s="54"/>
      <c r="H203" s="42"/>
    </row>
    <row r="204" spans="1:8" s="8" customFormat="1" ht="13.5" customHeight="1">
      <c r="A204" s="71" t="s">
        <v>49</v>
      </c>
      <c r="B204" s="24" t="s">
        <v>87</v>
      </c>
      <c r="C204" s="59">
        <v>313000</v>
      </c>
      <c r="D204" s="55"/>
      <c r="E204" s="55"/>
      <c r="F204" s="98"/>
      <c r="G204" s="54"/>
      <c r="H204" s="42"/>
    </row>
    <row r="205" spans="1:8" s="8" customFormat="1" ht="13.5" customHeight="1">
      <c r="A205" s="71" t="s">
        <v>844</v>
      </c>
      <c r="B205" s="42" t="s">
        <v>814</v>
      </c>
      <c r="C205" s="59">
        <v>100000</v>
      </c>
      <c r="D205" s="55"/>
      <c r="E205" s="55"/>
      <c r="F205" s="98"/>
      <c r="G205" s="54"/>
      <c r="H205" s="42"/>
    </row>
    <row r="206" spans="1:8" s="8" customFormat="1" ht="13.5" customHeight="1">
      <c r="A206" s="249" t="s">
        <v>113</v>
      </c>
      <c r="B206" s="31" t="s">
        <v>114</v>
      </c>
      <c r="C206" s="63">
        <f>SUM(C207:C207)</f>
        <v>7630</v>
      </c>
      <c r="D206" s="55"/>
      <c r="E206" s="55"/>
      <c r="F206" s="98"/>
      <c r="G206" s="54"/>
      <c r="H206" s="42"/>
    </row>
    <row r="207" spans="1:8" s="8" customFormat="1" ht="13.5" customHeight="1">
      <c r="A207" s="71" t="s">
        <v>88</v>
      </c>
      <c r="B207" s="24" t="s">
        <v>64</v>
      </c>
      <c r="C207" s="59">
        <v>7630</v>
      </c>
      <c r="D207" s="55"/>
      <c r="E207" s="55"/>
      <c r="F207" s="98"/>
      <c r="G207" s="54"/>
      <c r="H207" s="42"/>
    </row>
    <row r="208" spans="1:8" s="8" customFormat="1" ht="13.5" customHeight="1">
      <c r="A208" s="249" t="s">
        <v>132</v>
      </c>
      <c r="B208" s="62" t="s">
        <v>56</v>
      </c>
      <c r="C208" s="63">
        <f>SUM(C209)</f>
        <v>10500</v>
      </c>
      <c r="D208" s="55"/>
      <c r="E208" s="55"/>
      <c r="F208" s="98"/>
      <c r="G208" s="54"/>
      <c r="H208" s="42"/>
    </row>
    <row r="209" spans="1:8" s="8" customFormat="1" ht="13.5" customHeight="1">
      <c r="A209" s="71" t="s">
        <v>55</v>
      </c>
      <c r="B209" s="58" t="s">
        <v>56</v>
      </c>
      <c r="C209" s="59">
        <v>10500</v>
      </c>
      <c r="D209" s="55"/>
      <c r="E209" s="55"/>
      <c r="F209" s="98"/>
      <c r="G209" s="54"/>
      <c r="H209" s="42"/>
    </row>
    <row r="210" spans="1:8" s="8" customFormat="1" ht="13.5" customHeight="1">
      <c r="A210" s="249" t="s">
        <v>115</v>
      </c>
      <c r="B210" s="31" t="s">
        <v>8</v>
      </c>
      <c r="C210" s="63">
        <f>SUM(C211:C214)</f>
        <v>543000</v>
      </c>
      <c r="D210" s="55"/>
      <c r="E210" s="55"/>
      <c r="F210" s="98"/>
      <c r="G210" s="54"/>
      <c r="H210" s="42"/>
    </row>
    <row r="211" spans="1:8" s="8" customFormat="1" ht="13.5" customHeight="1">
      <c r="A211" s="71" t="s">
        <v>92</v>
      </c>
      <c r="B211" s="24" t="s">
        <v>8</v>
      </c>
      <c r="C211" s="59">
        <v>176500</v>
      </c>
      <c r="D211" s="55"/>
      <c r="E211" s="55"/>
      <c r="F211" s="98"/>
      <c r="G211" s="54"/>
      <c r="H211" s="42"/>
    </row>
    <row r="212" spans="1:8" s="8" customFormat="1" ht="13.5" customHeight="1">
      <c r="A212" s="71" t="s">
        <v>486</v>
      </c>
      <c r="B212" s="24" t="s">
        <v>50</v>
      </c>
      <c r="C212" s="59">
        <v>42500</v>
      </c>
      <c r="D212" s="55"/>
      <c r="E212" s="55"/>
      <c r="F212" s="98"/>
      <c r="G212" s="54"/>
      <c r="H212" s="42"/>
    </row>
    <row r="213" spans="1:5" ht="13.5">
      <c r="A213" s="71" t="s">
        <v>223</v>
      </c>
      <c r="B213" s="42" t="s">
        <v>222</v>
      </c>
      <c r="C213" s="24">
        <v>100000</v>
      </c>
      <c r="D213" s="24"/>
      <c r="E213" s="117"/>
    </row>
    <row r="214" spans="1:8" s="8" customFormat="1" ht="13.5" customHeight="1">
      <c r="A214" s="71" t="s">
        <v>90</v>
      </c>
      <c r="B214" s="24" t="s">
        <v>7</v>
      </c>
      <c r="C214" s="59">
        <v>224000</v>
      </c>
      <c r="D214" s="65"/>
      <c r="E214" s="65"/>
      <c r="F214" s="98"/>
      <c r="G214" s="54"/>
      <c r="H214" s="42"/>
    </row>
    <row r="215" spans="1:8" s="8" customFormat="1" ht="13.5" customHeight="1" thickBot="1">
      <c r="A215" s="71"/>
      <c r="B215" s="24"/>
      <c r="C215" s="59"/>
      <c r="D215" s="23"/>
      <c r="E215" s="201"/>
      <c r="F215" s="98"/>
      <c r="G215" s="54"/>
      <c r="H215" s="42"/>
    </row>
    <row r="216" spans="1:8" s="8" customFormat="1" ht="13.5" customHeight="1" thickBot="1">
      <c r="A216" s="1030" t="s">
        <v>5</v>
      </c>
      <c r="B216" s="1031"/>
      <c r="C216" s="661">
        <f>C217</f>
        <v>240000</v>
      </c>
      <c r="D216" s="67"/>
      <c r="E216" s="67"/>
      <c r="F216" s="98"/>
      <c r="G216" s="54"/>
      <c r="H216" s="42"/>
    </row>
    <row r="217" spans="1:8" s="8" customFormat="1" ht="13.5" customHeight="1">
      <c r="A217" s="249" t="s">
        <v>128</v>
      </c>
      <c r="B217" s="199" t="s">
        <v>129</v>
      </c>
      <c r="C217" s="63">
        <f>SUM(C218:C220)</f>
        <v>240000</v>
      </c>
      <c r="D217" s="56"/>
      <c r="E217" s="56"/>
      <c r="F217" s="98"/>
      <c r="G217" s="54"/>
      <c r="H217" s="42"/>
    </row>
    <row r="218" spans="1:8" s="8" customFormat="1" ht="13.5" customHeight="1">
      <c r="A218" s="71" t="s">
        <v>255</v>
      </c>
      <c r="B218" s="98" t="s">
        <v>256</v>
      </c>
      <c r="C218" s="59">
        <v>30000</v>
      </c>
      <c r="D218" s="56"/>
      <c r="E218" s="56"/>
      <c r="F218" s="98"/>
      <c r="G218" s="54"/>
      <c r="H218" s="42"/>
    </row>
    <row r="219" spans="1:8" s="8" customFormat="1" ht="13.5" customHeight="1">
      <c r="A219" s="71" t="s">
        <v>487</v>
      </c>
      <c r="B219" s="98" t="s">
        <v>488</v>
      </c>
      <c r="C219" s="59">
        <v>50000</v>
      </c>
      <c r="D219" s="56"/>
      <c r="E219" s="56"/>
      <c r="F219" s="98"/>
      <c r="G219" s="54"/>
      <c r="H219" s="42"/>
    </row>
    <row r="220" spans="1:8" s="8" customFormat="1" ht="13.5" customHeight="1">
      <c r="A220" s="71" t="s">
        <v>144</v>
      </c>
      <c r="B220" s="24" t="s">
        <v>12</v>
      </c>
      <c r="C220" s="24">
        <v>160000</v>
      </c>
      <c r="D220" s="65"/>
      <c r="E220" s="67"/>
      <c r="F220" s="98"/>
      <c r="G220" s="54"/>
      <c r="H220" s="42"/>
    </row>
    <row r="221" spans="1:8" s="8" customFormat="1" ht="13.5" customHeight="1" thickBot="1">
      <c r="A221" s="71"/>
      <c r="B221" s="24"/>
      <c r="C221" s="24"/>
      <c r="D221" s="65"/>
      <c r="E221" s="67"/>
      <c r="F221" s="98"/>
      <c r="G221" s="54"/>
      <c r="H221" s="42"/>
    </row>
    <row r="222" spans="1:8" s="8" customFormat="1" ht="13.5" customHeight="1" thickBot="1">
      <c r="A222" s="1017" t="s">
        <v>4</v>
      </c>
      <c r="B222" s="1033"/>
      <c r="C222" s="637">
        <f>+C223+C227</f>
        <v>115700</v>
      </c>
      <c r="D222" s="67"/>
      <c r="E222" s="67"/>
      <c r="F222" s="98"/>
      <c r="G222" s="54"/>
      <c r="H222" s="42"/>
    </row>
    <row r="223" spans="1:8" s="8" customFormat="1" ht="13.5" customHeight="1">
      <c r="A223" s="249" t="s">
        <v>116</v>
      </c>
      <c r="B223" s="25" t="s">
        <v>117</v>
      </c>
      <c r="C223" s="31">
        <f>SUM(C224:C226)</f>
        <v>98900</v>
      </c>
      <c r="D223" s="77"/>
      <c r="E223" s="25"/>
      <c r="F223" s="98"/>
      <c r="G223" s="54"/>
      <c r="H223" s="42"/>
    </row>
    <row r="224" spans="1:8" s="8" customFormat="1" ht="13.5" customHeight="1">
      <c r="A224" s="71" t="s">
        <v>91</v>
      </c>
      <c r="B224" s="23" t="s">
        <v>139</v>
      </c>
      <c r="C224" s="24">
        <v>41400</v>
      </c>
      <c r="D224" s="77"/>
      <c r="E224" s="25"/>
      <c r="F224" s="98"/>
      <c r="G224" s="54"/>
      <c r="H224" s="42"/>
    </row>
    <row r="225" spans="1:8" s="8" customFormat="1" ht="13.5" customHeight="1">
      <c r="A225" s="71" t="s">
        <v>57</v>
      </c>
      <c r="B225" s="23" t="s">
        <v>58</v>
      </c>
      <c r="C225" s="24">
        <v>27500</v>
      </c>
      <c r="D225" s="77"/>
      <c r="E225" s="25"/>
      <c r="F225" s="98"/>
      <c r="G225" s="54"/>
      <c r="H225" s="42"/>
    </row>
    <row r="226" spans="1:8" s="8" customFormat="1" ht="13.5" customHeight="1">
      <c r="A226" s="71" t="s">
        <v>756</v>
      </c>
      <c r="B226" s="23" t="s">
        <v>757</v>
      </c>
      <c r="C226" s="24">
        <v>30000</v>
      </c>
      <c r="D226" s="77"/>
      <c r="E226" s="25"/>
      <c r="F226" s="98"/>
      <c r="G226" s="54"/>
      <c r="H226" s="42"/>
    </row>
    <row r="227" spans="1:8" s="8" customFormat="1" ht="13.5" customHeight="1">
      <c r="A227" s="249" t="s">
        <v>165</v>
      </c>
      <c r="B227" s="25" t="s">
        <v>134</v>
      </c>
      <c r="C227" s="31">
        <f>SUM(C228)</f>
        <v>16800</v>
      </c>
      <c r="D227" s="77"/>
      <c r="E227" s="25"/>
      <c r="F227" s="98"/>
      <c r="G227" s="54"/>
      <c r="H227" s="42"/>
    </row>
    <row r="228" spans="1:5" ht="13.5">
      <c r="A228" s="71" t="s">
        <v>166</v>
      </c>
      <c r="B228" s="23" t="s">
        <v>51</v>
      </c>
      <c r="C228" s="24">
        <v>16800</v>
      </c>
      <c r="D228" s="77"/>
      <c r="E228" s="25"/>
    </row>
    <row r="229" ht="13.5" thickBot="1"/>
    <row r="230" spans="1:5" ht="12.75">
      <c r="A230" s="988" t="s">
        <v>845</v>
      </c>
      <c r="B230" s="989"/>
      <c r="C230" s="639" t="s">
        <v>6</v>
      </c>
      <c r="D230" s="754" t="s">
        <v>1028</v>
      </c>
      <c r="E230" s="51"/>
    </row>
    <row r="231" spans="1:5" ht="13.5" thickBot="1">
      <c r="A231" s="990"/>
      <c r="B231" s="991"/>
      <c r="C231" s="643"/>
      <c r="D231" s="644"/>
      <c r="E231" s="51"/>
    </row>
    <row r="232" spans="1:5" ht="12.75">
      <c r="A232" s="979" t="s">
        <v>846</v>
      </c>
      <c r="B232" s="980"/>
      <c r="C232" s="980"/>
      <c r="D232" s="981"/>
      <c r="E232" s="51"/>
    </row>
    <row r="233" spans="1:5" ht="12.75">
      <c r="A233" s="982"/>
      <c r="B233" s="983"/>
      <c r="C233" s="983"/>
      <c r="D233" s="984"/>
      <c r="E233" s="51"/>
    </row>
    <row r="234" spans="1:5" ht="12.75">
      <c r="A234" s="982"/>
      <c r="B234" s="983"/>
      <c r="C234" s="983"/>
      <c r="D234" s="984"/>
      <c r="E234" s="51"/>
    </row>
    <row r="235" spans="1:5" ht="29.25" customHeight="1" thickBot="1">
      <c r="A235" s="985"/>
      <c r="B235" s="986"/>
      <c r="C235" s="986"/>
      <c r="D235" s="987"/>
      <c r="E235" s="51"/>
    </row>
    <row r="236" spans="1:5" ht="13.5">
      <c r="A236" s="57" t="s">
        <v>809</v>
      </c>
      <c r="B236" s="58"/>
      <c r="C236" s="59"/>
      <c r="D236" s="60"/>
      <c r="E236" s="51"/>
    </row>
    <row r="237" spans="1:5" ht="13.5">
      <c r="A237" s="57" t="s">
        <v>590</v>
      </c>
      <c r="B237" s="58"/>
      <c r="C237" s="59"/>
      <c r="D237" s="60"/>
      <c r="E237" s="51"/>
    </row>
    <row r="238" spans="1:5" ht="13.5">
      <c r="A238" s="57" t="s">
        <v>567</v>
      </c>
      <c r="B238" s="58"/>
      <c r="C238" s="59"/>
      <c r="D238" s="60"/>
      <c r="E238" s="51"/>
    </row>
    <row r="239" spans="1:5" ht="14.25" thickBot="1">
      <c r="A239" s="160" t="s">
        <v>13</v>
      </c>
      <c r="B239" s="441"/>
      <c r="C239" s="158"/>
      <c r="D239" s="157"/>
      <c r="E239" s="51"/>
    </row>
    <row r="240" spans="1:7" ht="14.25" thickBot="1">
      <c r="A240" s="678" t="s">
        <v>535</v>
      </c>
      <c r="B240" s="679"/>
      <c r="C240" s="686"/>
      <c r="D240" s="682">
        <f>C242+C279+C309+C305</f>
        <v>34970230</v>
      </c>
      <c r="E240" s="51"/>
      <c r="F240" s="61"/>
      <c r="G240" s="61"/>
    </row>
    <row r="241" spans="1:5" ht="14.25" thickBot="1">
      <c r="A241" s="62"/>
      <c r="B241" s="62"/>
      <c r="C241" s="63"/>
      <c r="D241" s="63"/>
      <c r="E241" s="821"/>
    </row>
    <row r="242" spans="1:6" s="65" customFormat="1" ht="14.25" thickBot="1">
      <c r="A242" s="1013" t="s">
        <v>2</v>
      </c>
      <c r="B242" s="1014"/>
      <c r="C242" s="634">
        <f>C243+C245+C249+C251+C254+C256+C261+C269+C272</f>
        <v>10070050</v>
      </c>
      <c r="D242" s="56"/>
      <c r="F242" s="201"/>
    </row>
    <row r="243" spans="1:5" s="225" customFormat="1" ht="13.5">
      <c r="A243" s="11" t="s">
        <v>103</v>
      </c>
      <c r="B243" s="199" t="s">
        <v>484</v>
      </c>
      <c r="C243" s="509">
        <f>SUM(C244)</f>
        <v>812500</v>
      </c>
      <c r="D243" s="94"/>
      <c r="E243" s="94"/>
    </row>
    <row r="244" spans="1:7" s="42" customFormat="1" ht="13.5" customHeight="1">
      <c r="A244" s="12" t="s">
        <v>46</v>
      </c>
      <c r="B244" s="8" t="s">
        <v>45</v>
      </c>
      <c r="C244" s="24">
        <v>812500</v>
      </c>
      <c r="D244" s="24"/>
      <c r="E244" s="31"/>
      <c r="G244" s="54"/>
    </row>
    <row r="245" spans="1:7" s="42" customFormat="1" ht="13.5" customHeight="1">
      <c r="A245" s="11" t="s">
        <v>200</v>
      </c>
      <c r="B245" s="502" t="s">
        <v>220</v>
      </c>
      <c r="C245" s="31">
        <f>SUM(C246:C248)</f>
        <v>101550</v>
      </c>
      <c r="D245" s="24"/>
      <c r="E245" s="31"/>
      <c r="G245" s="54"/>
    </row>
    <row r="246" spans="1:7" s="42" customFormat="1" ht="13.5" customHeight="1">
      <c r="A246" s="12" t="s">
        <v>198</v>
      </c>
      <c r="B246" s="69" t="s">
        <v>490</v>
      </c>
      <c r="C246" s="24">
        <v>20350</v>
      </c>
      <c r="D246" s="24"/>
      <c r="E246" s="31"/>
      <c r="G246" s="54"/>
    </row>
    <row r="247" spans="1:7" s="42" customFormat="1" ht="13.5" customHeight="1">
      <c r="A247" s="12" t="s">
        <v>228</v>
      </c>
      <c r="B247" s="69" t="s">
        <v>227</v>
      </c>
      <c r="C247" s="59">
        <v>57440</v>
      </c>
      <c r="D247" s="24"/>
      <c r="E247" s="31"/>
      <c r="G247" s="54"/>
    </row>
    <row r="248" spans="1:7" s="42" customFormat="1" ht="13.5" customHeight="1">
      <c r="A248" s="12" t="s">
        <v>219</v>
      </c>
      <c r="B248" s="42" t="s">
        <v>218</v>
      </c>
      <c r="C248" s="59">
        <v>23760</v>
      </c>
      <c r="D248" s="24"/>
      <c r="E248" s="31"/>
      <c r="G248" s="54"/>
    </row>
    <row r="249" spans="1:7" s="42" customFormat="1" ht="13.5" customHeight="1">
      <c r="A249" s="11" t="s">
        <v>105</v>
      </c>
      <c r="B249" s="502" t="s">
        <v>106</v>
      </c>
      <c r="C249" s="31">
        <f>C250</f>
        <v>307160</v>
      </c>
      <c r="D249" s="24"/>
      <c r="E249" s="31"/>
      <c r="G249" s="54"/>
    </row>
    <row r="250" spans="1:5" s="65" customFormat="1" ht="13.5">
      <c r="A250" s="12" t="s">
        <v>86</v>
      </c>
      <c r="B250" s="8" t="s">
        <v>66</v>
      </c>
      <c r="C250" s="24">
        <v>307160</v>
      </c>
      <c r="D250" s="67"/>
      <c r="E250" s="67"/>
    </row>
    <row r="251" spans="1:5" s="65" customFormat="1" ht="13.5">
      <c r="A251" s="11" t="s">
        <v>107</v>
      </c>
      <c r="B251" s="502" t="s">
        <v>108</v>
      </c>
      <c r="C251" s="31">
        <f>SUM(C252:C253)</f>
        <v>264140</v>
      </c>
      <c r="D251" s="67"/>
      <c r="E251" s="67"/>
    </row>
    <row r="252" spans="1:5" s="65" customFormat="1" ht="13.5">
      <c r="A252" s="12" t="s">
        <v>47</v>
      </c>
      <c r="B252" s="23" t="s">
        <v>48</v>
      </c>
      <c r="C252" s="24">
        <v>245640</v>
      </c>
      <c r="D252" s="56"/>
      <c r="E252" s="56"/>
    </row>
    <row r="253" spans="1:5" s="65" customFormat="1" ht="13.5">
      <c r="A253" s="12" t="s">
        <v>455</v>
      </c>
      <c r="B253" s="23" t="s">
        <v>456</v>
      </c>
      <c r="C253" s="24">
        <v>18500</v>
      </c>
      <c r="D253" s="56"/>
      <c r="E253" s="56"/>
    </row>
    <row r="254" spans="1:5" s="65" customFormat="1" ht="13.5">
      <c r="A254" s="249" t="s">
        <v>196</v>
      </c>
      <c r="B254" s="25" t="s">
        <v>195</v>
      </c>
      <c r="C254" s="31">
        <f>SUM(C255:C255)</f>
        <v>180180</v>
      </c>
      <c r="D254" s="56"/>
      <c r="E254" s="56"/>
    </row>
    <row r="255" spans="1:5" s="65" customFormat="1" ht="13.5">
      <c r="A255" s="12" t="s">
        <v>194</v>
      </c>
      <c r="B255" s="42" t="s">
        <v>216</v>
      </c>
      <c r="C255" s="59">
        <f>154000*1.17</f>
        <v>180180</v>
      </c>
      <c r="D255" s="67"/>
      <c r="E255" s="67"/>
    </row>
    <row r="256" spans="1:5" s="55" customFormat="1" ht="13.5">
      <c r="A256" s="249" t="s">
        <v>491</v>
      </c>
      <c r="B256" s="62" t="s">
        <v>467</v>
      </c>
      <c r="C256" s="63">
        <f>SUM(C257:C260)</f>
        <v>6730820</v>
      </c>
      <c r="D256" s="56"/>
      <c r="E256" s="56"/>
    </row>
    <row r="257" spans="1:5" s="55" customFormat="1" ht="13.5">
      <c r="A257" s="71" t="s">
        <v>468</v>
      </c>
      <c r="B257" s="58" t="s">
        <v>492</v>
      </c>
      <c r="C257" s="59">
        <v>4941230</v>
      </c>
      <c r="D257" s="67"/>
      <c r="E257" s="56"/>
    </row>
    <row r="258" spans="1:5" s="55" customFormat="1" ht="13.5">
      <c r="A258" s="71" t="s">
        <v>470</v>
      </c>
      <c r="B258" s="58" t="s">
        <v>471</v>
      </c>
      <c r="C258" s="59">
        <v>1449500</v>
      </c>
      <c r="D258" s="56"/>
      <c r="E258" s="56"/>
    </row>
    <row r="259" spans="1:5" s="55" customFormat="1" ht="13.5">
      <c r="A259" s="71" t="s">
        <v>497</v>
      </c>
      <c r="B259" s="58" t="s">
        <v>498</v>
      </c>
      <c r="C259" s="59">
        <v>139320</v>
      </c>
      <c r="D259" s="56"/>
      <c r="E259" s="56"/>
    </row>
    <row r="260" spans="1:5" s="55" customFormat="1" ht="13.5">
      <c r="A260" s="71" t="s">
        <v>472</v>
      </c>
      <c r="B260" s="58" t="s">
        <v>493</v>
      </c>
      <c r="C260" s="59">
        <v>200770</v>
      </c>
      <c r="D260" s="56"/>
      <c r="E260" s="56"/>
    </row>
    <row r="261" spans="1:5" s="65" customFormat="1" ht="13.5">
      <c r="A261" s="249" t="s">
        <v>119</v>
      </c>
      <c r="B261" s="25" t="s">
        <v>109</v>
      </c>
      <c r="C261" s="63">
        <f>SUM(C262:C268)</f>
        <v>309380</v>
      </c>
      <c r="D261" s="67"/>
      <c r="E261" s="67"/>
    </row>
    <row r="262" spans="1:5" s="65" customFormat="1" ht="13.5">
      <c r="A262" s="69" t="s">
        <v>191</v>
      </c>
      <c r="B262" s="23" t="s">
        <v>190</v>
      </c>
      <c r="C262" s="59">
        <v>23400</v>
      </c>
      <c r="D262" s="67"/>
      <c r="E262" s="67"/>
    </row>
    <row r="263" spans="1:5" s="65" customFormat="1" ht="13.5">
      <c r="A263" s="69" t="s">
        <v>474</v>
      </c>
      <c r="B263" s="69" t="s">
        <v>475</v>
      </c>
      <c r="C263" s="59">
        <v>55000</v>
      </c>
      <c r="D263" s="67"/>
      <c r="E263" s="67"/>
    </row>
    <row r="264" spans="1:5" s="65" customFormat="1" ht="13.5">
      <c r="A264" s="69" t="s">
        <v>189</v>
      </c>
      <c r="B264" s="69" t="s">
        <v>188</v>
      </c>
      <c r="C264" s="59">
        <v>45900</v>
      </c>
      <c r="D264" s="56"/>
      <c r="E264" s="67"/>
    </row>
    <row r="265" spans="1:5" s="65" customFormat="1" ht="13.5">
      <c r="A265" s="71" t="s">
        <v>641</v>
      </c>
      <c r="B265" s="24" t="s">
        <v>640</v>
      </c>
      <c r="C265" s="24">
        <v>27000</v>
      </c>
      <c r="D265" s="77"/>
      <c r="E265" s="25"/>
    </row>
    <row r="266" spans="1:5" s="65" customFormat="1" ht="13.5">
      <c r="A266" s="71" t="s">
        <v>758</v>
      </c>
      <c r="B266" s="24" t="s">
        <v>753</v>
      </c>
      <c r="C266" s="24">
        <v>66250</v>
      </c>
      <c r="D266" s="77"/>
      <c r="E266" s="25"/>
    </row>
    <row r="267" spans="1:5" s="65" customFormat="1" ht="13.5">
      <c r="A267" s="71" t="s">
        <v>762</v>
      </c>
      <c r="B267" s="24" t="s">
        <v>763</v>
      </c>
      <c r="C267" s="24">
        <v>68750</v>
      </c>
      <c r="D267" s="77"/>
      <c r="E267" s="25"/>
    </row>
    <row r="268" spans="1:5" s="65" customFormat="1" ht="13.5">
      <c r="A268" s="71" t="s">
        <v>754</v>
      </c>
      <c r="B268" s="24" t="s">
        <v>755</v>
      </c>
      <c r="C268" s="24">
        <v>23080</v>
      </c>
      <c r="D268" s="77"/>
      <c r="E268" s="25"/>
    </row>
    <row r="269" spans="1:5" s="65" customFormat="1" ht="13.5">
      <c r="A269" s="249" t="s">
        <v>124</v>
      </c>
      <c r="B269" s="25" t="s">
        <v>123</v>
      </c>
      <c r="C269" s="63">
        <f>SUM(C270:C271)</f>
        <v>187250</v>
      </c>
      <c r="D269" s="56"/>
      <c r="E269" s="67"/>
    </row>
    <row r="270" spans="1:5" s="65" customFormat="1" ht="13.5">
      <c r="A270" s="71" t="s">
        <v>231</v>
      </c>
      <c r="B270" s="42" t="s">
        <v>230</v>
      </c>
      <c r="C270" s="59">
        <v>88550</v>
      </c>
      <c r="D270" s="56"/>
      <c r="E270" s="67"/>
    </row>
    <row r="271" spans="1:5" s="65" customFormat="1" ht="13.5">
      <c r="A271" s="71" t="s">
        <v>93</v>
      </c>
      <c r="B271" s="24" t="s">
        <v>72</v>
      </c>
      <c r="C271" s="59">
        <v>98700</v>
      </c>
      <c r="D271" s="67"/>
      <c r="E271" s="67"/>
    </row>
    <row r="272" spans="1:5" s="65" customFormat="1" ht="13.5">
      <c r="A272" s="249" t="s">
        <v>150</v>
      </c>
      <c r="B272" s="506" t="s">
        <v>125</v>
      </c>
      <c r="C272" s="63">
        <f>SUM(C273:C277)</f>
        <v>1177070</v>
      </c>
      <c r="D272" s="67"/>
      <c r="E272" s="67"/>
    </row>
    <row r="273" spans="1:7" s="42" customFormat="1" ht="13.5" customHeight="1">
      <c r="A273" s="71" t="s">
        <v>151</v>
      </c>
      <c r="B273" s="23" t="s">
        <v>65</v>
      </c>
      <c r="C273" s="59">
        <v>374350</v>
      </c>
      <c r="D273" s="22"/>
      <c r="E273" s="63"/>
      <c r="G273" s="54"/>
    </row>
    <row r="274" spans="1:7" s="42" customFormat="1" ht="13.5" customHeight="1">
      <c r="A274" s="71" t="s">
        <v>243</v>
      </c>
      <c r="B274" s="23" t="s">
        <v>244</v>
      </c>
      <c r="C274" s="59">
        <v>16570</v>
      </c>
      <c r="D274" s="22"/>
      <c r="E274" s="63"/>
      <c r="G274" s="54"/>
    </row>
    <row r="275" spans="1:7" s="42" customFormat="1" ht="13.5" customHeight="1">
      <c r="A275" s="71" t="s">
        <v>499</v>
      </c>
      <c r="B275" s="23" t="s">
        <v>500</v>
      </c>
      <c r="C275" s="59">
        <v>25150</v>
      </c>
      <c r="D275" s="22"/>
      <c r="E275" s="63"/>
      <c r="G275" s="54"/>
    </row>
    <row r="276" spans="1:5" s="65" customFormat="1" ht="13.5">
      <c r="A276" s="71" t="s">
        <v>154</v>
      </c>
      <c r="B276" s="23" t="s">
        <v>125</v>
      </c>
      <c r="C276" s="24">
        <v>620000</v>
      </c>
      <c r="D276" s="67"/>
      <c r="E276" s="56"/>
    </row>
    <row r="277" spans="1:7" s="214" customFormat="1" ht="13.5">
      <c r="A277" s="71" t="s">
        <v>643</v>
      </c>
      <c r="B277" s="23" t="s">
        <v>759</v>
      </c>
      <c r="C277" s="59">
        <v>141000</v>
      </c>
      <c r="E277" s="61"/>
      <c r="F277" s="823"/>
      <c r="G277" s="89"/>
    </row>
    <row r="278" spans="1:5" s="65" customFormat="1" ht="14.25" thickBot="1">
      <c r="A278" s="71"/>
      <c r="B278" s="23"/>
      <c r="C278" s="23"/>
      <c r="D278" s="67"/>
      <c r="E278" s="56"/>
    </row>
    <row r="279" spans="1:7" s="65" customFormat="1" ht="14.25" thickBot="1">
      <c r="A279" s="1015" t="s">
        <v>3</v>
      </c>
      <c r="B279" s="1016"/>
      <c r="C279" s="635">
        <f>C280+C284+C290+C292+C295+C297+C299</f>
        <v>21916310</v>
      </c>
      <c r="D279" s="56"/>
      <c r="G279" s="201"/>
    </row>
    <row r="280" spans="1:5" s="225" customFormat="1" ht="13.5">
      <c r="A280" s="62" t="s">
        <v>110</v>
      </c>
      <c r="B280" s="199" t="s">
        <v>111</v>
      </c>
      <c r="C280" s="509">
        <f>SUM(C281:C283)</f>
        <v>751950</v>
      </c>
      <c r="D280" s="94"/>
      <c r="E280" s="94"/>
    </row>
    <row r="281" spans="1:7" s="225" customFormat="1" ht="13.5">
      <c r="A281" s="58" t="s">
        <v>159</v>
      </c>
      <c r="B281" s="98" t="s">
        <v>158</v>
      </c>
      <c r="C281" s="111">
        <v>500000</v>
      </c>
      <c r="E281" s="94"/>
      <c r="G281" s="94"/>
    </row>
    <row r="282" spans="1:7" s="225" customFormat="1" ht="13.5">
      <c r="A282" s="58" t="s">
        <v>268</v>
      </c>
      <c r="B282" s="98" t="s">
        <v>501</v>
      </c>
      <c r="C282" s="111">
        <v>183640</v>
      </c>
      <c r="E282" s="94"/>
      <c r="G282" s="94"/>
    </row>
    <row r="283" spans="1:5" s="225" customFormat="1" ht="13.5">
      <c r="A283" s="58" t="s">
        <v>52</v>
      </c>
      <c r="B283" s="58" t="s">
        <v>15</v>
      </c>
      <c r="C283" s="111">
        <v>68310</v>
      </c>
      <c r="D283" s="94"/>
      <c r="E283" s="94"/>
    </row>
    <row r="284" spans="1:5" s="225" customFormat="1" ht="13.5">
      <c r="A284" s="62" t="s">
        <v>120</v>
      </c>
      <c r="B284" s="62" t="s">
        <v>121</v>
      </c>
      <c r="C284" s="509">
        <f>SUM(C285:C289)</f>
        <v>1156810</v>
      </c>
      <c r="D284" s="94"/>
      <c r="E284" s="94"/>
    </row>
    <row r="285" spans="1:5" s="225" customFormat="1" ht="13.5">
      <c r="A285" s="12" t="s">
        <v>245</v>
      </c>
      <c r="B285" s="12" t="s">
        <v>246</v>
      </c>
      <c r="C285" s="24">
        <v>856000</v>
      </c>
      <c r="D285" s="94"/>
      <c r="E285" s="94"/>
    </row>
    <row r="286" spans="1:5" s="225" customFormat="1" ht="13.5">
      <c r="A286" s="58" t="s">
        <v>477</v>
      </c>
      <c r="B286" s="58" t="s">
        <v>502</v>
      </c>
      <c r="C286" s="59">
        <v>108420</v>
      </c>
      <c r="D286" s="94"/>
      <c r="E286" s="94"/>
    </row>
    <row r="287" spans="1:5" s="225" customFormat="1" ht="13.5">
      <c r="A287" s="58" t="s">
        <v>184</v>
      </c>
      <c r="B287" s="58" t="s">
        <v>503</v>
      </c>
      <c r="C287" s="59">
        <v>51890</v>
      </c>
      <c r="D287" s="94"/>
      <c r="E287" s="94"/>
    </row>
    <row r="288" spans="1:7" s="65" customFormat="1" ht="13.5">
      <c r="A288" s="58" t="s">
        <v>140</v>
      </c>
      <c r="B288" s="58" t="s">
        <v>540</v>
      </c>
      <c r="C288" s="59">
        <v>85000</v>
      </c>
      <c r="E288" s="61"/>
      <c r="G288" s="67"/>
    </row>
    <row r="289" spans="1:5" s="225" customFormat="1" ht="13.5">
      <c r="A289" s="58" t="s">
        <v>136</v>
      </c>
      <c r="B289" s="58" t="s">
        <v>71</v>
      </c>
      <c r="C289" s="59">
        <v>55500</v>
      </c>
      <c r="D289" s="94"/>
      <c r="E289" s="94"/>
    </row>
    <row r="290" spans="1:5" s="225" customFormat="1" ht="13.5">
      <c r="A290" s="62" t="s">
        <v>273</v>
      </c>
      <c r="B290" s="62" t="s">
        <v>274</v>
      </c>
      <c r="C290" s="63">
        <f>SUM(C291)</f>
        <v>346050</v>
      </c>
      <c r="D290" s="94"/>
      <c r="E290" s="94"/>
    </row>
    <row r="291" spans="1:7" s="225" customFormat="1" ht="13.5">
      <c r="A291" s="58" t="s">
        <v>279</v>
      </c>
      <c r="B291" s="58" t="s">
        <v>280</v>
      </c>
      <c r="C291" s="24">
        <v>346050</v>
      </c>
      <c r="E291" s="94"/>
      <c r="G291" s="489"/>
    </row>
    <row r="292" spans="1:5" s="225" customFormat="1" ht="13.5">
      <c r="A292" s="249" t="s">
        <v>112</v>
      </c>
      <c r="B292" s="62" t="s">
        <v>156</v>
      </c>
      <c r="C292" s="509">
        <f>SUM(C293:C294)</f>
        <v>15253310</v>
      </c>
      <c r="E292" s="94"/>
    </row>
    <row r="293" spans="1:6" s="55" customFormat="1" ht="13.5">
      <c r="A293" s="71" t="s">
        <v>138</v>
      </c>
      <c r="B293" s="58" t="s">
        <v>810</v>
      </c>
      <c r="C293" s="59">
        <v>20000</v>
      </c>
      <c r="D293" s="63"/>
      <c r="E293" s="56"/>
      <c r="F293" s="56"/>
    </row>
    <row r="294" spans="1:9" s="55" customFormat="1" ht="13.5">
      <c r="A294" s="71" t="s">
        <v>49</v>
      </c>
      <c r="B294" s="24" t="s">
        <v>87</v>
      </c>
      <c r="C294" s="59">
        <v>15233310</v>
      </c>
      <c r="E294" s="56"/>
      <c r="F294" s="56"/>
      <c r="I294" s="94"/>
    </row>
    <row r="295" spans="1:6" s="55" customFormat="1" ht="13.5">
      <c r="A295" s="249" t="s">
        <v>113</v>
      </c>
      <c r="B295" s="31" t="s">
        <v>114</v>
      </c>
      <c r="C295" s="63">
        <f>SUM(C296:C296)</f>
        <v>23400</v>
      </c>
      <c r="D295" s="59"/>
      <c r="E295" s="56"/>
      <c r="F295" s="56"/>
    </row>
    <row r="296" spans="1:6" s="55" customFormat="1" ht="13.5">
      <c r="A296" s="71" t="s">
        <v>163</v>
      </c>
      <c r="B296" s="58" t="s">
        <v>74</v>
      </c>
      <c r="C296" s="59">
        <f>20000*1.17</f>
        <v>23400</v>
      </c>
      <c r="D296" s="25"/>
      <c r="E296" s="201"/>
      <c r="F296" s="56"/>
    </row>
    <row r="297" spans="1:6" s="55" customFormat="1" ht="13.5">
      <c r="A297" s="249" t="s">
        <v>132</v>
      </c>
      <c r="B297" s="62" t="s">
        <v>56</v>
      </c>
      <c r="C297" s="63">
        <f>SUM(C298)</f>
        <v>42350</v>
      </c>
      <c r="D297" s="25"/>
      <c r="E297" s="201"/>
      <c r="F297" s="56"/>
    </row>
    <row r="298" spans="1:5" s="65" customFormat="1" ht="13.5">
      <c r="A298" s="71" t="s">
        <v>55</v>
      </c>
      <c r="B298" s="58" t="s">
        <v>56</v>
      </c>
      <c r="C298" s="59">
        <v>42350</v>
      </c>
      <c r="D298" s="56"/>
      <c r="E298" s="56"/>
    </row>
    <row r="299" spans="1:7" s="65" customFormat="1" ht="13.5">
      <c r="A299" s="249" t="s">
        <v>115</v>
      </c>
      <c r="B299" s="31" t="s">
        <v>7</v>
      </c>
      <c r="C299" s="63">
        <f>SUM(C300:C303)</f>
        <v>4342440</v>
      </c>
      <c r="D299" s="56"/>
      <c r="E299" s="56"/>
      <c r="G299" s="442"/>
    </row>
    <row r="300" spans="1:8" s="65" customFormat="1" ht="13.5">
      <c r="A300" s="71" t="s">
        <v>449</v>
      </c>
      <c r="B300" s="24" t="s">
        <v>8</v>
      </c>
      <c r="C300" s="59">
        <v>4031120</v>
      </c>
      <c r="E300" s="59"/>
      <c r="F300" s="56"/>
      <c r="G300" s="55"/>
      <c r="H300" s="55"/>
    </row>
    <row r="301" spans="1:8" s="8" customFormat="1" ht="13.5" customHeight="1">
      <c r="A301" s="71" t="s">
        <v>486</v>
      </c>
      <c r="B301" s="24" t="s">
        <v>50</v>
      </c>
      <c r="C301" s="59">
        <v>42500</v>
      </c>
      <c r="D301" s="55"/>
      <c r="E301" s="55"/>
      <c r="F301" s="98"/>
      <c r="G301" s="54"/>
      <c r="H301" s="42"/>
    </row>
    <row r="302" spans="1:8" s="65" customFormat="1" ht="13.5">
      <c r="A302" s="71" t="s">
        <v>223</v>
      </c>
      <c r="B302" s="42" t="s">
        <v>222</v>
      </c>
      <c r="C302" s="59">
        <v>37750</v>
      </c>
      <c r="D302" s="442"/>
      <c r="E302" s="56"/>
      <c r="F302" s="56"/>
      <c r="G302" s="55"/>
      <c r="H302" s="55"/>
    </row>
    <row r="303" spans="1:8" s="55" customFormat="1" ht="13.5">
      <c r="A303" s="71" t="s">
        <v>90</v>
      </c>
      <c r="B303" s="24" t="s">
        <v>7</v>
      </c>
      <c r="C303" s="59">
        <v>231070</v>
      </c>
      <c r="E303" s="67"/>
      <c r="F303" s="65"/>
      <c r="H303" s="65"/>
    </row>
    <row r="304" spans="1:5" s="65" customFormat="1" ht="14.25" thickBot="1">
      <c r="A304" s="69"/>
      <c r="B304" s="69"/>
      <c r="C304" s="66"/>
      <c r="D304" s="67"/>
      <c r="E304" s="67"/>
    </row>
    <row r="305" spans="1:8" s="8" customFormat="1" ht="13.5" customHeight="1" thickBot="1">
      <c r="A305" s="1030" t="s">
        <v>5</v>
      </c>
      <c r="B305" s="1031"/>
      <c r="C305" s="661">
        <f>C306</f>
        <v>1495500</v>
      </c>
      <c r="D305" s="67"/>
      <c r="E305" s="67"/>
      <c r="F305" s="98"/>
      <c r="G305" s="54"/>
      <c r="H305" s="42"/>
    </row>
    <row r="306" spans="1:8" s="8" customFormat="1" ht="13.5" customHeight="1">
      <c r="A306" s="249" t="s">
        <v>128</v>
      </c>
      <c r="B306" s="199" t="s">
        <v>129</v>
      </c>
      <c r="C306" s="63">
        <f>SUM(C307:C307)</f>
        <v>1495500</v>
      </c>
      <c r="D306" s="56"/>
      <c r="E306" s="56"/>
      <c r="F306" s="98"/>
      <c r="G306" s="54"/>
      <c r="H306" s="42"/>
    </row>
    <row r="307" spans="1:8" s="8" customFormat="1" ht="13.5" customHeight="1">
      <c r="A307" s="71" t="s">
        <v>255</v>
      </c>
      <c r="B307" s="98" t="s">
        <v>256</v>
      </c>
      <c r="C307" s="59">
        <v>1495500</v>
      </c>
      <c r="D307" s="56"/>
      <c r="E307" s="56"/>
      <c r="F307" s="98"/>
      <c r="G307" s="54"/>
      <c r="H307" s="42"/>
    </row>
    <row r="308" spans="1:8" s="8" customFormat="1" ht="13.5" customHeight="1" thickBot="1">
      <c r="A308" s="71"/>
      <c r="B308" s="24"/>
      <c r="C308" s="24"/>
      <c r="D308" s="65"/>
      <c r="E308" s="67"/>
      <c r="F308" s="98"/>
      <c r="G308" s="54"/>
      <c r="H308" s="42"/>
    </row>
    <row r="309" spans="1:7" s="65" customFormat="1" ht="14.25" thickBot="1">
      <c r="A309" s="1017" t="s">
        <v>4</v>
      </c>
      <c r="B309" s="1018"/>
      <c r="C309" s="637">
        <f>C310+C313+C318</f>
        <v>1488370</v>
      </c>
      <c r="D309" s="67"/>
      <c r="G309" s="226"/>
    </row>
    <row r="310" spans="1:7" s="225" customFormat="1" ht="13.5">
      <c r="A310" s="249" t="s">
        <v>178</v>
      </c>
      <c r="B310" s="199" t="s">
        <v>177</v>
      </c>
      <c r="C310" s="509">
        <f>SUM(C311:C312)</f>
        <v>883360</v>
      </c>
      <c r="D310" s="94"/>
      <c r="G310" s="93"/>
    </row>
    <row r="311" spans="1:5" s="65" customFormat="1" ht="13.5">
      <c r="A311" s="71" t="s">
        <v>479</v>
      </c>
      <c r="B311" s="23" t="s">
        <v>480</v>
      </c>
      <c r="C311" s="24">
        <v>783360</v>
      </c>
      <c r="D311" s="67"/>
      <c r="E311" s="67"/>
    </row>
    <row r="312" spans="1:5" s="65" customFormat="1" ht="13.5">
      <c r="A312" s="71" t="s">
        <v>176</v>
      </c>
      <c r="B312" s="42" t="s">
        <v>175</v>
      </c>
      <c r="C312" s="24">
        <v>100000</v>
      </c>
      <c r="D312" s="67"/>
      <c r="E312" s="67"/>
    </row>
    <row r="313" spans="1:5" s="65" customFormat="1" ht="13.5">
      <c r="A313" s="249" t="s">
        <v>116</v>
      </c>
      <c r="B313" s="25" t="s">
        <v>117</v>
      </c>
      <c r="C313" s="31">
        <f>SUM(C314:C317)</f>
        <v>591810</v>
      </c>
      <c r="D313" s="67"/>
      <c r="E313" s="67"/>
    </row>
    <row r="314" spans="1:5" s="65" customFormat="1" ht="13.5">
      <c r="A314" s="71" t="s">
        <v>91</v>
      </c>
      <c r="B314" s="23" t="s">
        <v>139</v>
      </c>
      <c r="C314" s="24">
        <v>307150</v>
      </c>
      <c r="D314" s="67"/>
      <c r="E314" s="67"/>
    </row>
    <row r="315" spans="1:8" s="8" customFormat="1" ht="13.5" customHeight="1">
      <c r="A315" s="71" t="s">
        <v>57</v>
      </c>
      <c r="B315" s="23" t="s">
        <v>58</v>
      </c>
      <c r="C315" s="24">
        <v>57500</v>
      </c>
      <c r="D315" s="77"/>
      <c r="E315" s="25"/>
      <c r="F315" s="98"/>
      <c r="G315" s="54"/>
      <c r="H315" s="42"/>
    </row>
    <row r="316" spans="1:5" s="65" customFormat="1" ht="13.5">
      <c r="A316" s="71" t="s">
        <v>161</v>
      </c>
      <c r="B316" s="23" t="s">
        <v>162</v>
      </c>
      <c r="C316" s="24">
        <v>102160</v>
      </c>
      <c r="D316" s="67"/>
      <c r="E316" s="67"/>
    </row>
    <row r="317" spans="1:8" s="8" customFormat="1" ht="13.5" customHeight="1">
      <c r="A317" s="71" t="s">
        <v>756</v>
      </c>
      <c r="B317" s="23" t="s">
        <v>757</v>
      </c>
      <c r="C317" s="24">
        <v>125000</v>
      </c>
      <c r="D317" s="77"/>
      <c r="E317" s="25"/>
      <c r="F317" s="98"/>
      <c r="G317" s="54"/>
      <c r="H317" s="42"/>
    </row>
    <row r="318" spans="1:5" s="65" customFormat="1" ht="13.5">
      <c r="A318" s="249" t="s">
        <v>165</v>
      </c>
      <c r="B318" s="31" t="s">
        <v>496</v>
      </c>
      <c r="C318" s="31">
        <f>SUM(C319)</f>
        <v>13200</v>
      </c>
      <c r="D318" s="67"/>
      <c r="E318" s="67"/>
    </row>
    <row r="319" spans="1:5" s="65" customFormat="1" ht="13.5">
      <c r="A319" s="71" t="s">
        <v>166</v>
      </c>
      <c r="B319" s="23" t="s">
        <v>51</v>
      </c>
      <c r="C319" s="24">
        <v>13200</v>
      </c>
      <c r="D319" s="67"/>
      <c r="E319" s="67"/>
    </row>
    <row r="321" spans="1:7" s="443" customFormat="1" ht="13.5" customHeight="1" thickBot="1">
      <c r="A321" s="71"/>
      <c r="B321" s="71"/>
      <c r="C321" s="23"/>
      <c r="D321" s="77"/>
      <c r="E321" s="23"/>
      <c r="F321" s="72"/>
      <c r="G321" s="72"/>
    </row>
    <row r="322" spans="1:4" s="443" customFormat="1" ht="13.5" customHeight="1">
      <c r="A322" s="583" t="s">
        <v>711</v>
      </c>
      <c r="B322" s="584"/>
      <c r="C322" s="627" t="s">
        <v>6</v>
      </c>
      <c r="D322" s="755" t="s">
        <v>1029</v>
      </c>
    </row>
    <row r="323" spans="1:4" s="443" customFormat="1" ht="13.5" customHeight="1" thickBot="1">
      <c r="A323" s="642"/>
      <c r="B323" s="663"/>
      <c r="C323" s="669"/>
      <c r="D323" s="673"/>
    </row>
    <row r="324" spans="1:7" s="72" customFormat="1" ht="13.5" customHeight="1">
      <c r="A324" s="979" t="s">
        <v>847</v>
      </c>
      <c r="B324" s="980"/>
      <c r="C324" s="980"/>
      <c r="D324" s="981"/>
      <c r="F324" s="443"/>
      <c r="G324" s="443"/>
    </row>
    <row r="325" spans="1:7" s="72" customFormat="1" ht="13.5" customHeight="1">
      <c r="A325" s="982"/>
      <c r="B325" s="983"/>
      <c r="C325" s="983"/>
      <c r="D325" s="984"/>
      <c r="F325" s="443"/>
      <c r="G325" s="443"/>
    </row>
    <row r="326" spans="1:7" s="72" customFormat="1" ht="13.5" customHeight="1" thickBot="1">
      <c r="A326" s="985"/>
      <c r="B326" s="986"/>
      <c r="C326" s="986"/>
      <c r="D326" s="987"/>
      <c r="F326" s="443"/>
      <c r="G326" s="443"/>
    </row>
    <row r="327" spans="1:4" s="72" customFormat="1" ht="13.5" customHeight="1">
      <c r="A327" s="40" t="s">
        <v>809</v>
      </c>
      <c r="B327" s="40"/>
      <c r="C327" s="22"/>
      <c r="D327" s="303"/>
    </row>
    <row r="328" spans="1:4" s="72" customFormat="1" ht="13.5" customHeight="1">
      <c r="A328" s="57" t="s">
        <v>625</v>
      </c>
      <c r="B328" s="40"/>
      <c r="C328" s="22"/>
      <c r="D328" s="303"/>
    </row>
    <row r="329" spans="1:7" s="444" customFormat="1" ht="13.5" customHeight="1">
      <c r="A329" s="57" t="s">
        <v>764</v>
      </c>
      <c r="B329" s="40"/>
      <c r="C329" s="22"/>
      <c r="D329" s="303"/>
      <c r="F329" s="72"/>
      <c r="G329" s="72"/>
    </row>
    <row r="330" spans="1:4" s="72" customFormat="1" ht="13.5" customHeight="1" thickBot="1">
      <c r="A330" s="75" t="s">
        <v>11</v>
      </c>
      <c r="B330" s="75"/>
      <c r="C330" s="376"/>
      <c r="D330" s="361"/>
    </row>
    <row r="331" spans="1:7" s="72" customFormat="1" ht="13.5" customHeight="1" thickBot="1">
      <c r="A331" s="596" t="s">
        <v>745</v>
      </c>
      <c r="B331" s="597"/>
      <c r="C331" s="690"/>
      <c r="D331" s="600">
        <f>SUM(+C333+C360+C380)</f>
        <v>15548640</v>
      </c>
      <c r="F331" s="150"/>
      <c r="G331" s="25"/>
    </row>
    <row r="332" spans="1:5" s="72" customFormat="1" ht="13.5" customHeight="1" thickBot="1">
      <c r="A332" s="12"/>
      <c r="B332" s="12"/>
      <c r="C332" s="24"/>
      <c r="D332" s="22"/>
      <c r="E332" s="387"/>
    </row>
    <row r="333" spans="1:7" s="72" customFormat="1" ht="13.5" customHeight="1" thickBot="1">
      <c r="A333" s="992" t="s">
        <v>2</v>
      </c>
      <c r="B333" s="993"/>
      <c r="C333" s="602">
        <f>C334+C336+C339+C342+C351+C354+C346</f>
        <v>6805330</v>
      </c>
      <c r="D333" s="67"/>
      <c r="F333" s="444"/>
      <c r="G333" s="444"/>
    </row>
    <row r="334" spans="1:5" s="150" customFormat="1" ht="13.5" customHeight="1">
      <c r="A334" s="11" t="s">
        <v>103</v>
      </c>
      <c r="B334" s="199" t="s">
        <v>484</v>
      </c>
      <c r="C334" s="32">
        <f>SUM(C335)</f>
        <v>4734600</v>
      </c>
      <c r="D334" s="94"/>
      <c r="E334" s="95"/>
    </row>
    <row r="335" spans="1:7" s="42" customFormat="1" ht="13.5" customHeight="1">
      <c r="A335" s="12" t="s">
        <v>46</v>
      </c>
      <c r="B335" s="42" t="s">
        <v>45</v>
      </c>
      <c r="C335" s="24">
        <v>4734600</v>
      </c>
      <c r="E335" s="31"/>
      <c r="G335" s="95"/>
    </row>
    <row r="336" spans="1:7" s="42" customFormat="1" ht="13.5" customHeight="1">
      <c r="A336" s="11" t="s">
        <v>200</v>
      </c>
      <c r="B336" s="502" t="s">
        <v>220</v>
      </c>
      <c r="C336" s="31">
        <f>SUM(C337:C338)</f>
        <v>184100</v>
      </c>
      <c r="E336" s="31"/>
      <c r="G336" s="22"/>
    </row>
    <row r="337" spans="1:7" s="65" customFormat="1" ht="13.5">
      <c r="A337" s="12" t="s">
        <v>228</v>
      </c>
      <c r="B337" s="58" t="s">
        <v>227</v>
      </c>
      <c r="C337" s="59">
        <v>141100</v>
      </c>
      <c r="E337" s="67"/>
      <c r="G337" s="67"/>
    </row>
    <row r="338" spans="1:5" s="65" customFormat="1" ht="13.5">
      <c r="A338" s="12" t="s">
        <v>219</v>
      </c>
      <c r="B338" s="42" t="s">
        <v>218</v>
      </c>
      <c r="C338" s="59">
        <v>43000</v>
      </c>
      <c r="D338" s="67"/>
      <c r="E338" s="67"/>
    </row>
    <row r="339" spans="1:5" s="65" customFormat="1" ht="13.5">
      <c r="A339" s="11" t="s">
        <v>107</v>
      </c>
      <c r="B339" s="502" t="s">
        <v>108</v>
      </c>
      <c r="C339" s="63">
        <f>SUM(C340)</f>
        <v>92870</v>
      </c>
      <c r="D339" s="67"/>
      <c r="E339" s="67"/>
    </row>
    <row r="340" spans="1:5" s="65" customFormat="1" ht="13.5">
      <c r="A340" s="12" t="s">
        <v>47</v>
      </c>
      <c r="B340" s="24" t="s">
        <v>48</v>
      </c>
      <c r="C340" s="24">
        <v>92870</v>
      </c>
      <c r="D340" s="56"/>
      <c r="E340" s="56"/>
    </row>
    <row r="341" spans="1:5" s="65" customFormat="1" ht="13.5">
      <c r="A341" s="12" t="s">
        <v>453</v>
      </c>
      <c r="B341" s="42" t="s">
        <v>454</v>
      </c>
      <c r="C341" s="24">
        <v>35000</v>
      </c>
      <c r="D341" s="56"/>
      <c r="E341" s="56"/>
    </row>
    <row r="342" spans="1:5" s="65" customFormat="1" ht="13.5">
      <c r="A342" s="249" t="s">
        <v>491</v>
      </c>
      <c r="B342" s="62" t="s">
        <v>467</v>
      </c>
      <c r="C342" s="31">
        <f>SUM(C343:C345)</f>
        <v>506750</v>
      </c>
      <c r="D342" s="56"/>
      <c r="E342" s="56"/>
    </row>
    <row r="343" spans="1:5" s="65" customFormat="1" ht="13.5">
      <c r="A343" s="71" t="s">
        <v>468</v>
      </c>
      <c r="B343" s="58" t="s">
        <v>492</v>
      </c>
      <c r="C343" s="59">
        <v>185900</v>
      </c>
      <c r="D343" s="56"/>
      <c r="E343" s="56"/>
    </row>
    <row r="344" spans="1:5" s="65" customFormat="1" ht="13.5">
      <c r="A344" s="71" t="s">
        <v>470</v>
      </c>
      <c r="B344" s="58" t="s">
        <v>471</v>
      </c>
      <c r="C344" s="59">
        <v>289540</v>
      </c>
      <c r="D344" s="56"/>
      <c r="E344" s="56"/>
    </row>
    <row r="345" spans="1:5" s="65" customFormat="1" ht="13.5">
      <c r="A345" s="71" t="s">
        <v>472</v>
      </c>
      <c r="B345" s="58" t="s">
        <v>493</v>
      </c>
      <c r="C345" s="59">
        <v>31310</v>
      </c>
      <c r="D345" s="67"/>
      <c r="E345" s="56"/>
    </row>
    <row r="346" spans="1:5" s="65" customFormat="1" ht="13.5">
      <c r="A346" s="249" t="s">
        <v>119</v>
      </c>
      <c r="B346" s="25" t="s">
        <v>109</v>
      </c>
      <c r="C346" s="63">
        <f>SUM(C347:C350)</f>
        <v>172900</v>
      </c>
      <c r="D346" s="67"/>
      <c r="E346" s="67"/>
    </row>
    <row r="347" spans="1:5" s="65" customFormat="1" ht="13.5">
      <c r="A347" s="71" t="s">
        <v>641</v>
      </c>
      <c r="B347" s="24" t="s">
        <v>640</v>
      </c>
      <c r="C347" s="24">
        <v>32400</v>
      </c>
      <c r="D347" s="77"/>
      <c r="E347" s="25"/>
    </row>
    <row r="348" spans="1:5" s="65" customFormat="1" ht="13.5">
      <c r="A348" s="71" t="s">
        <v>758</v>
      </c>
      <c r="B348" s="24" t="s">
        <v>753</v>
      </c>
      <c r="C348" s="24">
        <v>53000</v>
      </c>
      <c r="D348" s="77"/>
      <c r="E348" s="25"/>
    </row>
    <row r="349" spans="1:5" s="65" customFormat="1" ht="13.5">
      <c r="A349" s="71" t="s">
        <v>762</v>
      </c>
      <c r="B349" s="24" t="s">
        <v>763</v>
      </c>
      <c r="C349" s="24">
        <v>68750</v>
      </c>
      <c r="D349" s="77"/>
      <c r="E349" s="25"/>
    </row>
    <row r="350" spans="1:5" s="65" customFormat="1" ht="13.5">
      <c r="A350" s="71" t="s">
        <v>754</v>
      </c>
      <c r="B350" s="24" t="s">
        <v>755</v>
      </c>
      <c r="C350" s="24">
        <v>18750</v>
      </c>
      <c r="D350" s="77"/>
      <c r="E350" s="25"/>
    </row>
    <row r="351" spans="1:5" s="65" customFormat="1" ht="13.5">
      <c r="A351" s="249" t="s">
        <v>124</v>
      </c>
      <c r="B351" s="25" t="s">
        <v>123</v>
      </c>
      <c r="C351" s="31">
        <f>SUM(C352:C353)</f>
        <v>89280</v>
      </c>
      <c r="D351" s="67"/>
      <c r="E351" s="56"/>
    </row>
    <row r="352" spans="1:5" s="65" customFormat="1" ht="13.5">
      <c r="A352" s="12" t="s">
        <v>231</v>
      </c>
      <c r="B352" s="42" t="s">
        <v>230</v>
      </c>
      <c r="C352" s="24">
        <v>48840</v>
      </c>
      <c r="D352" s="56"/>
      <c r="E352" s="56"/>
    </row>
    <row r="353" spans="1:5" s="65" customFormat="1" ht="13.5">
      <c r="A353" s="12" t="s">
        <v>93</v>
      </c>
      <c r="B353" s="24" t="s">
        <v>72</v>
      </c>
      <c r="C353" s="59">
        <v>40440</v>
      </c>
      <c r="D353" s="67"/>
      <c r="E353" s="67"/>
    </row>
    <row r="354" spans="1:5" s="65" customFormat="1" ht="13.5">
      <c r="A354" s="249" t="s">
        <v>504</v>
      </c>
      <c r="B354" s="31" t="s">
        <v>125</v>
      </c>
      <c r="C354" s="504">
        <f>SUM(C355:C358)</f>
        <v>1024830</v>
      </c>
      <c r="D354" s="56"/>
      <c r="E354" s="56"/>
    </row>
    <row r="355" spans="1:5" s="65" customFormat="1" ht="13.5">
      <c r="A355" s="71" t="s">
        <v>151</v>
      </c>
      <c r="B355" s="24" t="s">
        <v>65</v>
      </c>
      <c r="C355" s="59">
        <v>837780</v>
      </c>
      <c r="E355" s="67"/>
    </row>
    <row r="356" spans="1:5" s="65" customFormat="1" ht="13.5">
      <c r="A356" s="71" t="s">
        <v>243</v>
      </c>
      <c r="B356" s="24" t="s">
        <v>244</v>
      </c>
      <c r="C356" s="24">
        <v>56100</v>
      </c>
      <c r="D356" s="56"/>
      <c r="E356" s="56"/>
    </row>
    <row r="357" spans="1:5" s="65" customFormat="1" ht="13.5">
      <c r="A357" s="71" t="s">
        <v>154</v>
      </c>
      <c r="B357" s="24" t="s">
        <v>125</v>
      </c>
      <c r="C357" s="24">
        <v>90700</v>
      </c>
      <c r="D357" s="56"/>
      <c r="E357" s="56"/>
    </row>
    <row r="358" spans="1:7" s="214" customFormat="1" ht="13.5">
      <c r="A358" s="71" t="s">
        <v>643</v>
      </c>
      <c r="B358" s="23" t="s">
        <v>759</v>
      </c>
      <c r="C358" s="59">
        <v>40250</v>
      </c>
      <c r="E358" s="61"/>
      <c r="F358" s="823"/>
      <c r="G358" s="89"/>
    </row>
    <row r="359" spans="1:5" s="72" customFormat="1" ht="13.5" customHeight="1" thickBot="1">
      <c r="A359" s="71"/>
      <c r="B359" s="71"/>
      <c r="C359" s="23"/>
      <c r="D359" s="78"/>
      <c r="E359" s="23"/>
    </row>
    <row r="360" spans="1:7" s="72" customFormat="1" ht="13.5" customHeight="1" thickBot="1">
      <c r="A360" s="994" t="s">
        <v>3</v>
      </c>
      <c r="B360" s="995"/>
      <c r="C360" s="603">
        <f>C361+C363+C368+C370+C373+C375</f>
        <v>8103800</v>
      </c>
      <c r="D360" s="67"/>
      <c r="F360" s="444"/>
      <c r="G360" s="444"/>
    </row>
    <row r="361" spans="1:7" s="72" customFormat="1" ht="13.5" customHeight="1">
      <c r="A361" s="62" t="s">
        <v>110</v>
      </c>
      <c r="B361" s="199" t="s">
        <v>111</v>
      </c>
      <c r="C361" s="32">
        <f>SUM(C362)</f>
        <v>35280</v>
      </c>
      <c r="D361" s="67"/>
      <c r="E361" s="25"/>
      <c r="F361" s="444"/>
      <c r="G361" s="444"/>
    </row>
    <row r="362" spans="1:8" s="8" customFormat="1" ht="13.5" customHeight="1">
      <c r="A362" s="58" t="s">
        <v>52</v>
      </c>
      <c r="B362" s="58" t="s">
        <v>15</v>
      </c>
      <c r="C362" s="24">
        <v>35280</v>
      </c>
      <c r="D362" s="83"/>
      <c r="E362" s="25"/>
      <c r="F362" s="98"/>
      <c r="G362" s="54"/>
      <c r="H362" s="42"/>
    </row>
    <row r="363" spans="1:6" s="65" customFormat="1" ht="13.5">
      <c r="A363" s="62" t="s">
        <v>120</v>
      </c>
      <c r="B363" s="62" t="s">
        <v>121</v>
      </c>
      <c r="C363" s="63">
        <f>SUM(C364:C367)</f>
        <v>566940</v>
      </c>
      <c r="D363" s="59"/>
      <c r="E363" s="56"/>
      <c r="F363" s="56"/>
    </row>
    <row r="364" spans="1:9" s="65" customFormat="1" ht="13.5" customHeight="1">
      <c r="A364" s="58" t="s">
        <v>245</v>
      </c>
      <c r="B364" s="42" t="s">
        <v>246</v>
      </c>
      <c r="C364" s="59">
        <v>84240</v>
      </c>
      <c r="G364" s="59"/>
      <c r="H364" s="56"/>
      <c r="I364" s="56"/>
    </row>
    <row r="365" spans="1:9" s="65" customFormat="1" ht="13.5" customHeight="1">
      <c r="A365" s="58" t="s">
        <v>209</v>
      </c>
      <c r="B365" s="756" t="s">
        <v>208</v>
      </c>
      <c r="C365" s="59">
        <v>187500</v>
      </c>
      <c r="G365" s="59"/>
      <c r="H365" s="56"/>
      <c r="I365" s="56"/>
    </row>
    <row r="366" spans="1:9" s="65" customFormat="1" ht="13.5" customHeight="1">
      <c r="A366" s="58" t="s">
        <v>140</v>
      </c>
      <c r="B366" s="42" t="s">
        <v>141</v>
      </c>
      <c r="C366" s="59">
        <v>40000</v>
      </c>
      <c r="G366" s="59"/>
      <c r="H366" s="56"/>
      <c r="I366" s="56"/>
    </row>
    <row r="367" spans="1:8" s="65" customFormat="1" ht="13.5" customHeight="1">
      <c r="A367" s="58" t="s">
        <v>136</v>
      </c>
      <c r="B367" s="58" t="s">
        <v>71</v>
      </c>
      <c r="C367" s="59">
        <v>255200</v>
      </c>
      <c r="G367" s="59"/>
      <c r="H367" s="56"/>
    </row>
    <row r="368" spans="1:10" s="8" customFormat="1" ht="13.5" customHeight="1">
      <c r="A368" s="62" t="s">
        <v>273</v>
      </c>
      <c r="B368" s="62" t="s">
        <v>274</v>
      </c>
      <c r="C368" s="31">
        <f>SUM(C369)</f>
        <v>926640</v>
      </c>
      <c r="G368" s="83"/>
      <c r="H368" s="25"/>
      <c r="I368" s="98"/>
      <c r="J368" s="54"/>
    </row>
    <row r="369" spans="1:10" s="8" customFormat="1" ht="13.5" customHeight="1">
      <c r="A369" s="58" t="s">
        <v>279</v>
      </c>
      <c r="B369" s="58" t="s">
        <v>280</v>
      </c>
      <c r="C369" s="24">
        <v>926640</v>
      </c>
      <c r="G369" s="83"/>
      <c r="I369" s="98"/>
      <c r="J369" s="54"/>
    </row>
    <row r="370" spans="1:10" s="8" customFormat="1" ht="13.5" customHeight="1">
      <c r="A370" s="249" t="s">
        <v>112</v>
      </c>
      <c r="B370" s="62" t="s">
        <v>156</v>
      </c>
      <c r="C370" s="31">
        <f>SUM(C371:C372)</f>
        <v>2500300</v>
      </c>
      <c r="G370" s="83"/>
      <c r="H370" s="25"/>
      <c r="I370" s="98"/>
      <c r="J370" s="54"/>
    </row>
    <row r="371" spans="1:9" s="55" customFormat="1" ht="13.5" customHeight="1">
      <c r="A371" s="71" t="s">
        <v>49</v>
      </c>
      <c r="B371" s="24" t="s">
        <v>87</v>
      </c>
      <c r="C371" s="59">
        <v>2400300</v>
      </c>
      <c r="G371" s="56"/>
      <c r="I371" s="56"/>
    </row>
    <row r="372" spans="1:8" s="8" customFormat="1" ht="13.5" customHeight="1">
      <c r="A372" s="71" t="s">
        <v>844</v>
      </c>
      <c r="B372" s="42" t="s">
        <v>814</v>
      </c>
      <c r="C372" s="59">
        <v>100000</v>
      </c>
      <c r="D372" s="55"/>
      <c r="E372" s="55"/>
      <c r="F372" s="98"/>
      <c r="G372" s="54"/>
      <c r="H372" s="42"/>
    </row>
    <row r="373" spans="1:8" s="65" customFormat="1" ht="13.5">
      <c r="A373" s="249" t="s">
        <v>113</v>
      </c>
      <c r="B373" s="31" t="s">
        <v>114</v>
      </c>
      <c r="C373" s="63">
        <f>SUM(C374)</f>
        <v>254340</v>
      </c>
      <c r="G373" s="56"/>
      <c r="H373" s="56"/>
    </row>
    <row r="374" spans="1:9" s="55" customFormat="1" ht="13.5" customHeight="1">
      <c r="A374" s="71" t="s">
        <v>163</v>
      </c>
      <c r="B374" s="58" t="s">
        <v>74</v>
      </c>
      <c r="C374" s="59">
        <v>254340</v>
      </c>
      <c r="G374" s="59"/>
      <c r="H374" s="56"/>
      <c r="I374" s="56"/>
    </row>
    <row r="375" spans="1:9" s="55" customFormat="1" ht="13.5">
      <c r="A375" s="249" t="s">
        <v>115</v>
      </c>
      <c r="B375" s="31" t="s">
        <v>8</v>
      </c>
      <c r="C375" s="63">
        <f>SUM(C376:C378)</f>
        <v>3820300</v>
      </c>
      <c r="G375" s="59"/>
      <c r="H375" s="56"/>
      <c r="I375" s="56"/>
    </row>
    <row r="376" spans="1:7" s="55" customFormat="1" ht="13.5" customHeight="1">
      <c r="A376" s="71" t="s">
        <v>92</v>
      </c>
      <c r="B376" s="24" t="s">
        <v>8</v>
      </c>
      <c r="C376" s="59">
        <v>3471300</v>
      </c>
      <c r="G376" s="56"/>
    </row>
    <row r="377" spans="1:8" s="65" customFormat="1" ht="13.5">
      <c r="A377" s="71" t="s">
        <v>223</v>
      </c>
      <c r="B377" s="42" t="s">
        <v>222</v>
      </c>
      <c r="C377" s="59">
        <v>55000</v>
      </c>
      <c r="D377" s="442"/>
      <c r="E377" s="56"/>
      <c r="F377" s="56"/>
      <c r="G377" s="55"/>
      <c r="H377" s="55"/>
    </row>
    <row r="378" spans="1:9" s="65" customFormat="1" ht="13.5" customHeight="1">
      <c r="A378" s="71" t="s">
        <v>90</v>
      </c>
      <c r="B378" s="24" t="s">
        <v>7</v>
      </c>
      <c r="C378" s="59">
        <v>294000</v>
      </c>
      <c r="G378" s="95"/>
      <c r="H378" s="201"/>
      <c r="I378" s="56"/>
    </row>
    <row r="379" spans="1:8" s="72" customFormat="1" ht="13.5" customHeight="1" thickBot="1">
      <c r="A379" s="71"/>
      <c r="B379" s="71"/>
      <c r="C379" s="24"/>
      <c r="H379" s="23"/>
    </row>
    <row r="380" spans="1:8" s="72" customFormat="1" ht="13.5" customHeight="1" thickBot="1">
      <c r="A380" s="1038" t="s">
        <v>4</v>
      </c>
      <c r="B380" s="1039"/>
      <c r="C380" s="605">
        <f>C381+C384+C389</f>
        <v>639510</v>
      </c>
      <c r="G380" s="67"/>
      <c r="H380" s="444"/>
    </row>
    <row r="381" spans="1:5" s="72" customFormat="1" ht="13.5" customHeight="1">
      <c r="A381" s="506" t="s">
        <v>178</v>
      </c>
      <c r="B381" s="199" t="s">
        <v>177</v>
      </c>
      <c r="C381" s="32">
        <f>SUM(C382:C383)</f>
        <v>156130</v>
      </c>
      <c r="D381" s="56"/>
      <c r="E381" s="24"/>
    </row>
    <row r="382" spans="1:8" s="72" customFormat="1" ht="13.5" customHeight="1">
      <c r="A382" s="69" t="s">
        <v>479</v>
      </c>
      <c r="B382" s="69" t="s">
        <v>480</v>
      </c>
      <c r="C382" s="59">
        <v>66130</v>
      </c>
      <c r="G382" s="78"/>
      <c r="H382" s="23"/>
    </row>
    <row r="383" spans="1:5" s="65" customFormat="1" ht="13.5">
      <c r="A383" s="71" t="s">
        <v>176</v>
      </c>
      <c r="B383" s="42" t="s">
        <v>175</v>
      </c>
      <c r="C383" s="24">
        <v>90000</v>
      </c>
      <c r="D383" s="67"/>
      <c r="E383" s="67"/>
    </row>
    <row r="384" spans="1:8" s="72" customFormat="1" ht="13.5" customHeight="1">
      <c r="A384" s="11" t="s">
        <v>116</v>
      </c>
      <c r="B384" s="25" t="s">
        <v>117</v>
      </c>
      <c r="C384" s="63">
        <f>SUM(C385:C388)</f>
        <v>469220</v>
      </c>
      <c r="G384" s="78"/>
      <c r="H384" s="23"/>
    </row>
    <row r="385" spans="1:8" s="72" customFormat="1" ht="13.5" customHeight="1">
      <c r="A385" s="71" t="s">
        <v>91</v>
      </c>
      <c r="B385" s="23" t="s">
        <v>139</v>
      </c>
      <c r="C385" s="59">
        <v>83570</v>
      </c>
      <c r="G385" s="78"/>
      <c r="H385" s="23"/>
    </row>
    <row r="386" spans="1:8" s="8" customFormat="1" ht="13.5" customHeight="1">
      <c r="A386" s="71" t="s">
        <v>57</v>
      </c>
      <c r="B386" s="23" t="s">
        <v>58</v>
      </c>
      <c r="C386" s="24">
        <v>57500</v>
      </c>
      <c r="D386" s="77"/>
      <c r="E386" s="25"/>
      <c r="F386" s="98"/>
      <c r="G386" s="54"/>
      <c r="H386" s="42"/>
    </row>
    <row r="387" spans="1:5" s="65" customFormat="1" ht="13.5">
      <c r="A387" s="71" t="s">
        <v>161</v>
      </c>
      <c r="B387" s="23" t="s">
        <v>162</v>
      </c>
      <c r="C387" s="24">
        <v>228150</v>
      </c>
      <c r="D387" s="67"/>
      <c r="E387" s="67"/>
    </row>
    <row r="388" spans="1:8" s="8" customFormat="1" ht="13.5" customHeight="1">
      <c r="A388" s="71" t="s">
        <v>756</v>
      </c>
      <c r="B388" s="23" t="s">
        <v>757</v>
      </c>
      <c r="C388" s="24">
        <v>100000</v>
      </c>
      <c r="D388" s="77"/>
      <c r="E388" s="25"/>
      <c r="F388" s="98"/>
      <c r="G388" s="54"/>
      <c r="H388" s="42"/>
    </row>
    <row r="389" spans="1:7" s="8" customFormat="1" ht="13.5">
      <c r="A389" s="249" t="s">
        <v>165</v>
      </c>
      <c r="B389" s="25" t="s">
        <v>135</v>
      </c>
      <c r="C389" s="63">
        <f>SUM(C390)</f>
        <v>14160</v>
      </c>
      <c r="D389" s="78"/>
      <c r="E389" s="23"/>
      <c r="F389" s="72"/>
      <c r="G389" s="72"/>
    </row>
    <row r="390" spans="1:7" s="8" customFormat="1" ht="13.5">
      <c r="A390" s="71" t="s">
        <v>166</v>
      </c>
      <c r="B390" s="23" t="s">
        <v>51</v>
      </c>
      <c r="C390" s="59">
        <v>14160</v>
      </c>
      <c r="D390" s="77"/>
      <c r="E390" s="23"/>
      <c r="F390" s="72"/>
      <c r="G390" s="72"/>
    </row>
    <row r="391" spans="1:5" s="55" customFormat="1" ht="12.75">
      <c r="A391" s="819"/>
      <c r="C391" s="56"/>
      <c r="D391" s="56"/>
      <c r="E391" s="56"/>
    </row>
    <row r="392" spans="1:11" s="73" customFormat="1" ht="13.5" customHeight="1" thickBot="1">
      <c r="A392" s="801"/>
      <c r="B392" s="801"/>
      <c r="C392" s="818"/>
      <c r="D392" s="820"/>
      <c r="E392" s="802"/>
      <c r="F392" s="444"/>
      <c r="G392" s="184"/>
      <c r="H392" s="169"/>
      <c r="I392" s="169"/>
      <c r="J392" s="169"/>
      <c r="K392" s="169"/>
    </row>
    <row r="393" spans="1:11" s="146" customFormat="1" ht="13.5" customHeight="1">
      <c r="A393" s="988" t="s">
        <v>850</v>
      </c>
      <c r="B393" s="1009"/>
      <c r="C393" s="989"/>
      <c r="D393" s="654" t="s">
        <v>6</v>
      </c>
      <c r="E393" s="761">
        <v>1204</v>
      </c>
      <c r="F393" s="563"/>
      <c r="G393" s="564"/>
      <c r="H393" s="147"/>
      <c r="I393" s="147"/>
      <c r="J393" s="147"/>
      <c r="K393" s="147"/>
    </row>
    <row r="394" spans="1:11" s="146" customFormat="1" ht="13.5" customHeight="1" thickBot="1">
      <c r="A394" s="990"/>
      <c r="B394" s="1010"/>
      <c r="C394" s="991"/>
      <c r="D394" s="664"/>
      <c r="E394" s="665"/>
      <c r="F394" s="9"/>
      <c r="G394" s="147"/>
      <c r="H394" s="147"/>
      <c r="I394" s="147"/>
      <c r="J394" s="147"/>
      <c r="K394" s="147"/>
    </row>
    <row r="395" spans="1:11" s="146" customFormat="1" ht="13.5" customHeight="1">
      <c r="A395" s="1021" t="s">
        <v>851</v>
      </c>
      <c r="B395" s="1022"/>
      <c r="C395" s="1022"/>
      <c r="D395" s="1022"/>
      <c r="E395" s="1023"/>
      <c r="F395" s="9"/>
      <c r="G395" s="147"/>
      <c r="H395" s="147"/>
      <c r="I395" s="147"/>
      <c r="J395" s="147"/>
      <c r="K395" s="147"/>
    </row>
    <row r="396" spans="1:11" s="146" customFormat="1" ht="13.5" customHeight="1">
      <c r="A396" s="1024"/>
      <c r="B396" s="1025"/>
      <c r="C396" s="1025"/>
      <c r="D396" s="1025"/>
      <c r="E396" s="1026"/>
      <c r="F396" s="9"/>
      <c r="G396" s="147"/>
      <c r="H396" s="147"/>
      <c r="I396" s="147"/>
      <c r="J396" s="147"/>
      <c r="K396" s="147"/>
    </row>
    <row r="397" spans="1:11" s="146" customFormat="1" ht="13.5" customHeight="1">
      <c r="A397" s="1024"/>
      <c r="B397" s="1025"/>
      <c r="C397" s="1025"/>
      <c r="D397" s="1025"/>
      <c r="E397" s="1026"/>
      <c r="F397" s="9"/>
      <c r="G397" s="147"/>
      <c r="H397" s="147"/>
      <c r="I397" s="147"/>
      <c r="J397" s="147"/>
      <c r="K397" s="147"/>
    </row>
    <row r="398" spans="1:11" s="146" customFormat="1" ht="13.5" customHeight="1">
      <c r="A398" s="1024"/>
      <c r="B398" s="1025"/>
      <c r="C398" s="1025"/>
      <c r="D398" s="1025"/>
      <c r="E398" s="1026"/>
      <c r="F398" s="9"/>
      <c r="G398" s="147"/>
      <c r="H398" s="147"/>
      <c r="I398" s="147"/>
      <c r="J398" s="147"/>
      <c r="K398" s="147"/>
    </row>
    <row r="399" spans="1:11" s="146" customFormat="1" ht="13.5" customHeight="1">
      <c r="A399" s="1024"/>
      <c r="B399" s="1025"/>
      <c r="C399" s="1025"/>
      <c r="D399" s="1025"/>
      <c r="E399" s="1026"/>
      <c r="F399" s="9"/>
      <c r="G399" s="147"/>
      <c r="H399" s="147"/>
      <c r="I399" s="147"/>
      <c r="J399" s="147"/>
      <c r="K399" s="147"/>
    </row>
    <row r="400" spans="1:11" s="146" customFormat="1" ht="13.5" customHeight="1">
      <c r="A400" s="1024"/>
      <c r="B400" s="1025"/>
      <c r="C400" s="1025"/>
      <c r="D400" s="1025"/>
      <c r="E400" s="1026"/>
      <c r="F400" s="9"/>
      <c r="G400" s="147"/>
      <c r="H400" s="147"/>
      <c r="I400" s="147"/>
      <c r="J400" s="147"/>
      <c r="K400" s="147"/>
    </row>
    <row r="401" spans="1:11" s="146" customFormat="1" ht="13.5" customHeight="1">
      <c r="A401" s="1024"/>
      <c r="B401" s="1025"/>
      <c r="C401" s="1025"/>
      <c r="D401" s="1025"/>
      <c r="E401" s="1026"/>
      <c r="F401" s="9"/>
      <c r="G401" s="147"/>
      <c r="H401" s="147"/>
      <c r="I401" s="147"/>
      <c r="J401" s="147"/>
      <c r="K401" s="147"/>
    </row>
    <row r="402" spans="1:11" s="146" customFormat="1" ht="18.75" customHeight="1" thickBot="1">
      <c r="A402" s="1024"/>
      <c r="B402" s="1025"/>
      <c r="C402" s="1025"/>
      <c r="D402" s="1025"/>
      <c r="E402" s="1026"/>
      <c r="F402" s="9"/>
      <c r="G402" s="147"/>
      <c r="H402" s="147"/>
      <c r="I402" s="147"/>
      <c r="J402" s="147"/>
      <c r="K402" s="147"/>
    </row>
    <row r="403" spans="1:11" s="146" customFormat="1" ht="13.5" customHeight="1">
      <c r="A403" s="116" t="s">
        <v>809</v>
      </c>
      <c r="B403" s="167"/>
      <c r="C403" s="166"/>
      <c r="D403" s="165"/>
      <c r="E403" s="164"/>
      <c r="F403" s="9"/>
      <c r="G403" s="147"/>
      <c r="H403" s="147"/>
      <c r="I403" s="147"/>
      <c r="J403" s="147"/>
      <c r="K403" s="147"/>
    </row>
    <row r="404" spans="1:11" s="146" customFormat="1" ht="13.5" customHeight="1">
      <c r="A404" s="57" t="s">
        <v>202</v>
      </c>
      <c r="B404" s="12"/>
      <c r="C404" s="138"/>
      <c r="D404" s="137"/>
      <c r="E404" s="136"/>
      <c r="F404" s="9"/>
      <c r="G404" s="147"/>
      <c r="H404" s="147"/>
      <c r="I404" s="147"/>
      <c r="J404" s="147"/>
      <c r="K404" s="147"/>
    </row>
    <row r="405" spans="1:11" s="146" customFormat="1" ht="13.5" customHeight="1">
      <c r="A405" s="57" t="s">
        <v>630</v>
      </c>
      <c r="B405" s="12"/>
      <c r="C405" s="138"/>
      <c r="D405" s="137"/>
      <c r="E405" s="136"/>
      <c r="F405" s="9"/>
      <c r="G405" s="147"/>
      <c r="H405" s="147"/>
      <c r="I405" s="147"/>
      <c r="J405" s="147"/>
      <c r="K405" s="147"/>
    </row>
    <row r="406" spans="1:11" s="146" customFormat="1" ht="13.5" customHeight="1" thickBot="1">
      <c r="A406" s="75" t="s">
        <v>11</v>
      </c>
      <c r="B406" s="135"/>
      <c r="C406" s="134"/>
      <c r="D406" s="133"/>
      <c r="E406" s="132"/>
      <c r="F406" s="9"/>
      <c r="G406" s="147"/>
      <c r="H406" s="147"/>
      <c r="I406" s="147"/>
      <c r="J406" s="147"/>
      <c r="K406" s="147"/>
    </row>
    <row r="407" spans="1:11" s="146" customFormat="1" ht="13.5" customHeight="1" thickBot="1">
      <c r="A407" s="697" t="s">
        <v>0</v>
      </c>
      <c r="B407" s="698"/>
      <c r="C407" s="699" t="s">
        <v>201</v>
      </c>
      <c r="D407" s="701" t="s">
        <v>201</v>
      </c>
      <c r="E407" s="707">
        <f>(C409+C427+C451+C446)</f>
        <v>4970490</v>
      </c>
      <c r="F407" s="9"/>
      <c r="G407" s="147"/>
      <c r="H407" s="147"/>
      <c r="I407" s="147"/>
      <c r="J407" s="147"/>
      <c r="K407" s="147"/>
    </row>
    <row r="408" spans="1:11" s="146" customFormat="1" ht="13.5" customHeight="1" thickBot="1">
      <c r="A408" s="71"/>
      <c r="B408" s="42"/>
      <c r="C408" s="23"/>
      <c r="D408" s="23"/>
      <c r="E408" s="23"/>
      <c r="F408" s="9"/>
      <c r="G408" s="147"/>
      <c r="H408" s="147"/>
      <c r="I408" s="147"/>
      <c r="J408" s="147"/>
      <c r="K408" s="147"/>
    </row>
    <row r="409" spans="1:11" s="146" customFormat="1" ht="13.5" customHeight="1" thickBot="1">
      <c r="A409" s="992" t="s">
        <v>2</v>
      </c>
      <c r="B409" s="993"/>
      <c r="C409" s="602">
        <f>(C410+C412+C414+C416+C421+C423)</f>
        <v>463020</v>
      </c>
      <c r="D409" s="23"/>
      <c r="E409" s="23"/>
      <c r="F409" s="9"/>
      <c r="G409" s="147"/>
      <c r="H409" s="147"/>
      <c r="I409" s="147"/>
      <c r="J409" s="147"/>
      <c r="K409" s="147"/>
    </row>
    <row r="410" spans="1:6" s="225" customFormat="1" ht="13.5">
      <c r="A410" s="11" t="s">
        <v>103</v>
      </c>
      <c r="B410" s="281" t="s">
        <v>104</v>
      </c>
      <c r="C410" s="509">
        <f>SUM(C411)</f>
        <v>64880</v>
      </c>
      <c r="D410" s="94"/>
      <c r="E410" s="824"/>
      <c r="F410" s="98"/>
    </row>
    <row r="411" spans="1:6" s="65" customFormat="1" ht="13.5">
      <c r="A411" s="12" t="s">
        <v>46</v>
      </c>
      <c r="B411" s="42" t="s">
        <v>160</v>
      </c>
      <c r="C411" s="59">
        <v>64880</v>
      </c>
      <c r="D411" s="69"/>
      <c r="E411" s="67"/>
      <c r="F411" s="194"/>
    </row>
    <row r="412" spans="1:6" s="65" customFormat="1" ht="13.5">
      <c r="A412" s="11" t="s">
        <v>105</v>
      </c>
      <c r="B412" s="502" t="s">
        <v>106</v>
      </c>
      <c r="C412" s="63">
        <f>SUM(C413:C413)</f>
        <v>109440</v>
      </c>
      <c r="D412" s="226"/>
      <c r="F412" s="194"/>
    </row>
    <row r="413" spans="1:255" s="65" customFormat="1" ht="13.5">
      <c r="A413" s="12" t="s">
        <v>86</v>
      </c>
      <c r="B413" s="42" t="s">
        <v>66</v>
      </c>
      <c r="C413" s="24">
        <v>109440</v>
      </c>
      <c r="F413" s="95"/>
      <c r="G413" s="31"/>
      <c r="H413" s="42"/>
      <c r="I413" s="42"/>
      <c r="J413" s="42"/>
      <c r="K413" s="42"/>
      <c r="L413" s="42"/>
      <c r="M413" s="42"/>
      <c r="N413" s="42"/>
      <c r="O413" s="42"/>
      <c r="P413" s="42"/>
      <c r="Q413" s="42"/>
      <c r="R413" s="42"/>
      <c r="S413" s="42"/>
      <c r="T413" s="42"/>
      <c r="U413" s="42"/>
      <c r="V413" s="42"/>
      <c r="W413" s="42"/>
      <c r="X413" s="42"/>
      <c r="Y413" s="42"/>
      <c r="Z413" s="42"/>
      <c r="AA413" s="42"/>
      <c r="AB413" s="42"/>
      <c r="AC413" s="42"/>
      <c r="AD413" s="42"/>
      <c r="AE413" s="42"/>
      <c r="AF413" s="42"/>
      <c r="AG413" s="42"/>
      <c r="AH413" s="42"/>
      <c r="AI413" s="42"/>
      <c r="AJ413" s="42"/>
      <c r="AK413" s="42"/>
      <c r="AL413" s="42"/>
      <c r="AM413" s="42"/>
      <c r="AN413" s="42"/>
      <c r="AO413" s="42"/>
      <c r="AP413" s="42"/>
      <c r="AQ413" s="42"/>
      <c r="AR413" s="42"/>
      <c r="AS413" s="42"/>
      <c r="AT413" s="42"/>
      <c r="AU413" s="42"/>
      <c r="AV413" s="42"/>
      <c r="AW413" s="42"/>
      <c r="AX413" s="42"/>
      <c r="AY413" s="42"/>
      <c r="AZ413" s="42"/>
      <c r="BA413" s="42"/>
      <c r="BB413" s="42"/>
      <c r="BC413" s="42"/>
      <c r="BD413" s="42"/>
      <c r="BE413" s="42"/>
      <c r="BF413" s="42"/>
      <c r="BG413" s="42"/>
      <c r="BH413" s="42"/>
      <c r="BI413" s="42"/>
      <c r="BJ413" s="42"/>
      <c r="BK413" s="42"/>
      <c r="BL413" s="42"/>
      <c r="BM413" s="42"/>
      <c r="BN413" s="42"/>
      <c r="BO413" s="42"/>
      <c r="BP413" s="42"/>
      <c r="BQ413" s="42"/>
      <c r="BR413" s="42"/>
      <c r="BS413" s="42"/>
      <c r="BT413" s="42"/>
      <c r="BU413" s="42"/>
      <c r="BV413" s="42"/>
      <c r="BW413" s="42"/>
      <c r="BX413" s="42"/>
      <c r="BY413" s="42"/>
      <c r="BZ413" s="42"/>
      <c r="CA413" s="42"/>
      <c r="CB413" s="42"/>
      <c r="CC413" s="42"/>
      <c r="CD413" s="42"/>
      <c r="CE413" s="42"/>
      <c r="CF413" s="42"/>
      <c r="CG413" s="42"/>
      <c r="CH413" s="42"/>
      <c r="CI413" s="42"/>
      <c r="CJ413" s="42"/>
      <c r="CK413" s="42"/>
      <c r="CL413" s="42"/>
      <c r="CM413" s="42"/>
      <c r="CN413" s="42"/>
      <c r="CO413" s="42"/>
      <c r="CP413" s="42"/>
      <c r="CQ413" s="42"/>
      <c r="CR413" s="42"/>
      <c r="CS413" s="42"/>
      <c r="CT413" s="42"/>
      <c r="CU413" s="42"/>
      <c r="CV413" s="42"/>
      <c r="CW413" s="42"/>
      <c r="CX413" s="42"/>
      <c r="CY413" s="42"/>
      <c r="CZ413" s="42"/>
      <c r="DA413" s="42"/>
      <c r="DB413" s="42"/>
      <c r="DC413" s="42"/>
      <c r="DD413" s="42"/>
      <c r="DE413" s="42"/>
      <c r="DF413" s="42"/>
      <c r="DG413" s="42"/>
      <c r="DH413" s="42"/>
      <c r="DI413" s="42"/>
      <c r="DJ413" s="42"/>
      <c r="DK413" s="42"/>
      <c r="DL413" s="42"/>
      <c r="DM413" s="42"/>
      <c r="DN413" s="42"/>
      <c r="DO413" s="42"/>
      <c r="DP413" s="42"/>
      <c r="DQ413" s="42"/>
      <c r="DR413" s="42"/>
      <c r="DS413" s="42"/>
      <c r="DT413" s="42"/>
      <c r="DU413" s="42"/>
      <c r="DV413" s="42"/>
      <c r="DW413" s="42"/>
      <c r="DX413" s="42"/>
      <c r="DY413" s="42"/>
      <c r="DZ413" s="42"/>
      <c r="EA413" s="42"/>
      <c r="EB413" s="42"/>
      <c r="EC413" s="42"/>
      <c r="ED413" s="42"/>
      <c r="EE413" s="42"/>
      <c r="EF413" s="42"/>
      <c r="EG413" s="42"/>
      <c r="EH413" s="42"/>
      <c r="EI413" s="42"/>
      <c r="EJ413" s="42"/>
      <c r="EK413" s="42"/>
      <c r="EL413" s="42"/>
      <c r="EM413" s="42"/>
      <c r="EN413" s="42"/>
      <c r="EO413" s="42"/>
      <c r="EP413" s="42"/>
      <c r="EQ413" s="42"/>
      <c r="ER413" s="42"/>
      <c r="ES413" s="42"/>
      <c r="ET413" s="42"/>
      <c r="EU413" s="42"/>
      <c r="EV413" s="42"/>
      <c r="EW413" s="42"/>
      <c r="EX413" s="42"/>
      <c r="EY413" s="42"/>
      <c r="EZ413" s="42"/>
      <c r="FA413" s="42"/>
      <c r="FB413" s="42"/>
      <c r="FC413" s="42"/>
      <c r="FD413" s="42"/>
      <c r="FE413" s="42"/>
      <c r="FF413" s="42"/>
      <c r="FG413" s="42"/>
      <c r="FH413" s="42"/>
      <c r="FI413" s="42"/>
      <c r="FJ413" s="42"/>
      <c r="FK413" s="42"/>
      <c r="FL413" s="42"/>
      <c r="FM413" s="42"/>
      <c r="FN413" s="42"/>
      <c r="FO413" s="42"/>
      <c r="FP413" s="42"/>
      <c r="FQ413" s="42"/>
      <c r="FR413" s="42"/>
      <c r="FS413" s="42"/>
      <c r="FT413" s="42"/>
      <c r="FU413" s="42"/>
      <c r="FV413" s="42"/>
      <c r="FW413" s="42"/>
      <c r="FX413" s="42"/>
      <c r="FY413" s="42"/>
      <c r="FZ413" s="42"/>
      <c r="GA413" s="42"/>
      <c r="GB413" s="42"/>
      <c r="GC413" s="42"/>
      <c r="GD413" s="42"/>
      <c r="GE413" s="42"/>
      <c r="GF413" s="42"/>
      <c r="GG413" s="42"/>
      <c r="GH413" s="42"/>
      <c r="GI413" s="42"/>
      <c r="GJ413" s="42"/>
      <c r="GK413" s="42"/>
      <c r="GL413" s="42"/>
      <c r="GM413" s="42"/>
      <c r="GN413" s="42"/>
      <c r="GO413" s="42"/>
      <c r="GP413" s="42"/>
      <c r="GQ413" s="42"/>
      <c r="GR413" s="42"/>
      <c r="GS413" s="42"/>
      <c r="GT413" s="42"/>
      <c r="GU413" s="42"/>
      <c r="GV413" s="42"/>
      <c r="GW413" s="42"/>
      <c r="GX413" s="42"/>
      <c r="GY413" s="42"/>
      <c r="GZ413" s="42"/>
      <c r="HA413" s="42"/>
      <c r="HB413" s="42"/>
      <c r="HC413" s="42"/>
      <c r="HD413" s="42"/>
      <c r="HE413" s="42"/>
      <c r="HF413" s="42"/>
      <c r="HG413" s="42"/>
      <c r="HH413" s="42"/>
      <c r="HI413" s="42"/>
      <c r="HJ413" s="42"/>
      <c r="HK413" s="42"/>
      <c r="HL413" s="42"/>
      <c r="HM413" s="42"/>
      <c r="HN413" s="42"/>
      <c r="HO413" s="42"/>
      <c r="HP413" s="42"/>
      <c r="HQ413" s="42"/>
      <c r="HR413" s="42"/>
      <c r="HS413" s="42"/>
      <c r="HT413" s="42"/>
      <c r="HU413" s="42"/>
      <c r="HV413" s="42"/>
      <c r="HW413" s="42"/>
      <c r="HX413" s="42"/>
      <c r="HY413" s="42"/>
      <c r="HZ413" s="42"/>
      <c r="IA413" s="42"/>
      <c r="IB413" s="42"/>
      <c r="IC413" s="42"/>
      <c r="ID413" s="42"/>
      <c r="IE413" s="42"/>
      <c r="IF413" s="42"/>
      <c r="IG413" s="42"/>
      <c r="IH413" s="42"/>
      <c r="II413" s="42"/>
      <c r="IJ413" s="42"/>
      <c r="IK413" s="42"/>
      <c r="IL413" s="42"/>
      <c r="IM413" s="42"/>
      <c r="IN413" s="42"/>
      <c r="IO413" s="42"/>
      <c r="IP413" s="42"/>
      <c r="IQ413" s="42"/>
      <c r="IR413" s="42"/>
      <c r="IS413" s="42"/>
      <c r="IT413" s="42"/>
      <c r="IU413" s="42"/>
    </row>
    <row r="414" spans="1:11" s="146" customFormat="1" ht="13.5" customHeight="1">
      <c r="A414" s="11" t="s">
        <v>107</v>
      </c>
      <c r="B414" s="502" t="s">
        <v>108</v>
      </c>
      <c r="C414" s="63">
        <f>SUM(C415)</f>
        <v>52800</v>
      </c>
      <c r="D414" s="23"/>
      <c r="E414" s="23"/>
      <c r="F414" s="9"/>
      <c r="G414" s="147"/>
      <c r="H414" s="147"/>
      <c r="I414" s="147"/>
      <c r="J414" s="147"/>
      <c r="K414" s="147"/>
    </row>
    <row r="415" spans="1:11" s="146" customFormat="1" ht="13.5" customHeight="1">
      <c r="A415" s="12" t="s">
        <v>47</v>
      </c>
      <c r="B415" s="24" t="s">
        <v>48</v>
      </c>
      <c r="C415" s="24">
        <v>52800</v>
      </c>
      <c r="D415" s="23"/>
      <c r="E415" s="23"/>
      <c r="F415" s="9"/>
      <c r="G415" s="147"/>
      <c r="H415" s="147"/>
      <c r="I415" s="147"/>
      <c r="J415" s="147"/>
      <c r="K415" s="147"/>
    </row>
    <row r="416" spans="1:255" s="42" customFormat="1" ht="13.5" customHeight="1">
      <c r="A416" s="11" t="s">
        <v>119</v>
      </c>
      <c r="B416" s="502" t="s">
        <v>109</v>
      </c>
      <c r="C416" s="63">
        <f>SUM(C417:C420)</f>
        <v>77000</v>
      </c>
      <c r="F416" s="66"/>
      <c r="G416" s="67"/>
      <c r="H416" s="65"/>
      <c r="I416" s="65"/>
      <c r="J416" s="65"/>
      <c r="K416" s="65"/>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c r="AQ416" s="65"/>
      <c r="AR416" s="65"/>
      <c r="AS416" s="65"/>
      <c r="AT416" s="65"/>
      <c r="AU416" s="65"/>
      <c r="AV416" s="65"/>
      <c r="AW416" s="65"/>
      <c r="AX416" s="65"/>
      <c r="AY416" s="65"/>
      <c r="AZ416" s="65"/>
      <c r="BA416" s="65"/>
      <c r="BB416" s="65"/>
      <c r="BC416" s="65"/>
      <c r="BD416" s="65"/>
      <c r="BE416" s="65"/>
      <c r="BF416" s="65"/>
      <c r="BG416" s="65"/>
      <c r="BH416" s="65"/>
      <c r="BI416" s="65"/>
      <c r="BJ416" s="65"/>
      <c r="BK416" s="65"/>
      <c r="BL416" s="65"/>
      <c r="BM416" s="65"/>
      <c r="BN416" s="65"/>
      <c r="BO416" s="65"/>
      <c r="BP416" s="65"/>
      <c r="BQ416" s="65"/>
      <c r="BR416" s="65"/>
      <c r="BS416" s="65"/>
      <c r="BT416" s="65"/>
      <c r="BU416" s="65"/>
      <c r="BV416" s="65"/>
      <c r="BW416" s="65"/>
      <c r="BX416" s="65"/>
      <c r="BY416" s="65"/>
      <c r="BZ416" s="65"/>
      <c r="CA416" s="65"/>
      <c r="CB416" s="65"/>
      <c r="CC416" s="65"/>
      <c r="CD416" s="65"/>
      <c r="CE416" s="65"/>
      <c r="CF416" s="65"/>
      <c r="CG416" s="65"/>
      <c r="CH416" s="65"/>
      <c r="CI416" s="65"/>
      <c r="CJ416" s="65"/>
      <c r="CK416" s="65"/>
      <c r="CL416" s="65"/>
      <c r="CM416" s="65"/>
      <c r="CN416" s="65"/>
      <c r="CO416" s="65"/>
      <c r="CP416" s="65"/>
      <c r="CQ416" s="65"/>
      <c r="CR416" s="65"/>
      <c r="CS416" s="65"/>
      <c r="CT416" s="65"/>
      <c r="CU416" s="65"/>
      <c r="CV416" s="65"/>
      <c r="CW416" s="65"/>
      <c r="CX416" s="65"/>
      <c r="CY416" s="65"/>
      <c r="CZ416" s="65"/>
      <c r="DA416" s="65"/>
      <c r="DB416" s="65"/>
      <c r="DC416" s="65"/>
      <c r="DD416" s="65"/>
      <c r="DE416" s="65"/>
      <c r="DF416" s="65"/>
      <c r="DG416" s="65"/>
      <c r="DH416" s="65"/>
      <c r="DI416" s="65"/>
      <c r="DJ416" s="65"/>
      <c r="DK416" s="65"/>
      <c r="DL416" s="65"/>
      <c r="DM416" s="65"/>
      <c r="DN416" s="65"/>
      <c r="DO416" s="65"/>
      <c r="DP416" s="65"/>
      <c r="DQ416" s="65"/>
      <c r="DR416" s="65"/>
      <c r="DS416" s="65"/>
      <c r="DT416" s="65"/>
      <c r="DU416" s="65"/>
      <c r="DV416" s="65"/>
      <c r="DW416" s="65"/>
      <c r="DX416" s="65"/>
      <c r="DY416" s="65"/>
      <c r="DZ416" s="65"/>
      <c r="EA416" s="65"/>
      <c r="EB416" s="65"/>
      <c r="EC416" s="65"/>
      <c r="ED416" s="65"/>
      <c r="EE416" s="65"/>
      <c r="EF416" s="65"/>
      <c r="EG416" s="65"/>
      <c r="EH416" s="65"/>
      <c r="EI416" s="65"/>
      <c r="EJ416" s="65"/>
      <c r="EK416" s="65"/>
      <c r="EL416" s="65"/>
      <c r="EM416" s="65"/>
      <c r="EN416" s="65"/>
      <c r="EO416" s="65"/>
      <c r="EP416" s="65"/>
      <c r="EQ416" s="65"/>
      <c r="ER416" s="65"/>
      <c r="ES416" s="65"/>
      <c r="ET416" s="65"/>
      <c r="EU416" s="65"/>
      <c r="EV416" s="65"/>
      <c r="EW416" s="65"/>
      <c r="EX416" s="65"/>
      <c r="EY416" s="65"/>
      <c r="EZ416" s="65"/>
      <c r="FA416" s="65"/>
      <c r="FB416" s="65"/>
      <c r="FC416" s="65"/>
      <c r="FD416" s="65"/>
      <c r="FE416" s="65"/>
      <c r="FF416" s="65"/>
      <c r="FG416" s="65"/>
      <c r="FH416" s="65"/>
      <c r="FI416" s="65"/>
      <c r="FJ416" s="65"/>
      <c r="FK416" s="65"/>
      <c r="FL416" s="65"/>
      <c r="FM416" s="65"/>
      <c r="FN416" s="65"/>
      <c r="FO416" s="65"/>
      <c r="FP416" s="65"/>
      <c r="FQ416" s="65"/>
      <c r="FR416" s="65"/>
      <c r="FS416" s="65"/>
      <c r="FT416" s="65"/>
      <c r="FU416" s="65"/>
      <c r="FV416" s="65"/>
      <c r="FW416" s="65"/>
      <c r="FX416" s="65"/>
      <c r="FY416" s="65"/>
      <c r="FZ416" s="65"/>
      <c r="GA416" s="65"/>
      <c r="GB416" s="65"/>
      <c r="GC416" s="65"/>
      <c r="GD416" s="65"/>
      <c r="GE416" s="65"/>
      <c r="GF416" s="65"/>
      <c r="GG416" s="65"/>
      <c r="GH416" s="65"/>
      <c r="GI416" s="65"/>
      <c r="GJ416" s="65"/>
      <c r="GK416" s="65"/>
      <c r="GL416" s="65"/>
      <c r="GM416" s="65"/>
      <c r="GN416" s="65"/>
      <c r="GO416" s="65"/>
      <c r="GP416" s="65"/>
      <c r="GQ416" s="65"/>
      <c r="GR416" s="65"/>
      <c r="GS416" s="65"/>
      <c r="GT416" s="65"/>
      <c r="GU416" s="65"/>
      <c r="GV416" s="65"/>
      <c r="GW416" s="65"/>
      <c r="GX416" s="65"/>
      <c r="GY416" s="65"/>
      <c r="GZ416" s="65"/>
      <c r="HA416" s="65"/>
      <c r="HB416" s="65"/>
      <c r="HC416" s="65"/>
      <c r="HD416" s="65"/>
      <c r="HE416" s="65"/>
      <c r="HF416" s="65"/>
      <c r="HG416" s="65"/>
      <c r="HH416" s="65"/>
      <c r="HI416" s="65"/>
      <c r="HJ416" s="65"/>
      <c r="HK416" s="65"/>
      <c r="HL416" s="65"/>
      <c r="HM416" s="65"/>
      <c r="HN416" s="65"/>
      <c r="HO416" s="65"/>
      <c r="HP416" s="65"/>
      <c r="HQ416" s="65"/>
      <c r="HR416" s="65"/>
      <c r="HS416" s="65"/>
      <c r="HT416" s="65"/>
      <c r="HU416" s="65"/>
      <c r="HV416" s="65"/>
      <c r="HW416" s="65"/>
      <c r="HX416" s="65"/>
      <c r="HY416" s="65"/>
      <c r="HZ416" s="65"/>
      <c r="IA416" s="65"/>
      <c r="IB416" s="65"/>
      <c r="IC416" s="65"/>
      <c r="ID416" s="65"/>
      <c r="IE416" s="65"/>
      <c r="IF416" s="65"/>
      <c r="IG416" s="65"/>
      <c r="IH416" s="65"/>
      <c r="II416" s="65"/>
      <c r="IJ416" s="65"/>
      <c r="IK416" s="65"/>
      <c r="IL416" s="65"/>
      <c r="IM416" s="65"/>
      <c r="IN416" s="65"/>
      <c r="IO416" s="65"/>
      <c r="IP416" s="65"/>
      <c r="IQ416" s="65"/>
      <c r="IR416" s="65"/>
      <c r="IS416" s="65"/>
      <c r="IT416" s="65"/>
      <c r="IU416" s="65"/>
    </row>
    <row r="417" spans="1:255" s="42" customFormat="1" ht="13.5" customHeight="1">
      <c r="A417" s="12" t="s">
        <v>641</v>
      </c>
      <c r="B417" s="42" t="s">
        <v>640</v>
      </c>
      <c r="C417" s="59">
        <v>14000</v>
      </c>
      <c r="F417" s="66"/>
      <c r="G417" s="67"/>
      <c r="H417" s="65"/>
      <c r="I417" s="65"/>
      <c r="J417" s="65"/>
      <c r="K417" s="65"/>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c r="AQ417" s="65"/>
      <c r="AR417" s="65"/>
      <c r="AS417" s="65"/>
      <c r="AT417" s="65"/>
      <c r="AU417" s="65"/>
      <c r="AV417" s="65"/>
      <c r="AW417" s="65"/>
      <c r="AX417" s="65"/>
      <c r="AY417" s="65"/>
      <c r="AZ417" s="65"/>
      <c r="BA417" s="65"/>
      <c r="BB417" s="65"/>
      <c r="BC417" s="65"/>
      <c r="BD417" s="65"/>
      <c r="BE417" s="65"/>
      <c r="BF417" s="65"/>
      <c r="BG417" s="65"/>
      <c r="BH417" s="65"/>
      <c r="BI417" s="65"/>
      <c r="BJ417" s="65"/>
      <c r="BK417" s="65"/>
      <c r="BL417" s="65"/>
      <c r="BM417" s="65"/>
      <c r="BN417" s="65"/>
      <c r="BO417" s="65"/>
      <c r="BP417" s="65"/>
      <c r="BQ417" s="65"/>
      <c r="BR417" s="65"/>
      <c r="BS417" s="65"/>
      <c r="BT417" s="65"/>
      <c r="BU417" s="65"/>
      <c r="BV417" s="65"/>
      <c r="BW417" s="65"/>
      <c r="BX417" s="65"/>
      <c r="BY417" s="65"/>
      <c r="BZ417" s="65"/>
      <c r="CA417" s="65"/>
      <c r="CB417" s="65"/>
      <c r="CC417" s="65"/>
      <c r="CD417" s="65"/>
      <c r="CE417" s="65"/>
      <c r="CF417" s="65"/>
      <c r="CG417" s="65"/>
      <c r="CH417" s="65"/>
      <c r="CI417" s="65"/>
      <c r="CJ417" s="65"/>
      <c r="CK417" s="65"/>
      <c r="CL417" s="65"/>
      <c r="CM417" s="65"/>
      <c r="CN417" s="65"/>
      <c r="CO417" s="65"/>
      <c r="CP417" s="65"/>
      <c r="CQ417" s="65"/>
      <c r="CR417" s="65"/>
      <c r="CS417" s="65"/>
      <c r="CT417" s="65"/>
      <c r="CU417" s="65"/>
      <c r="CV417" s="65"/>
      <c r="CW417" s="65"/>
      <c r="CX417" s="65"/>
      <c r="CY417" s="65"/>
      <c r="CZ417" s="65"/>
      <c r="DA417" s="65"/>
      <c r="DB417" s="65"/>
      <c r="DC417" s="65"/>
      <c r="DD417" s="65"/>
      <c r="DE417" s="65"/>
      <c r="DF417" s="65"/>
      <c r="DG417" s="65"/>
      <c r="DH417" s="65"/>
      <c r="DI417" s="65"/>
      <c r="DJ417" s="65"/>
      <c r="DK417" s="65"/>
      <c r="DL417" s="65"/>
      <c r="DM417" s="65"/>
      <c r="DN417" s="65"/>
      <c r="DO417" s="65"/>
      <c r="DP417" s="65"/>
      <c r="DQ417" s="65"/>
      <c r="DR417" s="65"/>
      <c r="DS417" s="65"/>
      <c r="DT417" s="65"/>
      <c r="DU417" s="65"/>
      <c r="DV417" s="65"/>
      <c r="DW417" s="65"/>
      <c r="DX417" s="65"/>
      <c r="DY417" s="65"/>
      <c r="DZ417" s="65"/>
      <c r="EA417" s="65"/>
      <c r="EB417" s="65"/>
      <c r="EC417" s="65"/>
      <c r="ED417" s="65"/>
      <c r="EE417" s="65"/>
      <c r="EF417" s="65"/>
      <c r="EG417" s="65"/>
      <c r="EH417" s="65"/>
      <c r="EI417" s="65"/>
      <c r="EJ417" s="65"/>
      <c r="EK417" s="65"/>
      <c r="EL417" s="65"/>
      <c r="EM417" s="65"/>
      <c r="EN417" s="65"/>
      <c r="EO417" s="65"/>
      <c r="EP417" s="65"/>
      <c r="EQ417" s="65"/>
      <c r="ER417" s="65"/>
      <c r="ES417" s="65"/>
      <c r="ET417" s="65"/>
      <c r="EU417" s="65"/>
      <c r="EV417" s="65"/>
      <c r="EW417" s="65"/>
      <c r="EX417" s="65"/>
      <c r="EY417" s="65"/>
      <c r="EZ417" s="65"/>
      <c r="FA417" s="65"/>
      <c r="FB417" s="65"/>
      <c r="FC417" s="65"/>
      <c r="FD417" s="65"/>
      <c r="FE417" s="65"/>
      <c r="FF417" s="65"/>
      <c r="FG417" s="65"/>
      <c r="FH417" s="65"/>
      <c r="FI417" s="65"/>
      <c r="FJ417" s="65"/>
      <c r="FK417" s="65"/>
      <c r="FL417" s="65"/>
      <c r="FM417" s="65"/>
      <c r="FN417" s="65"/>
      <c r="FO417" s="65"/>
      <c r="FP417" s="65"/>
      <c r="FQ417" s="65"/>
      <c r="FR417" s="65"/>
      <c r="FS417" s="65"/>
      <c r="FT417" s="65"/>
      <c r="FU417" s="65"/>
      <c r="FV417" s="65"/>
      <c r="FW417" s="65"/>
      <c r="FX417" s="65"/>
      <c r="FY417" s="65"/>
      <c r="FZ417" s="65"/>
      <c r="GA417" s="65"/>
      <c r="GB417" s="65"/>
      <c r="GC417" s="65"/>
      <c r="GD417" s="65"/>
      <c r="GE417" s="65"/>
      <c r="GF417" s="65"/>
      <c r="GG417" s="65"/>
      <c r="GH417" s="65"/>
      <c r="GI417" s="65"/>
      <c r="GJ417" s="65"/>
      <c r="GK417" s="65"/>
      <c r="GL417" s="65"/>
      <c r="GM417" s="65"/>
      <c r="GN417" s="65"/>
      <c r="GO417" s="65"/>
      <c r="GP417" s="65"/>
      <c r="GQ417" s="65"/>
      <c r="GR417" s="65"/>
      <c r="GS417" s="65"/>
      <c r="GT417" s="65"/>
      <c r="GU417" s="65"/>
      <c r="GV417" s="65"/>
      <c r="GW417" s="65"/>
      <c r="GX417" s="65"/>
      <c r="GY417" s="65"/>
      <c r="GZ417" s="65"/>
      <c r="HA417" s="65"/>
      <c r="HB417" s="65"/>
      <c r="HC417" s="65"/>
      <c r="HD417" s="65"/>
      <c r="HE417" s="65"/>
      <c r="HF417" s="65"/>
      <c r="HG417" s="65"/>
      <c r="HH417" s="65"/>
      <c r="HI417" s="65"/>
      <c r="HJ417" s="65"/>
      <c r="HK417" s="65"/>
      <c r="HL417" s="65"/>
      <c r="HM417" s="65"/>
      <c r="HN417" s="65"/>
      <c r="HO417" s="65"/>
      <c r="HP417" s="65"/>
      <c r="HQ417" s="65"/>
      <c r="HR417" s="65"/>
      <c r="HS417" s="65"/>
      <c r="HT417" s="65"/>
      <c r="HU417" s="65"/>
      <c r="HV417" s="65"/>
      <c r="HW417" s="65"/>
      <c r="HX417" s="65"/>
      <c r="HY417" s="65"/>
      <c r="HZ417" s="65"/>
      <c r="IA417" s="65"/>
      <c r="IB417" s="65"/>
      <c r="IC417" s="65"/>
      <c r="ID417" s="65"/>
      <c r="IE417" s="65"/>
      <c r="IF417" s="65"/>
      <c r="IG417" s="65"/>
      <c r="IH417" s="65"/>
      <c r="II417" s="65"/>
      <c r="IJ417" s="65"/>
      <c r="IK417" s="65"/>
      <c r="IL417" s="65"/>
      <c r="IM417" s="65"/>
      <c r="IN417" s="65"/>
      <c r="IO417" s="65"/>
      <c r="IP417" s="65"/>
      <c r="IQ417" s="65"/>
      <c r="IR417" s="65"/>
      <c r="IS417" s="65"/>
      <c r="IT417" s="65"/>
      <c r="IU417" s="65"/>
    </row>
    <row r="418" spans="1:5" s="65" customFormat="1" ht="13.5">
      <c r="A418" s="71" t="s">
        <v>758</v>
      </c>
      <c r="B418" s="24" t="s">
        <v>753</v>
      </c>
      <c r="C418" s="24">
        <v>23000</v>
      </c>
      <c r="D418" s="77"/>
      <c r="E418" s="25"/>
    </row>
    <row r="419" spans="1:5" s="65" customFormat="1" ht="13.5">
      <c r="A419" s="71" t="s">
        <v>762</v>
      </c>
      <c r="B419" s="24" t="s">
        <v>763</v>
      </c>
      <c r="C419" s="24">
        <v>25000</v>
      </c>
      <c r="D419" s="77"/>
      <c r="E419" s="25"/>
    </row>
    <row r="420" spans="1:5" s="65" customFormat="1" ht="13.5">
      <c r="A420" s="71" t="s">
        <v>754</v>
      </c>
      <c r="B420" s="24" t="s">
        <v>755</v>
      </c>
      <c r="C420" s="24">
        <v>15000</v>
      </c>
      <c r="D420" s="77"/>
      <c r="E420" s="25"/>
    </row>
    <row r="421" spans="1:11" s="146" customFormat="1" ht="13.5" customHeight="1">
      <c r="A421" s="249" t="s">
        <v>124</v>
      </c>
      <c r="B421" s="25" t="s">
        <v>123</v>
      </c>
      <c r="C421" s="31">
        <f>SUM(C422:C422)</f>
        <v>78000</v>
      </c>
      <c r="D421" s="23"/>
      <c r="E421" s="23"/>
      <c r="F421" s="9"/>
      <c r="G421" s="147"/>
      <c r="H421" s="147"/>
      <c r="I421" s="147"/>
      <c r="J421" s="147"/>
      <c r="K421" s="147"/>
    </row>
    <row r="422" spans="1:11" s="146" customFormat="1" ht="13.5" customHeight="1">
      <c r="A422" s="12" t="s">
        <v>93</v>
      </c>
      <c r="B422" s="24" t="s">
        <v>72</v>
      </c>
      <c r="C422" s="59">
        <v>78000</v>
      </c>
      <c r="D422" s="23"/>
      <c r="E422" s="23"/>
      <c r="F422" s="9"/>
      <c r="G422" s="147"/>
      <c r="H422" s="147"/>
      <c r="I422" s="147"/>
      <c r="J422" s="147"/>
      <c r="K422" s="147"/>
    </row>
    <row r="423" spans="1:11" s="146" customFormat="1" ht="13.5" customHeight="1">
      <c r="A423" s="249" t="s">
        <v>504</v>
      </c>
      <c r="B423" s="31" t="s">
        <v>125</v>
      </c>
      <c r="C423" s="63">
        <f>SUM(C424:C425)</f>
        <v>80900</v>
      </c>
      <c r="D423" s="23"/>
      <c r="E423" s="23"/>
      <c r="F423" s="9"/>
      <c r="G423" s="147"/>
      <c r="H423" s="147"/>
      <c r="I423" s="147"/>
      <c r="J423" s="147"/>
      <c r="K423" s="147"/>
    </row>
    <row r="424" spans="1:11" s="146" customFormat="1" ht="13.5" customHeight="1">
      <c r="A424" s="71" t="s">
        <v>151</v>
      </c>
      <c r="B424" s="24" t="s">
        <v>65</v>
      </c>
      <c r="C424" s="59">
        <v>22500</v>
      </c>
      <c r="D424" s="23"/>
      <c r="E424" s="23"/>
      <c r="F424" s="9"/>
      <c r="G424" s="147"/>
      <c r="H424" s="147"/>
      <c r="I424" s="147"/>
      <c r="J424" s="147"/>
      <c r="K424" s="147"/>
    </row>
    <row r="425" spans="1:11" s="146" customFormat="1" ht="13.5" customHeight="1">
      <c r="A425" s="71" t="s">
        <v>154</v>
      </c>
      <c r="B425" s="24" t="s">
        <v>125</v>
      </c>
      <c r="C425" s="24">
        <v>58400</v>
      </c>
      <c r="D425" s="23"/>
      <c r="E425" s="23"/>
      <c r="F425" s="9"/>
      <c r="G425" s="147"/>
      <c r="H425" s="147"/>
      <c r="I425" s="147"/>
      <c r="J425" s="147"/>
      <c r="K425" s="147"/>
    </row>
    <row r="426" spans="1:11" s="146" customFormat="1" ht="13.5" customHeight="1" thickBot="1">
      <c r="A426" s="71"/>
      <c r="B426" s="71"/>
      <c r="C426" s="23"/>
      <c r="D426" s="23"/>
      <c r="E426" s="23"/>
      <c r="F426" s="9"/>
      <c r="G426" s="147"/>
      <c r="H426" s="147"/>
      <c r="I426" s="147"/>
      <c r="J426" s="147"/>
      <c r="K426" s="147"/>
    </row>
    <row r="427" spans="1:11" s="146" customFormat="1" ht="13.5" customHeight="1" thickBot="1">
      <c r="A427" s="994" t="s">
        <v>3</v>
      </c>
      <c r="B427" s="995"/>
      <c r="C427" s="603">
        <f>(C428+C430+C434+C436+C438+C440)</f>
        <v>4268170</v>
      </c>
      <c r="D427" s="23"/>
      <c r="E427" s="23"/>
      <c r="F427" s="9"/>
      <c r="G427" s="147"/>
      <c r="H427" s="147"/>
      <c r="I427" s="147"/>
      <c r="J427" s="147"/>
      <c r="K427" s="147"/>
    </row>
    <row r="428" spans="1:11" s="146" customFormat="1" ht="13.5" customHeight="1">
      <c r="A428" s="62" t="s">
        <v>110</v>
      </c>
      <c r="B428" s="199" t="s">
        <v>111</v>
      </c>
      <c r="C428" s="32">
        <f>SUM(C429)</f>
        <v>47520</v>
      </c>
      <c r="D428" s="23"/>
      <c r="E428" s="23"/>
      <c r="F428" s="9"/>
      <c r="G428" s="147"/>
      <c r="H428" s="147"/>
      <c r="I428" s="147"/>
      <c r="J428" s="147"/>
      <c r="K428" s="147"/>
    </row>
    <row r="429" spans="1:11" s="146" customFormat="1" ht="13.5" customHeight="1">
      <c r="A429" s="58" t="s">
        <v>52</v>
      </c>
      <c r="B429" s="58" t="s">
        <v>15</v>
      </c>
      <c r="C429" s="24">
        <v>47520</v>
      </c>
      <c r="D429" s="23"/>
      <c r="E429" s="23"/>
      <c r="F429" s="9"/>
      <c r="G429" s="147"/>
      <c r="H429" s="147"/>
      <c r="I429" s="147"/>
      <c r="J429" s="147"/>
      <c r="K429" s="147"/>
    </row>
    <row r="430" spans="1:11" s="146" customFormat="1" ht="13.5" customHeight="1">
      <c r="A430" s="62" t="s">
        <v>120</v>
      </c>
      <c r="B430" s="62" t="s">
        <v>121</v>
      </c>
      <c r="C430" s="504">
        <f>SUM(C431:C433)</f>
        <v>213480</v>
      </c>
      <c r="D430" s="23"/>
      <c r="E430" s="23"/>
      <c r="F430" s="9"/>
      <c r="G430" s="147"/>
      <c r="H430" s="147"/>
      <c r="I430" s="147"/>
      <c r="J430" s="147"/>
      <c r="K430" s="147"/>
    </row>
    <row r="431" spans="1:11" s="146" customFormat="1" ht="13.5" customHeight="1">
      <c r="A431" s="58" t="s">
        <v>245</v>
      </c>
      <c r="B431" s="42" t="s">
        <v>246</v>
      </c>
      <c r="C431" s="59">
        <v>120900</v>
      </c>
      <c r="D431" s="23"/>
      <c r="E431" s="23"/>
      <c r="F431" s="9"/>
      <c r="G431" s="147"/>
      <c r="H431" s="147"/>
      <c r="I431" s="147"/>
      <c r="J431" s="147"/>
      <c r="K431" s="147"/>
    </row>
    <row r="432" spans="1:11" s="146" customFormat="1" ht="13.5" customHeight="1">
      <c r="A432" s="58" t="s">
        <v>140</v>
      </c>
      <c r="B432" s="42" t="s">
        <v>141</v>
      </c>
      <c r="C432" s="59">
        <v>43200</v>
      </c>
      <c r="D432" s="23"/>
      <c r="E432" s="23"/>
      <c r="F432" s="9"/>
      <c r="G432" s="147"/>
      <c r="H432" s="147"/>
      <c r="I432" s="147"/>
      <c r="J432" s="147"/>
      <c r="K432" s="147"/>
    </row>
    <row r="433" spans="1:11" s="146" customFormat="1" ht="13.5" customHeight="1">
      <c r="A433" s="58" t="s">
        <v>136</v>
      </c>
      <c r="B433" s="58" t="s">
        <v>71</v>
      </c>
      <c r="C433" s="59">
        <v>49380</v>
      </c>
      <c r="D433" s="23"/>
      <c r="E433" s="23"/>
      <c r="F433" s="9"/>
      <c r="G433" s="147"/>
      <c r="H433" s="147"/>
      <c r="I433" s="147"/>
      <c r="J433" s="147"/>
      <c r="K433" s="147"/>
    </row>
    <row r="434" spans="1:11" s="146" customFormat="1" ht="13.5" customHeight="1">
      <c r="A434" s="249" t="s">
        <v>112</v>
      </c>
      <c r="B434" s="62" t="s">
        <v>156</v>
      </c>
      <c r="C434" s="31">
        <f>SUM(C435)</f>
        <v>2231460</v>
      </c>
      <c r="D434" s="23"/>
      <c r="E434" s="23"/>
      <c r="F434" s="9"/>
      <c r="G434" s="147"/>
      <c r="H434" s="147"/>
      <c r="I434" s="147"/>
      <c r="J434" s="147"/>
      <c r="K434" s="147"/>
    </row>
    <row r="435" spans="1:11" s="146" customFormat="1" ht="13.5" customHeight="1">
      <c r="A435" s="71" t="s">
        <v>49</v>
      </c>
      <c r="B435" s="24" t="s">
        <v>87</v>
      </c>
      <c r="C435" s="59">
        <v>2231460</v>
      </c>
      <c r="D435" s="23"/>
      <c r="E435" s="23"/>
      <c r="F435" s="9"/>
      <c r="G435" s="147"/>
      <c r="H435" s="147"/>
      <c r="I435" s="147"/>
      <c r="J435" s="147"/>
      <c r="K435" s="147"/>
    </row>
    <row r="436" spans="1:11" s="146" customFormat="1" ht="13.5" customHeight="1">
      <c r="A436" s="249" t="s">
        <v>113</v>
      </c>
      <c r="B436" s="31" t="s">
        <v>114</v>
      </c>
      <c r="C436" s="63">
        <f>SUM(C437)</f>
        <v>14500</v>
      </c>
      <c r="D436" s="23"/>
      <c r="E436" s="23"/>
      <c r="F436" s="9"/>
      <c r="G436" s="147"/>
      <c r="H436" s="147"/>
      <c r="I436" s="147"/>
      <c r="J436" s="147"/>
      <c r="K436" s="147"/>
    </row>
    <row r="437" spans="1:11" s="146" customFormat="1" ht="13.5" customHeight="1">
      <c r="A437" s="71" t="s">
        <v>163</v>
      </c>
      <c r="B437" s="58" t="s">
        <v>74</v>
      </c>
      <c r="C437" s="59">
        <v>14500</v>
      </c>
      <c r="D437" s="23"/>
      <c r="E437" s="23"/>
      <c r="F437" s="9"/>
      <c r="G437" s="147"/>
      <c r="H437" s="147"/>
      <c r="I437" s="147"/>
      <c r="J437" s="147"/>
      <c r="K437" s="147"/>
    </row>
    <row r="438" spans="1:6" s="55" customFormat="1" ht="13.5">
      <c r="A438" s="11" t="s">
        <v>132</v>
      </c>
      <c r="B438" s="31" t="s">
        <v>56</v>
      </c>
      <c r="C438" s="63">
        <f>SUM(C439)</f>
        <v>66000</v>
      </c>
      <c r="E438" s="56"/>
      <c r="F438" s="56"/>
    </row>
    <row r="439" spans="1:255" s="65" customFormat="1" ht="13.5">
      <c r="A439" s="71" t="s">
        <v>55</v>
      </c>
      <c r="B439" s="42" t="s">
        <v>56</v>
      </c>
      <c r="C439" s="59">
        <v>66000</v>
      </c>
      <c r="E439" s="56"/>
      <c r="F439" s="227"/>
      <c r="G439" s="442"/>
      <c r="H439" s="66"/>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c r="AM439" s="55"/>
      <c r="AN439" s="55"/>
      <c r="AO439" s="55"/>
      <c r="AP439" s="55"/>
      <c r="AQ439" s="55"/>
      <c r="AR439" s="55"/>
      <c r="AS439" s="55"/>
      <c r="AT439" s="55"/>
      <c r="AU439" s="55"/>
      <c r="AV439" s="55"/>
      <c r="AW439" s="55"/>
      <c r="AX439" s="55"/>
      <c r="AY439" s="55"/>
      <c r="AZ439" s="55"/>
      <c r="BA439" s="55"/>
      <c r="BB439" s="55"/>
      <c r="BC439" s="55"/>
      <c r="BD439" s="55"/>
      <c r="BE439" s="55"/>
      <c r="BF439" s="55"/>
      <c r="BG439" s="55"/>
      <c r="BH439" s="55"/>
      <c r="BI439" s="55"/>
      <c r="BJ439" s="55"/>
      <c r="BK439" s="55"/>
      <c r="BL439" s="55"/>
      <c r="BM439" s="55"/>
      <c r="BN439" s="55"/>
      <c r="BO439" s="55"/>
      <c r="BP439" s="55"/>
      <c r="BQ439" s="55"/>
      <c r="BR439" s="55"/>
      <c r="BS439" s="55"/>
      <c r="BT439" s="55"/>
      <c r="BU439" s="55"/>
      <c r="BV439" s="55"/>
      <c r="BW439" s="55"/>
      <c r="BX439" s="55"/>
      <c r="BY439" s="55"/>
      <c r="BZ439" s="55"/>
      <c r="CA439" s="55"/>
      <c r="CB439" s="55"/>
      <c r="CC439" s="55"/>
      <c r="CD439" s="55"/>
      <c r="CE439" s="55"/>
      <c r="CF439" s="55"/>
      <c r="CG439" s="55"/>
      <c r="CH439" s="55"/>
      <c r="CI439" s="55"/>
      <c r="CJ439" s="55"/>
      <c r="CK439" s="55"/>
      <c r="CL439" s="55"/>
      <c r="CM439" s="55"/>
      <c r="CN439" s="55"/>
      <c r="CO439" s="55"/>
      <c r="CP439" s="55"/>
      <c r="CQ439" s="55"/>
      <c r="CR439" s="55"/>
      <c r="CS439" s="55"/>
      <c r="CT439" s="55"/>
      <c r="CU439" s="55"/>
      <c r="CV439" s="55"/>
      <c r="CW439" s="55"/>
      <c r="CX439" s="55"/>
      <c r="CY439" s="55"/>
      <c r="CZ439" s="55"/>
      <c r="DA439" s="55"/>
      <c r="DB439" s="55"/>
      <c r="DC439" s="55"/>
      <c r="DD439" s="55"/>
      <c r="DE439" s="55"/>
      <c r="DF439" s="55"/>
      <c r="DG439" s="55"/>
      <c r="DH439" s="55"/>
      <c r="DI439" s="55"/>
      <c r="DJ439" s="55"/>
      <c r="DK439" s="55"/>
      <c r="DL439" s="55"/>
      <c r="DM439" s="55"/>
      <c r="DN439" s="55"/>
      <c r="DO439" s="55"/>
      <c r="DP439" s="55"/>
      <c r="DQ439" s="55"/>
      <c r="DR439" s="55"/>
      <c r="DS439" s="55"/>
      <c r="DT439" s="55"/>
      <c r="DU439" s="55"/>
      <c r="DV439" s="55"/>
      <c r="DW439" s="55"/>
      <c r="DX439" s="55"/>
      <c r="DY439" s="55"/>
      <c r="DZ439" s="55"/>
      <c r="EA439" s="55"/>
      <c r="EB439" s="55"/>
      <c r="EC439" s="55"/>
      <c r="ED439" s="55"/>
      <c r="EE439" s="55"/>
      <c r="EF439" s="55"/>
      <c r="EG439" s="55"/>
      <c r="EH439" s="55"/>
      <c r="EI439" s="55"/>
      <c r="EJ439" s="55"/>
      <c r="EK439" s="55"/>
      <c r="EL439" s="55"/>
      <c r="EM439" s="55"/>
      <c r="EN439" s="55"/>
      <c r="EO439" s="55"/>
      <c r="EP439" s="55"/>
      <c r="EQ439" s="55"/>
      <c r="ER439" s="55"/>
      <c r="ES439" s="55"/>
      <c r="ET439" s="55"/>
      <c r="EU439" s="55"/>
      <c r="EV439" s="55"/>
      <c r="EW439" s="55"/>
      <c r="EX439" s="55"/>
      <c r="EY439" s="55"/>
      <c r="EZ439" s="55"/>
      <c r="FA439" s="55"/>
      <c r="FB439" s="55"/>
      <c r="FC439" s="55"/>
      <c r="FD439" s="55"/>
      <c r="FE439" s="55"/>
      <c r="FF439" s="55"/>
      <c r="FG439" s="55"/>
      <c r="FH439" s="55"/>
      <c r="FI439" s="55"/>
      <c r="FJ439" s="55"/>
      <c r="FK439" s="55"/>
      <c r="FL439" s="55"/>
      <c r="FM439" s="55"/>
      <c r="FN439" s="55"/>
      <c r="FO439" s="55"/>
      <c r="FP439" s="55"/>
      <c r="FQ439" s="55"/>
      <c r="FR439" s="55"/>
      <c r="FS439" s="55"/>
      <c r="FT439" s="55"/>
      <c r="FU439" s="55"/>
      <c r="FV439" s="55"/>
      <c r="FW439" s="55"/>
      <c r="FX439" s="55"/>
      <c r="FY439" s="55"/>
      <c r="FZ439" s="55"/>
      <c r="GA439" s="55"/>
      <c r="GB439" s="55"/>
      <c r="GC439" s="55"/>
      <c r="GD439" s="55"/>
      <c r="GE439" s="55"/>
      <c r="GF439" s="55"/>
      <c r="GG439" s="55"/>
      <c r="GH439" s="55"/>
      <c r="GI439" s="55"/>
      <c r="GJ439" s="55"/>
      <c r="GK439" s="55"/>
      <c r="GL439" s="55"/>
      <c r="GM439" s="55"/>
      <c r="GN439" s="55"/>
      <c r="GO439" s="55"/>
      <c r="GP439" s="55"/>
      <c r="GQ439" s="55"/>
      <c r="GR439" s="55"/>
      <c r="GS439" s="55"/>
      <c r="GT439" s="55"/>
      <c r="GU439" s="55"/>
      <c r="GV439" s="55"/>
      <c r="GW439" s="55"/>
      <c r="GX439" s="55"/>
      <c r="GY439" s="55"/>
      <c r="GZ439" s="55"/>
      <c r="HA439" s="55"/>
      <c r="HB439" s="55"/>
      <c r="HC439" s="55"/>
      <c r="HD439" s="55"/>
      <c r="HE439" s="55"/>
      <c r="HF439" s="55"/>
      <c r="HG439" s="55"/>
      <c r="HH439" s="55"/>
      <c r="HI439" s="55"/>
      <c r="HJ439" s="55"/>
      <c r="HK439" s="55"/>
      <c r="HL439" s="55"/>
      <c r="HM439" s="55"/>
      <c r="HN439" s="55"/>
      <c r="HO439" s="55"/>
      <c r="HP439" s="55"/>
      <c r="HQ439" s="55"/>
      <c r="HR439" s="55"/>
      <c r="HS439" s="55"/>
      <c r="HT439" s="55"/>
      <c r="HU439" s="55"/>
      <c r="HV439" s="55"/>
      <c r="HW439" s="55"/>
      <c r="HX439" s="55"/>
      <c r="HY439" s="55"/>
      <c r="HZ439" s="55"/>
      <c r="IA439" s="55"/>
      <c r="IB439" s="55"/>
      <c r="IC439" s="55"/>
      <c r="ID439" s="55"/>
      <c r="IE439" s="55"/>
      <c r="IF439" s="55"/>
      <c r="IG439" s="55"/>
      <c r="IH439" s="55"/>
      <c r="II439" s="55"/>
      <c r="IJ439" s="55"/>
      <c r="IK439" s="55"/>
      <c r="IL439" s="55"/>
      <c r="IM439" s="55"/>
      <c r="IN439" s="55"/>
      <c r="IO439" s="55"/>
      <c r="IP439" s="55"/>
      <c r="IQ439" s="55"/>
      <c r="IR439" s="55"/>
      <c r="IS439" s="55"/>
      <c r="IT439" s="55"/>
      <c r="IU439" s="55"/>
    </row>
    <row r="440" spans="1:11" s="146" customFormat="1" ht="13.5" customHeight="1">
      <c r="A440" s="249" t="s">
        <v>115</v>
      </c>
      <c r="B440" s="31" t="s">
        <v>8</v>
      </c>
      <c r="C440" s="63">
        <f>SUM(C441:C444)</f>
        <v>1695210</v>
      </c>
      <c r="D440" s="23"/>
      <c r="E440" s="23"/>
      <c r="F440" s="9"/>
      <c r="G440" s="147"/>
      <c r="H440" s="147"/>
      <c r="I440" s="147"/>
      <c r="J440" s="147"/>
      <c r="K440" s="147"/>
    </row>
    <row r="441" spans="1:11" s="146" customFormat="1" ht="13.5" customHeight="1">
      <c r="A441" s="71" t="s">
        <v>92</v>
      </c>
      <c r="B441" s="24" t="s">
        <v>8</v>
      </c>
      <c r="C441" s="59">
        <v>1512900</v>
      </c>
      <c r="D441" s="23"/>
      <c r="E441" s="23"/>
      <c r="F441" s="9"/>
      <c r="G441" s="147"/>
      <c r="H441" s="147"/>
      <c r="I441" s="147"/>
      <c r="J441" s="147"/>
      <c r="K441" s="147"/>
    </row>
    <row r="442" spans="1:7" s="65" customFormat="1" ht="13.5">
      <c r="A442" s="71" t="s">
        <v>182</v>
      </c>
      <c r="B442" s="42" t="s">
        <v>181</v>
      </c>
      <c r="C442" s="59">
        <v>18000</v>
      </c>
      <c r="D442" s="66"/>
      <c r="F442" s="194"/>
      <c r="G442" s="67"/>
    </row>
    <row r="443" spans="1:8" s="65" customFormat="1" ht="13.5">
      <c r="A443" s="58" t="s">
        <v>223</v>
      </c>
      <c r="B443" s="42" t="s">
        <v>222</v>
      </c>
      <c r="C443" s="59">
        <v>34690</v>
      </c>
      <c r="E443" s="67"/>
      <c r="F443" s="194"/>
      <c r="H443" s="66"/>
    </row>
    <row r="444" spans="1:11" s="146" customFormat="1" ht="13.5" customHeight="1">
      <c r="A444" s="71" t="s">
        <v>90</v>
      </c>
      <c r="B444" s="24" t="s">
        <v>7</v>
      </c>
      <c r="C444" s="59">
        <v>129620</v>
      </c>
      <c r="D444" s="23"/>
      <c r="E444" s="23"/>
      <c r="F444" s="9"/>
      <c r="G444" s="147"/>
      <c r="H444" s="147"/>
      <c r="I444" s="147"/>
      <c r="J444" s="147"/>
      <c r="K444" s="147"/>
    </row>
    <row r="445" spans="1:11" s="146" customFormat="1" ht="13.5" customHeight="1" thickBot="1">
      <c r="A445" s="71"/>
      <c r="B445" s="71"/>
      <c r="C445" s="23"/>
      <c r="D445" s="23"/>
      <c r="E445" s="23"/>
      <c r="F445" s="9"/>
      <c r="G445" s="147"/>
      <c r="H445" s="147"/>
      <c r="I445" s="147"/>
      <c r="J445" s="147"/>
      <c r="K445" s="147"/>
    </row>
    <row r="446" spans="1:6" s="65" customFormat="1" ht="14.25" thickBot="1">
      <c r="A446" s="1030" t="s">
        <v>5</v>
      </c>
      <c r="B446" s="1037"/>
      <c r="C446" s="661">
        <f>C447</f>
        <v>105000</v>
      </c>
      <c r="D446" s="66"/>
      <c r="E446" s="67"/>
      <c r="F446" s="194"/>
    </row>
    <row r="447" spans="1:6" s="225" customFormat="1" ht="13.5">
      <c r="A447" s="62" t="s">
        <v>128</v>
      </c>
      <c r="B447" s="199" t="s">
        <v>129</v>
      </c>
      <c r="C447" s="509">
        <f>SUM(C448:C449)</f>
        <v>105000</v>
      </c>
      <c r="D447" s="172"/>
      <c r="E447" s="94"/>
      <c r="F447" s="98"/>
    </row>
    <row r="448" spans="1:6" s="55" customFormat="1" ht="13.5">
      <c r="A448" s="58" t="s">
        <v>255</v>
      </c>
      <c r="B448" s="42" t="s">
        <v>256</v>
      </c>
      <c r="C448" s="59">
        <v>55000</v>
      </c>
      <c r="D448" s="172"/>
      <c r="E448" s="56"/>
      <c r="F448" s="98"/>
    </row>
    <row r="449" spans="1:6" s="55" customFormat="1" ht="13.5">
      <c r="A449" s="58" t="s">
        <v>144</v>
      </c>
      <c r="B449" s="42" t="s">
        <v>257</v>
      </c>
      <c r="C449" s="59">
        <v>50000</v>
      </c>
      <c r="D449" s="59"/>
      <c r="E449" s="56"/>
      <c r="F449" s="98"/>
    </row>
    <row r="450" spans="1:6" s="55" customFormat="1" ht="14.25" thickBot="1">
      <c r="A450" s="58"/>
      <c r="B450" s="42"/>
      <c r="C450" s="59"/>
      <c r="D450" s="59"/>
      <c r="E450" s="56"/>
      <c r="F450" s="98"/>
    </row>
    <row r="451" spans="1:11" s="146" customFormat="1" ht="13.5" customHeight="1" thickBot="1">
      <c r="A451" s="1038" t="s">
        <v>4</v>
      </c>
      <c r="B451" s="1039"/>
      <c r="C451" s="605">
        <f>+C452+C456</f>
        <v>134300</v>
      </c>
      <c r="D451" s="23"/>
      <c r="E451" s="23"/>
      <c r="F451" s="9"/>
      <c r="G451" s="147"/>
      <c r="H451" s="147"/>
      <c r="I451" s="147"/>
      <c r="J451" s="147"/>
      <c r="K451" s="147"/>
    </row>
    <row r="452" spans="1:11" s="146" customFormat="1" ht="13.5" customHeight="1">
      <c r="A452" s="11" t="s">
        <v>116</v>
      </c>
      <c r="B452" s="25" t="s">
        <v>117</v>
      </c>
      <c r="C452" s="504">
        <f>SUM(C453:C455)</f>
        <v>115900</v>
      </c>
      <c r="D452" s="23"/>
      <c r="E452" s="23"/>
      <c r="F452" s="9"/>
      <c r="G452" s="147"/>
      <c r="H452" s="147"/>
      <c r="I452" s="147"/>
      <c r="J452" s="147"/>
      <c r="K452" s="147"/>
    </row>
    <row r="453" spans="1:11" s="146" customFormat="1" ht="13.5" customHeight="1">
      <c r="A453" s="71" t="s">
        <v>91</v>
      </c>
      <c r="B453" s="23" t="s">
        <v>139</v>
      </c>
      <c r="C453" s="59">
        <v>35000</v>
      </c>
      <c r="D453" s="23"/>
      <c r="E453" s="23"/>
      <c r="F453" s="9"/>
      <c r="G453" s="147"/>
      <c r="H453" s="147"/>
      <c r="I453" s="147"/>
      <c r="J453" s="147"/>
      <c r="K453" s="147"/>
    </row>
    <row r="454" spans="1:11" s="146" customFormat="1" ht="13.5" customHeight="1">
      <c r="A454" s="12" t="s">
        <v>161</v>
      </c>
      <c r="B454" s="24" t="s">
        <v>162</v>
      </c>
      <c r="C454" s="59">
        <f>40900+10000</f>
        <v>50900</v>
      </c>
      <c r="D454" s="23"/>
      <c r="E454" s="23"/>
      <c r="F454" s="9"/>
      <c r="G454" s="147"/>
      <c r="H454" s="147"/>
      <c r="I454" s="147"/>
      <c r="J454" s="147"/>
      <c r="K454" s="147"/>
    </row>
    <row r="455" spans="1:8" s="8" customFormat="1" ht="13.5" customHeight="1">
      <c r="A455" s="71" t="s">
        <v>756</v>
      </c>
      <c r="B455" s="23" t="s">
        <v>757</v>
      </c>
      <c r="C455" s="24">
        <v>30000</v>
      </c>
      <c r="D455" s="77"/>
      <c r="E455" s="25"/>
      <c r="F455" s="98"/>
      <c r="G455" s="54"/>
      <c r="H455" s="42"/>
    </row>
    <row r="456" spans="1:11" s="146" customFormat="1" ht="13.5" customHeight="1">
      <c r="A456" s="249" t="s">
        <v>165</v>
      </c>
      <c r="B456" s="25" t="s">
        <v>135</v>
      </c>
      <c r="C456" s="63">
        <f>SUM(C457)</f>
        <v>18400</v>
      </c>
      <c r="D456" s="23"/>
      <c r="E456" s="23"/>
      <c r="F456" s="9"/>
      <c r="G456" s="147"/>
      <c r="H456" s="147"/>
      <c r="I456" s="147"/>
      <c r="J456" s="147"/>
      <c r="K456" s="147"/>
    </row>
    <row r="457" spans="1:11" s="146" customFormat="1" ht="13.5" customHeight="1">
      <c r="A457" s="71" t="s">
        <v>166</v>
      </c>
      <c r="B457" s="23" t="s">
        <v>51</v>
      </c>
      <c r="C457" s="59">
        <v>18400</v>
      </c>
      <c r="D457" s="23"/>
      <c r="E457" s="23"/>
      <c r="F457" s="9"/>
      <c r="G457" s="147"/>
      <c r="H457" s="147"/>
      <c r="I457" s="147"/>
      <c r="J457" s="147"/>
      <c r="K457" s="147"/>
    </row>
    <row r="458" spans="1:11" s="73" customFormat="1" ht="13.5" customHeight="1">
      <c r="A458" s="11"/>
      <c r="B458" s="31"/>
      <c r="C458" s="63"/>
      <c r="D458" s="24"/>
      <c r="E458" s="24"/>
      <c r="F458" s="72"/>
      <c r="G458" s="169"/>
      <c r="H458" s="169"/>
      <c r="I458" s="169"/>
      <c r="J458" s="169"/>
      <c r="K458" s="169"/>
    </row>
    <row r="459" spans="1:11" s="73" customFormat="1" ht="13.5" customHeight="1" thickBot="1">
      <c r="A459" s="12"/>
      <c r="B459" s="24"/>
      <c r="C459" s="59"/>
      <c r="D459" s="24"/>
      <c r="E459" s="24"/>
      <c r="F459" s="72"/>
      <c r="G459" s="169"/>
      <c r="H459" s="169"/>
      <c r="I459" s="169"/>
      <c r="J459" s="169"/>
      <c r="K459" s="169"/>
    </row>
    <row r="460" spans="1:9" s="293" customFormat="1" ht="13.5" customHeight="1">
      <c r="A460" s="583" t="s">
        <v>718</v>
      </c>
      <c r="B460" s="584" t="s">
        <v>733</v>
      </c>
      <c r="C460" s="625"/>
      <c r="D460" s="811" t="s">
        <v>6</v>
      </c>
      <c r="E460" s="814">
        <v>1205</v>
      </c>
      <c r="F460" s="624"/>
      <c r="I460" s="294"/>
    </row>
    <row r="461" spans="1:9" s="293" customFormat="1" ht="13.5" customHeight="1" thickBot="1">
      <c r="A461" s="587" t="s">
        <v>734</v>
      </c>
      <c r="B461" s="588"/>
      <c r="C461" s="628"/>
      <c r="D461" s="813"/>
      <c r="E461" s="753"/>
      <c r="F461" s="624"/>
      <c r="I461" s="294"/>
    </row>
    <row r="462" spans="1:9" s="293" customFormat="1" ht="13.5" customHeight="1">
      <c r="A462" s="252" t="s">
        <v>798</v>
      </c>
      <c r="B462" s="52"/>
      <c r="C462" s="286"/>
      <c r="D462" s="261"/>
      <c r="E462" s="288"/>
      <c r="F462" s="624"/>
      <c r="I462" s="294"/>
    </row>
    <row r="463" spans="1:9" s="293" customFormat="1" ht="13.5" customHeight="1">
      <c r="A463" s="252" t="s">
        <v>702</v>
      </c>
      <c r="B463" s="52"/>
      <c r="C463" s="286"/>
      <c r="D463" s="261"/>
      <c r="E463" s="288"/>
      <c r="F463" s="624"/>
      <c r="I463" s="294"/>
    </row>
    <row r="464" spans="1:9" s="293" customFormat="1" ht="13.5" customHeight="1">
      <c r="A464" s="252" t="s">
        <v>617</v>
      </c>
      <c r="B464" s="52"/>
      <c r="C464" s="286"/>
      <c r="D464" s="261"/>
      <c r="E464" s="288"/>
      <c r="F464" s="624"/>
      <c r="I464" s="294"/>
    </row>
    <row r="465" spans="1:9" s="293" customFormat="1" ht="13.5" customHeight="1" thickBot="1">
      <c r="A465" s="252" t="s">
        <v>11</v>
      </c>
      <c r="B465" s="52"/>
      <c r="C465" s="313"/>
      <c r="D465" s="261"/>
      <c r="E465" s="288"/>
      <c r="F465" s="624"/>
      <c r="I465" s="294"/>
    </row>
    <row r="466" spans="1:9" s="293" customFormat="1" ht="13.5" customHeight="1" thickBot="1">
      <c r="A466" s="697" t="s">
        <v>300</v>
      </c>
      <c r="B466" s="698"/>
      <c r="C466" s="699"/>
      <c r="D466" s="700"/>
      <c r="E466" s="701">
        <f>(C468)</f>
        <v>5550000</v>
      </c>
      <c r="F466" s="624"/>
      <c r="G466" s="783"/>
      <c r="I466" s="294"/>
    </row>
    <row r="467" spans="1:9" s="293" customFormat="1" ht="13.5" customHeight="1" thickBot="1">
      <c r="A467" s="12"/>
      <c r="B467" s="12"/>
      <c r="C467" s="286"/>
      <c r="D467" s="276"/>
      <c r="E467" s="286"/>
      <c r="F467" s="624"/>
      <c r="I467" s="294"/>
    </row>
    <row r="468" spans="1:9" s="293" customFormat="1" ht="13.5" customHeight="1" thickBot="1">
      <c r="A468" s="1011" t="s">
        <v>301</v>
      </c>
      <c r="B468" s="1012"/>
      <c r="C468" s="710">
        <f>(C470)</f>
        <v>5550000</v>
      </c>
      <c r="D468" s="316"/>
      <c r="E468" s="286"/>
      <c r="F468" s="624"/>
      <c r="I468" s="294"/>
    </row>
    <row r="469" spans="1:9" s="293" customFormat="1" ht="13.5" customHeight="1">
      <c r="A469" s="319" t="s">
        <v>302</v>
      </c>
      <c r="B469" s="510" t="s">
        <v>323</v>
      </c>
      <c r="C469" s="286"/>
      <c r="D469" s="276"/>
      <c r="E469" s="286"/>
      <c r="F469" s="624"/>
      <c r="I469" s="294"/>
    </row>
    <row r="470" spans="1:9" s="293" customFormat="1" ht="13.5" customHeight="1">
      <c r="A470" s="12" t="s">
        <v>307</v>
      </c>
      <c r="B470" s="12" t="s">
        <v>308</v>
      </c>
      <c r="C470" s="779">
        <v>5550000</v>
      </c>
      <c r="D470" s="276"/>
      <c r="E470" s="286"/>
      <c r="F470" s="624"/>
      <c r="I470" s="294"/>
    </row>
    <row r="471" spans="1:9" s="293" customFormat="1" ht="13.5" customHeight="1">
      <c r="A471" s="257"/>
      <c r="B471" s="52"/>
      <c r="C471" s="286"/>
      <c r="D471" s="276"/>
      <c r="E471" s="286"/>
      <c r="F471" s="624"/>
      <c r="I471" s="294"/>
    </row>
    <row r="472" spans="1:9" s="293" customFormat="1" ht="13.5" customHeight="1" thickBot="1">
      <c r="A472" s="257"/>
      <c r="B472" s="52"/>
      <c r="C472" s="286"/>
      <c r="D472" s="276"/>
      <c r="E472" s="286"/>
      <c r="F472" s="624"/>
      <c r="I472" s="294"/>
    </row>
    <row r="473" spans="1:9" s="293" customFormat="1" ht="13.5" customHeight="1">
      <c r="A473" s="583" t="s">
        <v>718</v>
      </c>
      <c r="B473" s="584" t="s">
        <v>735</v>
      </c>
      <c r="C473" s="625"/>
      <c r="D473" s="810" t="s">
        <v>6</v>
      </c>
      <c r="E473" s="814">
        <v>1206</v>
      </c>
      <c r="F473" s="624"/>
      <c r="I473" s="294"/>
    </row>
    <row r="474" spans="1:9" s="293" customFormat="1" ht="13.5" customHeight="1" thickBot="1">
      <c r="A474" s="587" t="s">
        <v>736</v>
      </c>
      <c r="B474" s="588"/>
      <c r="C474" s="628"/>
      <c r="D474" s="825"/>
      <c r="E474" s="826"/>
      <c r="F474" s="624"/>
      <c r="I474" s="294"/>
    </row>
    <row r="475" spans="1:9" s="293" customFormat="1" ht="13.5" customHeight="1">
      <c r="A475" s="252" t="s">
        <v>798</v>
      </c>
      <c r="B475" s="52"/>
      <c r="C475" s="286"/>
      <c r="D475" s="261"/>
      <c r="E475" s="288"/>
      <c r="F475" s="624"/>
      <c r="I475" s="294"/>
    </row>
    <row r="476" spans="1:9" s="293" customFormat="1" ht="13.5" customHeight="1">
      <c r="A476" s="252" t="s">
        <v>702</v>
      </c>
      <c r="B476" s="52"/>
      <c r="C476" s="286"/>
      <c r="D476" s="261"/>
      <c r="E476" s="288"/>
      <c r="F476" s="624"/>
      <c r="I476" s="294"/>
    </row>
    <row r="477" spans="1:9" s="293" customFormat="1" ht="13.5" customHeight="1">
      <c r="A477" s="252" t="s">
        <v>617</v>
      </c>
      <c r="B477" s="52"/>
      <c r="C477" s="286"/>
      <c r="D477" s="261"/>
      <c r="E477" s="288"/>
      <c r="F477" s="624"/>
      <c r="I477" s="294"/>
    </row>
    <row r="478" spans="1:9" s="293" customFormat="1" ht="13.5" customHeight="1" thickBot="1">
      <c r="A478" s="252" t="s">
        <v>11</v>
      </c>
      <c r="B478" s="52"/>
      <c r="C478" s="313"/>
      <c r="D478" s="261"/>
      <c r="E478" s="288"/>
      <c r="F478" s="624"/>
      <c r="I478" s="294"/>
    </row>
    <row r="479" spans="1:9" s="293" customFormat="1" ht="13.5" customHeight="1" thickBot="1">
      <c r="A479" s="697" t="s">
        <v>300</v>
      </c>
      <c r="B479" s="698"/>
      <c r="C479" s="699"/>
      <c r="D479" s="700"/>
      <c r="E479" s="701">
        <f>(C481)</f>
        <v>1157000</v>
      </c>
      <c r="F479" s="624"/>
      <c r="G479" s="783"/>
      <c r="I479" s="294"/>
    </row>
    <row r="480" spans="1:9" s="293" customFormat="1" ht="13.5" customHeight="1" thickBot="1">
      <c r="A480" s="12"/>
      <c r="B480" s="12"/>
      <c r="C480" s="286"/>
      <c r="D480" s="276"/>
      <c r="E480" s="286"/>
      <c r="F480" s="624"/>
      <c r="I480" s="294"/>
    </row>
    <row r="481" spans="1:9" s="293" customFormat="1" ht="13.5" customHeight="1" thickBot="1">
      <c r="A481" s="1011" t="s">
        <v>301</v>
      </c>
      <c r="B481" s="1012"/>
      <c r="C481" s="710">
        <f>(C483)</f>
        <v>1157000</v>
      </c>
      <c r="D481" s="316"/>
      <c r="E481" s="286"/>
      <c r="F481" s="624"/>
      <c r="I481" s="294"/>
    </row>
    <row r="482" spans="1:9" s="293" customFormat="1" ht="13.5" customHeight="1">
      <c r="A482" s="319" t="s">
        <v>302</v>
      </c>
      <c r="B482" s="510" t="s">
        <v>323</v>
      </c>
      <c r="C482" s="286"/>
      <c r="D482" s="276"/>
      <c r="E482" s="286"/>
      <c r="F482" s="624"/>
      <c r="I482" s="294"/>
    </row>
    <row r="483" spans="1:9" s="293" customFormat="1" ht="13.5" customHeight="1">
      <c r="A483" s="12" t="s">
        <v>313</v>
      </c>
      <c r="B483" s="42" t="s">
        <v>314</v>
      </c>
      <c r="C483" s="317">
        <v>1157000</v>
      </c>
      <c r="D483" s="276"/>
      <c r="E483" s="286"/>
      <c r="F483" s="624"/>
      <c r="I483" s="294"/>
    </row>
    <row r="484" spans="1:6" s="72" customFormat="1" ht="12.75" customHeight="1">
      <c r="A484" s="12"/>
      <c r="B484" s="24"/>
      <c r="C484" s="24"/>
      <c r="D484" s="22"/>
      <c r="E484" s="31"/>
      <c r="F484" s="53"/>
    </row>
    <row r="485" spans="1:6" s="72" customFormat="1" ht="12.75" customHeight="1">
      <c r="A485" s="11"/>
      <c r="B485" s="31"/>
      <c r="C485" s="31"/>
      <c r="D485" s="22"/>
      <c r="E485" s="31"/>
      <c r="F485" s="53"/>
    </row>
    <row r="486" spans="1:6" s="42" customFormat="1" ht="12.75" customHeight="1">
      <c r="A486" s="12"/>
      <c r="B486" s="24"/>
      <c r="C486" s="24"/>
      <c r="D486" s="22"/>
      <c r="E486" s="31"/>
      <c r="F486" s="94"/>
    </row>
    <row r="487" spans="1:6" s="42" customFormat="1" ht="12.75" customHeight="1">
      <c r="A487" s="12"/>
      <c r="B487" s="24"/>
      <c r="C487" s="24"/>
      <c r="D487" s="22"/>
      <c r="E487" s="31"/>
      <c r="F487" s="94"/>
    </row>
    <row r="488" spans="1:6" s="72" customFormat="1" ht="12.75" customHeight="1">
      <c r="A488" s="12"/>
      <c r="B488" s="24"/>
      <c r="C488" s="24"/>
      <c r="D488" s="22"/>
      <c r="E488" s="31"/>
      <c r="F488" s="94"/>
    </row>
    <row r="489" spans="1:6" s="72" customFormat="1" ht="12.75" customHeight="1">
      <c r="A489" s="12"/>
      <c r="B489" s="24"/>
      <c r="C489" s="24"/>
      <c r="D489" s="22"/>
      <c r="E489" s="31"/>
      <c r="F489" s="94"/>
    </row>
    <row r="490" spans="1:6" s="72" customFormat="1" ht="12.75" customHeight="1">
      <c r="A490" s="12"/>
      <c r="B490" s="24"/>
      <c r="C490" s="24"/>
      <c r="D490" s="22"/>
      <c r="E490" s="31"/>
      <c r="F490" s="94"/>
    </row>
    <row r="491" spans="1:6" s="72" customFormat="1" ht="12.75" customHeight="1">
      <c r="A491" s="12"/>
      <c r="B491" s="24"/>
      <c r="C491" s="24"/>
      <c r="D491" s="22"/>
      <c r="E491" s="31"/>
      <c r="F491" s="94"/>
    </row>
    <row r="492" spans="1:6" s="72" customFormat="1" ht="12.75" customHeight="1">
      <c r="A492" s="12"/>
      <c r="B492" s="24"/>
      <c r="C492" s="24"/>
      <c r="D492" s="22"/>
      <c r="E492" s="31"/>
      <c r="F492" s="94"/>
    </row>
    <row r="493" spans="1:7" s="55" customFormat="1" ht="13.5">
      <c r="A493" s="1035"/>
      <c r="B493" s="1035"/>
      <c r="C493" s="63"/>
      <c r="D493" s="56"/>
      <c r="G493" s="201"/>
    </row>
    <row r="494" spans="1:7" s="55" customFormat="1" ht="13.5">
      <c r="A494" s="11"/>
      <c r="B494" s="199"/>
      <c r="C494" s="63"/>
      <c r="D494" s="56"/>
      <c r="G494" s="56"/>
    </row>
    <row r="495" spans="1:7" s="42" customFormat="1" ht="13.5" customHeight="1">
      <c r="A495" s="12"/>
      <c r="C495" s="24"/>
      <c r="G495" s="479"/>
    </row>
    <row r="496" spans="1:7" s="42" customFormat="1" ht="13.5" customHeight="1">
      <c r="A496" s="11"/>
      <c r="B496" s="505"/>
      <c r="C496" s="31"/>
      <c r="D496" s="22"/>
      <c r="E496" s="31"/>
      <c r="G496" s="54"/>
    </row>
    <row r="497" spans="1:7" s="42" customFormat="1" ht="13.5" customHeight="1">
      <c r="A497" s="12"/>
      <c r="C497" s="24"/>
      <c r="D497" s="22"/>
      <c r="E497" s="63"/>
      <c r="G497" s="54"/>
    </row>
    <row r="498" spans="1:7" s="42" customFormat="1" ht="13.5" customHeight="1">
      <c r="A498" s="12"/>
      <c r="C498" s="24"/>
      <c r="D498" s="22"/>
      <c r="E498" s="63"/>
      <c r="G498" s="54"/>
    </row>
    <row r="499" spans="1:7" s="42" customFormat="1" ht="13.5" customHeight="1">
      <c r="A499" s="11"/>
      <c r="B499" s="505"/>
      <c r="C499" s="31"/>
      <c r="D499" s="22"/>
      <c r="E499" s="63"/>
      <c r="G499" s="54"/>
    </row>
    <row r="500" spans="1:7" s="42" customFormat="1" ht="13.5" customHeight="1">
      <c r="A500" s="12"/>
      <c r="B500" s="24"/>
      <c r="C500" s="24"/>
      <c r="D500" s="22"/>
      <c r="E500" s="63"/>
      <c r="F500" s="98"/>
      <c r="G500" s="54"/>
    </row>
    <row r="501" spans="1:7" s="42" customFormat="1" ht="13.5" customHeight="1">
      <c r="A501" s="11"/>
      <c r="B501" s="505"/>
      <c r="C501" s="31"/>
      <c r="D501" s="22"/>
      <c r="E501" s="63"/>
      <c r="F501" s="98"/>
      <c r="G501" s="54"/>
    </row>
    <row r="502" spans="1:9" s="55" customFormat="1" ht="13.5">
      <c r="A502" s="12"/>
      <c r="B502" s="42"/>
      <c r="C502" s="59"/>
      <c r="G502" s="201"/>
      <c r="I502" s="63"/>
    </row>
    <row r="503" spans="1:5" s="55" customFormat="1" ht="13.5">
      <c r="A503" s="11"/>
      <c r="B503" s="31"/>
      <c r="C503" s="63"/>
      <c r="D503" s="56"/>
      <c r="E503" s="63"/>
    </row>
    <row r="504" spans="1:5" s="55" customFormat="1" ht="13.5">
      <c r="A504" s="12"/>
      <c r="B504" s="24"/>
      <c r="C504" s="59"/>
      <c r="D504" s="56"/>
      <c r="E504" s="56"/>
    </row>
    <row r="505" spans="1:5" s="55" customFormat="1" ht="13.5">
      <c r="A505" s="12"/>
      <c r="B505" s="24"/>
      <c r="C505" s="59"/>
      <c r="D505" s="56"/>
      <c r="E505" s="56"/>
    </row>
    <row r="506" spans="1:5" s="55" customFormat="1" ht="13.5">
      <c r="A506" s="12"/>
      <c r="B506" s="24"/>
      <c r="C506" s="59"/>
      <c r="D506" s="56"/>
      <c r="E506" s="63"/>
    </row>
    <row r="507" spans="1:5" s="55" customFormat="1" ht="13.5">
      <c r="A507" s="11"/>
      <c r="B507" s="31"/>
      <c r="C507" s="63"/>
      <c r="D507" s="56"/>
      <c r="E507" s="63"/>
    </row>
    <row r="508" spans="1:8" s="42" customFormat="1" ht="13.5" customHeight="1">
      <c r="A508" s="12"/>
      <c r="B508" s="24"/>
      <c r="C508" s="59"/>
      <c r="D508" s="56"/>
      <c r="E508" s="56"/>
      <c r="F508" s="55"/>
      <c r="G508" s="55"/>
      <c r="H508" s="55"/>
    </row>
    <row r="509" spans="1:8" s="42" customFormat="1" ht="13.5" customHeight="1">
      <c r="A509" s="11"/>
      <c r="B509" s="31"/>
      <c r="C509" s="63"/>
      <c r="D509" s="56"/>
      <c r="E509" s="56"/>
      <c r="F509" s="55"/>
      <c r="G509" s="55"/>
      <c r="H509" s="55"/>
    </row>
    <row r="510" spans="1:5" s="55" customFormat="1" ht="13.5">
      <c r="A510" s="12"/>
      <c r="B510" s="24"/>
      <c r="C510" s="59"/>
      <c r="D510" s="56"/>
      <c r="E510" s="56"/>
    </row>
    <row r="511" spans="1:8" s="55" customFormat="1" ht="13.5">
      <c r="A511" s="12"/>
      <c r="B511" s="24"/>
      <c r="C511" s="24"/>
      <c r="D511" s="22"/>
      <c r="E511" s="31"/>
      <c r="F511" s="199"/>
      <c r="G511" s="54"/>
      <c r="H511" s="73"/>
    </row>
    <row r="512" spans="1:5" s="55" customFormat="1" ht="13.5">
      <c r="A512" s="12"/>
      <c r="B512" s="24"/>
      <c r="C512" s="59"/>
      <c r="D512" s="56"/>
      <c r="E512" s="56"/>
    </row>
    <row r="513" spans="1:5" s="55" customFormat="1" ht="13.5">
      <c r="A513" s="12"/>
      <c r="B513" s="24"/>
      <c r="C513" s="59"/>
      <c r="D513" s="56"/>
      <c r="E513" s="56"/>
    </row>
    <row r="514" spans="1:7" s="55" customFormat="1" ht="13.5">
      <c r="A514" s="1035"/>
      <c r="B514" s="1035"/>
      <c r="C514" s="63"/>
      <c r="D514" s="56"/>
      <c r="F514" s="32"/>
      <c r="G514" s="201"/>
    </row>
    <row r="515" spans="1:6" s="55" customFormat="1" ht="13.5">
      <c r="A515" s="62"/>
      <c r="B515" s="199"/>
      <c r="C515" s="63"/>
      <c r="D515" s="56"/>
      <c r="F515" s="22"/>
    </row>
    <row r="516" spans="1:7" s="42" customFormat="1" ht="13.5" customHeight="1">
      <c r="A516" s="58"/>
      <c r="B516" s="58"/>
      <c r="C516" s="24"/>
      <c r="F516" s="98"/>
      <c r="G516" s="172"/>
    </row>
    <row r="517" spans="1:8" s="55" customFormat="1" ht="13.5">
      <c r="A517" s="62"/>
      <c r="B517" s="62"/>
      <c r="C517" s="63"/>
      <c r="F517" s="56"/>
      <c r="G517" s="59"/>
      <c r="H517" s="56"/>
    </row>
    <row r="518" spans="1:8" s="55" customFormat="1" ht="13.5">
      <c r="A518" s="58"/>
      <c r="B518" s="42"/>
      <c r="C518" s="59"/>
      <c r="F518" s="56"/>
      <c r="G518" s="59"/>
      <c r="H518" s="56"/>
    </row>
    <row r="519" spans="1:8" s="55" customFormat="1" ht="13.5">
      <c r="A519" s="58"/>
      <c r="B519" s="58"/>
      <c r="C519" s="59"/>
      <c r="F519" s="56"/>
      <c r="G519" s="59"/>
      <c r="H519" s="56"/>
    </row>
    <row r="520" spans="1:8" s="55" customFormat="1" ht="13.5">
      <c r="A520" s="58"/>
      <c r="B520" s="58"/>
      <c r="C520" s="59"/>
      <c r="G520" s="56"/>
      <c r="H520" s="56"/>
    </row>
    <row r="521" spans="1:7" s="42" customFormat="1" ht="13.5" customHeight="1">
      <c r="A521" s="11"/>
      <c r="B521" s="62"/>
      <c r="C521" s="31"/>
      <c r="F521" s="98"/>
      <c r="G521" s="172"/>
    </row>
    <row r="522" spans="1:8" s="55" customFormat="1" ht="13.5">
      <c r="A522" s="12"/>
      <c r="B522" s="58"/>
      <c r="C522" s="59"/>
      <c r="G522" s="63"/>
      <c r="H522" s="56"/>
    </row>
    <row r="523" spans="1:8" s="55" customFormat="1" ht="13.5">
      <c r="A523" s="12"/>
      <c r="B523" s="24"/>
      <c r="C523" s="59"/>
      <c r="F523" s="56"/>
      <c r="G523" s="59"/>
      <c r="H523" s="56"/>
    </row>
    <row r="524" spans="1:8" s="55" customFormat="1" ht="13.5">
      <c r="A524" s="11"/>
      <c r="B524" s="31"/>
      <c r="C524" s="63"/>
      <c r="F524" s="56"/>
      <c r="G524" s="59"/>
      <c r="H524" s="56"/>
    </row>
    <row r="525" spans="1:8" s="55" customFormat="1" ht="13.5">
      <c r="A525" s="12"/>
      <c r="B525" s="58"/>
      <c r="C525" s="59"/>
      <c r="F525" s="56"/>
      <c r="G525" s="59"/>
      <c r="H525" s="56"/>
    </row>
    <row r="526" spans="1:8" s="55" customFormat="1" ht="13.5">
      <c r="A526" s="12"/>
      <c r="B526" s="24"/>
      <c r="C526" s="59"/>
      <c r="F526" s="56"/>
      <c r="G526" s="59"/>
      <c r="H526" s="56"/>
    </row>
    <row r="527" spans="1:8" s="55" customFormat="1" ht="13.5">
      <c r="A527" s="11"/>
      <c r="B527" s="62"/>
      <c r="C527" s="63"/>
      <c r="F527" s="56"/>
      <c r="G527" s="59"/>
      <c r="H527" s="56"/>
    </row>
    <row r="528" spans="1:8" s="55" customFormat="1" ht="13.5">
      <c r="A528" s="12"/>
      <c r="B528" s="58"/>
      <c r="C528" s="59"/>
      <c r="F528" s="56"/>
      <c r="G528" s="59"/>
      <c r="H528" s="56"/>
    </row>
    <row r="529" spans="1:8" s="55" customFormat="1" ht="13.5">
      <c r="A529" s="11"/>
      <c r="B529" s="31"/>
      <c r="C529" s="63"/>
      <c r="F529" s="56"/>
      <c r="G529" s="59"/>
      <c r="H529" s="56"/>
    </row>
    <row r="530" spans="1:7" s="55" customFormat="1" ht="13.5">
      <c r="A530" s="12"/>
      <c r="B530" s="24"/>
      <c r="C530" s="59"/>
      <c r="F530" s="56"/>
      <c r="G530" s="56"/>
    </row>
    <row r="531" spans="1:8" s="55" customFormat="1" ht="13.5">
      <c r="A531" s="12"/>
      <c r="B531" s="24"/>
      <c r="C531" s="59"/>
      <c r="F531" s="56"/>
      <c r="G531" s="63"/>
      <c r="H531" s="56"/>
    </row>
    <row r="532" spans="1:8" s="55" customFormat="1" ht="13.5">
      <c r="A532" s="12"/>
      <c r="B532" s="24"/>
      <c r="C532" s="59"/>
      <c r="F532" s="56"/>
      <c r="G532" s="24"/>
      <c r="H532" s="201"/>
    </row>
    <row r="533" spans="1:6" s="55" customFormat="1" ht="13.5">
      <c r="A533" s="12"/>
      <c r="B533" s="24"/>
      <c r="C533" s="59"/>
      <c r="D533" s="24"/>
      <c r="E533" s="201"/>
      <c r="F533" s="56"/>
    </row>
    <row r="534" spans="1:5" s="55" customFormat="1" ht="13.5">
      <c r="A534" s="1035"/>
      <c r="B534" s="1035"/>
      <c r="C534" s="63"/>
      <c r="D534" s="56"/>
      <c r="E534" s="56"/>
    </row>
    <row r="535" spans="1:5" s="55" customFormat="1" ht="13.5">
      <c r="A535" s="11"/>
      <c r="B535" s="199"/>
      <c r="C535" s="63"/>
      <c r="D535" s="56"/>
      <c r="E535" s="56"/>
    </row>
    <row r="536" spans="1:5" s="55" customFormat="1" ht="13.5">
      <c r="A536" s="12"/>
      <c r="B536" s="98"/>
      <c r="C536" s="59"/>
      <c r="D536" s="56"/>
      <c r="E536" s="56"/>
    </row>
    <row r="537" spans="1:5" s="55" customFormat="1" ht="13.5">
      <c r="A537" s="12"/>
      <c r="B537" s="98"/>
      <c r="C537" s="59"/>
      <c r="D537" s="56"/>
      <c r="E537" s="56"/>
    </row>
    <row r="538" spans="1:7" s="55" customFormat="1" ht="13.5">
      <c r="A538" s="12"/>
      <c r="B538" s="24"/>
      <c r="C538" s="24"/>
      <c r="E538" s="56"/>
      <c r="G538" s="56"/>
    </row>
    <row r="539" spans="1:7" s="55" customFormat="1" ht="13.5">
      <c r="A539" s="12"/>
      <c r="B539" s="24"/>
      <c r="C539" s="24"/>
      <c r="E539" s="56"/>
      <c r="G539" s="56"/>
    </row>
    <row r="540" spans="1:5" s="55" customFormat="1" ht="13.5">
      <c r="A540" s="1035"/>
      <c r="B540" s="1035"/>
      <c r="C540" s="63"/>
      <c r="D540" s="56"/>
      <c r="E540" s="56"/>
    </row>
    <row r="541" spans="1:5" s="55" customFormat="1" ht="13.5">
      <c r="A541" s="11"/>
      <c r="B541" s="199"/>
      <c r="C541" s="63"/>
      <c r="D541" s="56"/>
      <c r="E541" s="56"/>
    </row>
    <row r="542" spans="1:7" s="42" customFormat="1" ht="13.5" customHeight="1">
      <c r="A542" s="12"/>
      <c r="B542" s="24"/>
      <c r="C542" s="24"/>
      <c r="D542" s="22"/>
      <c r="E542" s="31"/>
      <c r="G542" s="72"/>
    </row>
    <row r="543" spans="1:7" s="42" customFormat="1" ht="13.5" customHeight="1">
      <c r="A543" s="11"/>
      <c r="B543" s="31"/>
      <c r="C543" s="31"/>
      <c r="D543" s="22"/>
      <c r="E543" s="31"/>
      <c r="G543" s="72"/>
    </row>
    <row r="544" spans="1:7" s="42" customFormat="1" ht="13.5" customHeight="1">
      <c r="A544" s="12"/>
      <c r="B544" s="24"/>
      <c r="C544" s="24"/>
      <c r="D544" s="22"/>
      <c r="E544" s="31"/>
      <c r="F544" s="98"/>
      <c r="G544" s="54"/>
    </row>
    <row r="545" spans="1:7" s="42" customFormat="1" ht="13.5" customHeight="1">
      <c r="A545" s="11"/>
      <c r="B545" s="31"/>
      <c r="C545" s="31"/>
      <c r="D545" s="22"/>
      <c r="E545" s="31"/>
      <c r="F545" s="98"/>
      <c r="G545" s="54"/>
    </row>
    <row r="546" spans="1:7" s="42" customFormat="1" ht="13.5" customHeight="1">
      <c r="A546" s="12"/>
      <c r="B546" s="24"/>
      <c r="C546" s="24"/>
      <c r="D546" s="22"/>
      <c r="E546" s="31"/>
      <c r="G546" s="72"/>
    </row>
    <row r="547" spans="1:7" s="42" customFormat="1" ht="13.5" customHeight="1">
      <c r="A547" s="11"/>
      <c r="B547" s="31"/>
      <c r="C547" s="31"/>
      <c r="D547" s="22"/>
      <c r="E547" s="31"/>
      <c r="G547" s="72"/>
    </row>
    <row r="548" spans="1:7" s="42" customFormat="1" ht="13.5" customHeight="1">
      <c r="A548" s="12"/>
      <c r="B548" s="24"/>
      <c r="C548" s="24"/>
      <c r="D548" s="22"/>
      <c r="E548" s="31"/>
      <c r="F548" s="98"/>
      <c r="G548" s="54"/>
    </row>
    <row r="549" spans="1:5" s="55" customFormat="1" ht="13.5">
      <c r="A549" s="58"/>
      <c r="B549" s="58"/>
      <c r="C549" s="59"/>
      <c r="D549" s="56"/>
      <c r="E549" s="56"/>
    </row>
    <row r="550" spans="1:5" s="55" customFormat="1" ht="13.5">
      <c r="A550" s="58"/>
      <c r="B550" s="58"/>
      <c r="C550" s="59"/>
      <c r="D550" s="56"/>
      <c r="E550" s="56"/>
    </row>
    <row r="551" spans="1:5" s="55" customFormat="1" ht="12.75">
      <c r="A551" s="516"/>
      <c r="B551" s="516"/>
      <c r="C551" s="201"/>
      <c r="D551" s="693"/>
      <c r="E551" s="692"/>
    </row>
    <row r="552" spans="1:5" s="55" customFormat="1" ht="12.75">
      <c r="A552" s="516"/>
      <c r="B552" s="516"/>
      <c r="C552" s="201"/>
      <c r="D552" s="693"/>
      <c r="E552" s="692"/>
    </row>
    <row r="553" spans="3:5" s="55" customFormat="1" ht="12.75">
      <c r="C553" s="56"/>
      <c r="D553" s="56"/>
      <c r="E553" s="56"/>
    </row>
    <row r="554" spans="3:5" s="55" customFormat="1" ht="12.75">
      <c r="C554" s="56"/>
      <c r="D554" s="439"/>
      <c r="E554" s="440"/>
    </row>
    <row r="555" spans="3:5" s="58" customFormat="1" ht="13.5">
      <c r="C555" s="59"/>
      <c r="D555" s="59"/>
      <c r="E555" s="59"/>
    </row>
    <row r="556" spans="1:5" s="55" customFormat="1" ht="13.5">
      <c r="A556" s="58"/>
      <c r="B556" s="58"/>
      <c r="C556" s="59"/>
      <c r="D556" s="59"/>
      <c r="E556" s="59"/>
    </row>
    <row r="557" spans="1:5" s="55" customFormat="1" ht="13.5">
      <c r="A557" s="58"/>
      <c r="B557" s="58"/>
      <c r="C557" s="59"/>
      <c r="D557" s="59"/>
      <c r="E557" s="59"/>
    </row>
    <row r="558" spans="1:5" s="55" customFormat="1" ht="13.5">
      <c r="A558" s="58"/>
      <c r="B558" s="58"/>
      <c r="C558" s="59"/>
      <c r="D558" s="59"/>
      <c r="E558" s="59"/>
    </row>
    <row r="559" spans="1:7" s="55" customFormat="1" ht="13.5">
      <c r="A559" s="62"/>
      <c r="B559" s="687"/>
      <c r="C559" s="63"/>
      <c r="D559" s="63"/>
      <c r="E559" s="63"/>
      <c r="F559" s="56"/>
      <c r="G559" s="56"/>
    </row>
    <row r="560" spans="1:5" s="55" customFormat="1" ht="13.5">
      <c r="A560" s="62"/>
      <c r="B560" s="62"/>
      <c r="C560" s="63"/>
      <c r="D560" s="63"/>
      <c r="E560" s="435"/>
    </row>
    <row r="561" spans="1:6" s="55" customFormat="1" ht="13.5">
      <c r="A561" s="1035"/>
      <c r="B561" s="1035"/>
      <c r="C561" s="63"/>
      <c r="D561" s="56"/>
      <c r="E561" s="695"/>
      <c r="F561" s="695"/>
    </row>
    <row r="562" spans="1:7" s="225" customFormat="1" ht="13.5">
      <c r="A562" s="11"/>
      <c r="B562" s="199"/>
      <c r="C562" s="509"/>
      <c r="E562" s="94"/>
      <c r="F562" s="224"/>
      <c r="G562" s="94"/>
    </row>
    <row r="563" spans="1:7" s="42" customFormat="1" ht="13.5" customHeight="1">
      <c r="A563" s="12"/>
      <c r="C563" s="24"/>
      <c r="G563" s="24"/>
    </row>
    <row r="564" spans="1:7" s="42" customFormat="1" ht="13.5" customHeight="1">
      <c r="A564" s="11"/>
      <c r="B564" s="505"/>
      <c r="C564" s="31"/>
      <c r="E564" s="31"/>
      <c r="G564" s="22"/>
    </row>
    <row r="565" spans="1:7" s="55" customFormat="1" ht="13.5">
      <c r="A565" s="12"/>
      <c r="B565" s="58"/>
      <c r="C565" s="59"/>
      <c r="E565" s="56"/>
      <c r="F565" s="32"/>
      <c r="G565" s="56"/>
    </row>
    <row r="566" spans="1:7" s="55" customFormat="1" ht="13.5">
      <c r="A566" s="12"/>
      <c r="B566" s="58"/>
      <c r="C566" s="59"/>
      <c r="E566" s="56"/>
      <c r="F566" s="32"/>
      <c r="G566" s="56"/>
    </row>
    <row r="567" spans="1:7" s="55" customFormat="1" ht="13.5">
      <c r="A567" s="11"/>
      <c r="B567" s="62"/>
      <c r="C567" s="63"/>
      <c r="E567" s="56"/>
      <c r="G567" s="56"/>
    </row>
    <row r="568" spans="1:7" s="55" customFormat="1" ht="13.5">
      <c r="A568" s="12"/>
      <c r="B568" s="58"/>
      <c r="C568" s="59"/>
      <c r="E568" s="56"/>
      <c r="G568" s="56"/>
    </row>
    <row r="569" spans="1:7" s="55" customFormat="1" ht="13.5">
      <c r="A569" s="12"/>
      <c r="B569" s="42"/>
      <c r="C569" s="59"/>
      <c r="E569" s="56"/>
      <c r="G569" s="56"/>
    </row>
    <row r="570" spans="1:7" s="55" customFormat="1" ht="13.5">
      <c r="A570" s="12"/>
      <c r="B570" s="58"/>
      <c r="C570" s="59"/>
      <c r="E570" s="56"/>
      <c r="G570" s="56"/>
    </row>
    <row r="571" spans="1:7" s="55" customFormat="1" ht="13.5">
      <c r="A571" s="11"/>
      <c r="B571" s="31"/>
      <c r="C571" s="63"/>
      <c r="E571" s="56"/>
      <c r="G571" s="56"/>
    </row>
    <row r="572" spans="1:7" s="55" customFormat="1" ht="13.5">
      <c r="A572" s="12"/>
      <c r="B572" s="58"/>
      <c r="C572" s="59"/>
      <c r="E572" s="56"/>
      <c r="G572" s="56"/>
    </row>
    <row r="573" spans="1:5" s="55" customFormat="1" ht="13.5">
      <c r="A573" s="11"/>
      <c r="B573" s="62"/>
      <c r="C573" s="63"/>
      <c r="D573" s="56"/>
      <c r="E573" s="56"/>
    </row>
    <row r="574" spans="1:5" s="55" customFormat="1" ht="13.5">
      <c r="A574" s="12"/>
      <c r="B574" s="58"/>
      <c r="C574" s="59"/>
      <c r="D574" s="56"/>
      <c r="E574" s="56"/>
    </row>
    <row r="575" spans="1:5" s="55" customFormat="1" ht="13.5">
      <c r="A575" s="12"/>
      <c r="B575" s="24"/>
      <c r="C575" s="59"/>
      <c r="D575" s="56"/>
      <c r="E575" s="56"/>
    </row>
    <row r="576" spans="1:5" s="55" customFormat="1" ht="13.5">
      <c r="A576" s="12"/>
      <c r="B576" s="24"/>
      <c r="C576" s="24"/>
      <c r="D576" s="56"/>
      <c r="E576" s="56"/>
    </row>
    <row r="577" spans="1:5" s="55" customFormat="1" ht="13.5">
      <c r="A577" s="1035"/>
      <c r="B577" s="1035"/>
      <c r="C577" s="63"/>
      <c r="D577" s="56"/>
      <c r="E577" s="437"/>
    </row>
    <row r="578" spans="1:7" s="225" customFormat="1" ht="13.5">
      <c r="A578" s="62"/>
      <c r="B578" s="62"/>
      <c r="C578" s="509"/>
      <c r="E578" s="438"/>
      <c r="G578" s="94"/>
    </row>
    <row r="579" spans="1:7" s="55" customFormat="1" ht="13.5">
      <c r="A579" s="58"/>
      <c r="B579" s="42"/>
      <c r="C579" s="59"/>
      <c r="E579" s="56"/>
      <c r="F579" s="56"/>
      <c r="G579" s="59"/>
    </row>
    <row r="580" spans="1:7" s="55" customFormat="1" ht="13.5">
      <c r="A580" s="58"/>
      <c r="B580" s="58"/>
      <c r="C580" s="59"/>
      <c r="E580" s="56"/>
      <c r="F580" s="56"/>
      <c r="G580" s="63"/>
    </row>
    <row r="581" spans="1:7" s="55" customFormat="1" ht="13.5">
      <c r="A581" s="58"/>
      <c r="B581" s="58"/>
      <c r="C581" s="59"/>
      <c r="E581" s="56"/>
      <c r="F581" s="56"/>
      <c r="G581" s="59"/>
    </row>
    <row r="582" spans="1:7" s="55" customFormat="1" ht="13.5">
      <c r="A582" s="11"/>
      <c r="B582" s="62"/>
      <c r="C582" s="63"/>
      <c r="E582" s="56"/>
      <c r="F582" s="56"/>
      <c r="G582" s="59"/>
    </row>
    <row r="583" spans="1:7" s="55" customFormat="1" ht="13.5">
      <c r="A583" s="12"/>
      <c r="B583" s="58"/>
      <c r="C583" s="59"/>
      <c r="E583" s="56"/>
      <c r="F583" s="56"/>
      <c r="G583" s="59"/>
    </row>
    <row r="584" spans="1:7" s="55" customFormat="1" ht="13.5">
      <c r="A584" s="11"/>
      <c r="B584" s="62"/>
      <c r="C584" s="63"/>
      <c r="F584" s="56"/>
      <c r="G584" s="56"/>
    </row>
    <row r="585" spans="1:7" s="55" customFormat="1" ht="13.5">
      <c r="A585" s="12"/>
      <c r="B585" s="58"/>
      <c r="C585" s="59"/>
      <c r="E585" s="56"/>
      <c r="F585" s="56"/>
      <c r="G585" s="63"/>
    </row>
    <row r="586" spans="1:9" s="55" customFormat="1" ht="13.5">
      <c r="A586" s="12"/>
      <c r="B586" s="24"/>
      <c r="C586" s="59"/>
      <c r="G586" s="59"/>
      <c r="H586" s="56"/>
      <c r="I586" s="56"/>
    </row>
    <row r="587" spans="1:9" s="55" customFormat="1" ht="13.5">
      <c r="A587" s="11"/>
      <c r="B587" s="31"/>
      <c r="C587" s="63"/>
      <c r="G587" s="59"/>
      <c r="H587" s="56"/>
      <c r="I587" s="56"/>
    </row>
    <row r="588" spans="1:7" s="55" customFormat="1" ht="13.5">
      <c r="A588" s="12"/>
      <c r="B588" s="58"/>
      <c r="C588" s="59"/>
      <c r="E588" s="56"/>
      <c r="F588" s="56"/>
      <c r="G588" s="59"/>
    </row>
    <row r="589" spans="1:7" s="55" customFormat="1" ht="13.5">
      <c r="A589" s="11"/>
      <c r="B589" s="31"/>
      <c r="C589" s="63"/>
      <c r="E589" s="56"/>
      <c r="F589" s="56"/>
      <c r="G589" s="59"/>
    </row>
    <row r="590" spans="1:5" s="55" customFormat="1" ht="13.5">
      <c r="A590" s="12"/>
      <c r="B590" s="24"/>
      <c r="C590" s="59"/>
      <c r="E590" s="56"/>
    </row>
    <row r="591" spans="1:7" s="55" customFormat="1" ht="13.5">
      <c r="A591" s="12"/>
      <c r="B591" s="24"/>
      <c r="C591" s="59"/>
      <c r="E591" s="56"/>
      <c r="G591" s="56"/>
    </row>
    <row r="592" spans="1:5" s="55" customFormat="1" ht="13.5">
      <c r="A592" s="12"/>
      <c r="B592" s="24"/>
      <c r="C592" s="59"/>
      <c r="D592" s="56"/>
      <c r="E592" s="56"/>
    </row>
    <row r="593" spans="1:5" s="55" customFormat="1" ht="13.5">
      <c r="A593" s="1035"/>
      <c r="B593" s="1035"/>
      <c r="C593" s="63"/>
      <c r="D593" s="56"/>
      <c r="E593" s="56"/>
    </row>
    <row r="594" spans="1:5" s="225" customFormat="1" ht="13.5">
      <c r="A594" s="11"/>
      <c r="B594" s="199"/>
      <c r="C594" s="509"/>
      <c r="D594" s="94"/>
      <c r="E594" s="94"/>
    </row>
    <row r="595" spans="1:7" s="42" customFormat="1" ht="13.5" customHeight="1">
      <c r="A595" s="12"/>
      <c r="B595" s="24"/>
      <c r="C595" s="24"/>
      <c r="D595" s="22"/>
      <c r="E595" s="31"/>
      <c r="G595" s="72"/>
    </row>
    <row r="596" spans="1:7" s="42" customFormat="1" ht="13.5" customHeight="1">
      <c r="A596" s="11"/>
      <c r="B596" s="31"/>
      <c r="C596" s="31"/>
      <c r="D596" s="22"/>
      <c r="E596" s="31"/>
      <c r="G596" s="72"/>
    </row>
    <row r="597" spans="1:7" s="42" customFormat="1" ht="13.5" customHeight="1">
      <c r="A597" s="12"/>
      <c r="B597" s="24"/>
      <c r="C597" s="24"/>
      <c r="D597" s="22"/>
      <c r="E597" s="31"/>
      <c r="G597" s="72"/>
    </row>
    <row r="598" spans="1:7" s="42" customFormat="1" ht="13.5" customHeight="1">
      <c r="A598" s="11"/>
      <c r="B598" s="31"/>
      <c r="C598" s="31"/>
      <c r="D598" s="22"/>
      <c r="E598" s="31"/>
      <c r="G598" s="72"/>
    </row>
    <row r="599" spans="1:7" s="42" customFormat="1" ht="13.5" customHeight="1">
      <c r="A599" s="12"/>
      <c r="B599" s="24"/>
      <c r="C599" s="24"/>
      <c r="D599" s="22"/>
      <c r="E599" s="31"/>
      <c r="F599" s="98"/>
      <c r="G599" s="54"/>
    </row>
    <row r="600" spans="3:5" s="55" customFormat="1" ht="12.75">
      <c r="C600" s="56"/>
      <c r="D600" s="56"/>
      <c r="E600" s="56"/>
    </row>
    <row r="601" spans="3:5" s="55" customFormat="1" ht="12.75">
      <c r="C601" s="56"/>
      <c r="D601" s="56"/>
      <c r="E601" s="56"/>
    </row>
    <row r="602" spans="1:5" s="55" customFormat="1" ht="12.75">
      <c r="A602" s="516"/>
      <c r="B602" s="516"/>
      <c r="C602" s="201"/>
      <c r="D602" s="693"/>
      <c r="E602" s="692"/>
    </row>
    <row r="603" spans="1:5" s="55" customFormat="1" ht="12.75">
      <c r="A603" s="516"/>
      <c r="B603" s="516"/>
      <c r="C603" s="201"/>
      <c r="D603" s="693"/>
      <c r="E603" s="692"/>
    </row>
    <row r="604" spans="3:5" s="55" customFormat="1" ht="12.75">
      <c r="C604" s="56"/>
      <c r="D604" s="56"/>
      <c r="E604" s="56"/>
    </row>
    <row r="605" spans="3:5" s="55" customFormat="1" ht="12.75">
      <c r="C605" s="56"/>
      <c r="D605" s="56"/>
      <c r="E605" s="56"/>
    </row>
    <row r="606" spans="3:5" s="55" customFormat="1" ht="12.75">
      <c r="C606" s="56"/>
      <c r="D606" s="56"/>
      <c r="E606" s="56"/>
    </row>
    <row r="607" spans="3:4" s="55" customFormat="1" ht="12.75">
      <c r="C607" s="56"/>
      <c r="D607" s="56"/>
    </row>
    <row r="608" spans="3:4" s="55" customFormat="1" ht="12.75">
      <c r="C608" s="56"/>
      <c r="D608" s="56"/>
    </row>
    <row r="609" spans="3:4" s="55" customFormat="1" ht="12.75">
      <c r="C609" s="56"/>
      <c r="D609" s="56"/>
    </row>
    <row r="610" spans="3:4" s="55" customFormat="1" ht="12.75">
      <c r="C610" s="56"/>
      <c r="D610" s="56"/>
    </row>
    <row r="611" spans="3:4" s="55" customFormat="1" ht="12.75">
      <c r="C611" s="56"/>
      <c r="D611" s="56"/>
    </row>
    <row r="612" spans="3:4" s="55" customFormat="1" ht="12.75">
      <c r="C612" s="56"/>
      <c r="D612" s="56"/>
    </row>
    <row r="613" spans="3:4" s="55" customFormat="1" ht="12.75">
      <c r="C613" s="56"/>
      <c r="D613" s="56"/>
    </row>
    <row r="614" spans="3:4" s="55" customFormat="1" ht="12.75">
      <c r="C614" s="56"/>
      <c r="D614" s="56"/>
    </row>
    <row r="615" spans="3:4" s="55" customFormat="1" ht="12.75">
      <c r="C615" s="56"/>
      <c r="D615" s="56"/>
    </row>
    <row r="616" spans="3:4" s="55" customFormat="1" ht="12.75">
      <c r="C616" s="56"/>
      <c r="D616" s="56"/>
    </row>
    <row r="617" spans="3:4" s="55" customFormat="1" ht="12.75">
      <c r="C617" s="56"/>
      <c r="D617" s="56"/>
    </row>
    <row r="618" spans="3:5" s="55" customFormat="1" ht="12.75">
      <c r="C618" s="56"/>
      <c r="D618" s="439"/>
      <c r="E618" s="440"/>
    </row>
    <row r="619" spans="3:5" s="55" customFormat="1" ht="12.75">
      <c r="C619" s="56"/>
      <c r="D619" s="56"/>
      <c r="E619" s="56"/>
    </row>
    <row r="620" spans="3:5" s="55" customFormat="1" ht="12.75">
      <c r="C620" s="56"/>
      <c r="D620" s="56"/>
      <c r="E620" s="56"/>
    </row>
    <row r="621" spans="3:5" s="55" customFormat="1" ht="12.75">
      <c r="C621" s="56"/>
      <c r="D621" s="56"/>
      <c r="E621" s="56"/>
    </row>
    <row r="622" spans="3:5" s="55" customFormat="1" ht="12.75">
      <c r="C622" s="56"/>
      <c r="D622" s="56"/>
      <c r="E622" s="56"/>
    </row>
    <row r="623" spans="3:5" s="55" customFormat="1" ht="12.75">
      <c r="C623" s="56"/>
      <c r="D623" s="56"/>
      <c r="E623" s="56"/>
    </row>
    <row r="624" spans="3:5" s="55" customFormat="1" ht="12.75">
      <c r="C624" s="56"/>
      <c r="D624" s="56"/>
      <c r="E624" s="56"/>
    </row>
    <row r="625" spans="3:5" s="55" customFormat="1" ht="12.75">
      <c r="C625" s="56"/>
      <c r="D625" s="56"/>
      <c r="E625" s="56"/>
    </row>
    <row r="626" spans="3:5" s="55" customFormat="1" ht="12.75">
      <c r="C626" s="56"/>
      <c r="D626" s="56"/>
      <c r="E626" s="56"/>
    </row>
    <row r="627" spans="3:5" s="55" customFormat="1" ht="12.75">
      <c r="C627" s="56"/>
      <c r="D627" s="56"/>
      <c r="E627" s="56"/>
    </row>
    <row r="628" spans="3:5" s="55" customFormat="1" ht="12.75">
      <c r="C628" s="56"/>
      <c r="D628" s="56"/>
      <c r="E628" s="56"/>
    </row>
    <row r="629" spans="3:5" s="55" customFormat="1" ht="12.75">
      <c r="C629" s="56"/>
      <c r="D629" s="56"/>
      <c r="E629" s="56"/>
    </row>
    <row r="630" spans="3:5" s="55" customFormat="1" ht="12.75">
      <c r="C630" s="56"/>
      <c r="D630" s="56"/>
      <c r="E630" s="56"/>
    </row>
    <row r="631" spans="3:5" s="55" customFormat="1" ht="12.75">
      <c r="C631" s="56"/>
      <c r="D631" s="56"/>
      <c r="E631" s="56"/>
    </row>
    <row r="632" spans="3:5" s="55" customFormat="1" ht="12.75">
      <c r="C632" s="439"/>
      <c r="D632" s="440"/>
      <c r="E632" s="56"/>
    </row>
    <row r="633" spans="3:5" s="55" customFormat="1" ht="12.75">
      <c r="C633" s="439"/>
      <c r="D633" s="440"/>
      <c r="E633" s="56"/>
    </row>
    <row r="634" spans="3:5" s="55" customFormat="1" ht="12.75">
      <c r="C634" s="439"/>
      <c r="D634" s="440"/>
      <c r="E634" s="56"/>
    </row>
    <row r="635" spans="3:5" s="55" customFormat="1" ht="12.75">
      <c r="C635" s="439"/>
      <c r="D635" s="440"/>
      <c r="E635" s="56"/>
    </row>
    <row r="636" spans="3:5" s="55" customFormat="1" ht="12.75">
      <c r="C636" s="56"/>
      <c r="D636" s="56"/>
      <c r="E636" s="56"/>
    </row>
    <row r="637" spans="3:5" s="55" customFormat="1" ht="12.75">
      <c r="C637" s="56"/>
      <c r="D637" s="56"/>
      <c r="E637" s="56"/>
    </row>
    <row r="638" spans="3:5" s="55" customFormat="1" ht="12.75">
      <c r="C638" s="56"/>
      <c r="D638" s="56"/>
      <c r="E638" s="56"/>
    </row>
    <row r="639" spans="3:5" s="55" customFormat="1" ht="12.75">
      <c r="C639" s="56"/>
      <c r="D639" s="56"/>
      <c r="E639" s="56"/>
    </row>
    <row r="640" spans="1:5" s="55" customFormat="1" ht="12.75">
      <c r="A640" s="694"/>
      <c r="C640" s="56"/>
      <c r="D640" s="56"/>
      <c r="E640" s="56"/>
    </row>
    <row r="641" spans="1:5" s="55" customFormat="1" ht="12.75">
      <c r="A641" s="694"/>
      <c r="C641" s="56"/>
      <c r="D641" s="56"/>
      <c r="E641" s="56"/>
    </row>
    <row r="642" spans="1:5" s="55" customFormat="1" ht="13.5">
      <c r="A642" s="58"/>
      <c r="B642" s="58"/>
      <c r="C642" s="59"/>
      <c r="D642" s="59"/>
      <c r="E642" s="59"/>
    </row>
    <row r="643" spans="1:5" s="55" customFormat="1" ht="13.5">
      <c r="A643" s="58"/>
      <c r="B643" s="58"/>
      <c r="C643" s="59"/>
      <c r="D643" s="59"/>
      <c r="E643" s="59"/>
    </row>
    <row r="644" spans="1:5" s="55" customFormat="1" ht="13.5">
      <c r="A644" s="58"/>
      <c r="B644" s="58"/>
      <c r="C644" s="59"/>
      <c r="D644" s="59"/>
      <c r="E644" s="59"/>
    </row>
    <row r="645" spans="1:5" s="55" customFormat="1" ht="13.5">
      <c r="A645" s="58"/>
      <c r="B645" s="687"/>
      <c r="C645" s="59"/>
      <c r="D645" s="59"/>
      <c r="E645" s="59"/>
    </row>
    <row r="646" spans="1:7" s="55" customFormat="1" ht="13.5">
      <c r="A646" s="62"/>
      <c r="B646" s="62"/>
      <c r="C646" s="63"/>
      <c r="D646" s="63"/>
      <c r="E646" s="63"/>
      <c r="F646" s="56"/>
      <c r="G646" s="56"/>
    </row>
    <row r="647" spans="1:5" s="55" customFormat="1" ht="13.5">
      <c r="A647" s="62"/>
      <c r="B647" s="62"/>
      <c r="C647" s="63"/>
      <c r="D647" s="63"/>
      <c r="E647" s="435"/>
    </row>
    <row r="648" spans="1:6" s="55" customFormat="1" ht="13.5">
      <c r="A648" s="1035"/>
      <c r="B648" s="1035"/>
      <c r="C648" s="63"/>
      <c r="D648" s="56"/>
      <c r="F648" s="201"/>
    </row>
    <row r="649" spans="1:5" s="225" customFormat="1" ht="13.5">
      <c r="A649" s="11"/>
      <c r="B649" s="199"/>
      <c r="C649" s="509"/>
      <c r="D649" s="94"/>
      <c r="E649" s="94"/>
    </row>
    <row r="650" spans="1:7" s="42" customFormat="1" ht="13.5" customHeight="1">
      <c r="A650" s="12"/>
      <c r="C650" s="24"/>
      <c r="D650" s="24"/>
      <c r="E650" s="31"/>
      <c r="G650" s="54"/>
    </row>
    <row r="651" spans="1:7" s="42" customFormat="1" ht="13.5" customHeight="1">
      <c r="A651" s="11"/>
      <c r="B651" s="505"/>
      <c r="C651" s="31"/>
      <c r="D651" s="24"/>
      <c r="E651" s="31"/>
      <c r="G651" s="54"/>
    </row>
    <row r="652" spans="1:7" s="42" customFormat="1" ht="13.5" customHeight="1">
      <c r="A652" s="12"/>
      <c r="B652" s="58"/>
      <c r="C652" s="24"/>
      <c r="D652" s="24"/>
      <c r="E652" s="31"/>
      <c r="G652" s="54"/>
    </row>
    <row r="653" spans="1:7" s="42" customFormat="1" ht="13.5" customHeight="1">
      <c r="A653" s="12"/>
      <c r="B653" s="58"/>
      <c r="C653" s="59"/>
      <c r="D653" s="24"/>
      <c r="E653" s="31"/>
      <c r="G653" s="54"/>
    </row>
    <row r="654" spans="1:7" s="42" customFormat="1" ht="13.5" customHeight="1">
      <c r="A654" s="12"/>
      <c r="C654" s="59"/>
      <c r="D654" s="24"/>
      <c r="E654" s="31"/>
      <c r="G654" s="54"/>
    </row>
    <row r="655" spans="1:7" s="42" customFormat="1" ht="13.5" customHeight="1">
      <c r="A655" s="11"/>
      <c r="B655" s="505"/>
      <c r="C655" s="31"/>
      <c r="D655" s="24"/>
      <c r="E655" s="31"/>
      <c r="G655" s="54"/>
    </row>
    <row r="656" spans="1:5" s="55" customFormat="1" ht="13.5">
      <c r="A656" s="12"/>
      <c r="B656" s="42"/>
      <c r="C656" s="24"/>
      <c r="D656" s="56"/>
      <c r="E656" s="56"/>
    </row>
    <row r="657" spans="1:5" s="55" customFormat="1" ht="13.5">
      <c r="A657" s="11"/>
      <c r="B657" s="505"/>
      <c r="C657" s="31"/>
      <c r="D657" s="56"/>
      <c r="E657" s="56"/>
    </row>
    <row r="658" spans="1:5" s="55" customFormat="1" ht="13.5">
      <c r="A658" s="12"/>
      <c r="B658" s="24"/>
      <c r="C658" s="24"/>
      <c r="D658" s="56"/>
      <c r="E658" s="56"/>
    </row>
    <row r="659" spans="1:5" s="55" customFormat="1" ht="13.5">
      <c r="A659" s="12"/>
      <c r="B659" s="24"/>
      <c r="C659" s="24"/>
      <c r="D659" s="56"/>
      <c r="E659" s="56"/>
    </row>
    <row r="660" spans="1:5" s="55" customFormat="1" ht="13.5">
      <c r="A660" s="11"/>
      <c r="B660" s="31"/>
      <c r="C660" s="31"/>
      <c r="D660" s="56"/>
      <c r="E660" s="56"/>
    </row>
    <row r="661" spans="1:5" s="55" customFormat="1" ht="13.5">
      <c r="A661" s="12"/>
      <c r="B661" s="42"/>
      <c r="C661" s="59"/>
      <c r="D661" s="56"/>
      <c r="E661" s="56"/>
    </row>
    <row r="662" spans="1:5" s="55" customFormat="1" ht="13.5">
      <c r="A662" s="11"/>
      <c r="B662" s="62"/>
      <c r="C662" s="63"/>
      <c r="D662" s="56"/>
      <c r="E662" s="56"/>
    </row>
    <row r="663" spans="1:5" s="55" customFormat="1" ht="13.5">
      <c r="A663" s="12"/>
      <c r="B663" s="58"/>
      <c r="C663" s="59"/>
      <c r="D663" s="56"/>
      <c r="E663" s="56"/>
    </row>
    <row r="664" spans="1:5" s="55" customFormat="1" ht="13.5">
      <c r="A664" s="12"/>
      <c r="B664" s="58"/>
      <c r="C664" s="59"/>
      <c r="D664" s="56"/>
      <c r="E664" s="56"/>
    </row>
    <row r="665" spans="1:5" s="55" customFormat="1" ht="13.5">
      <c r="A665" s="12"/>
      <c r="B665" s="58"/>
      <c r="C665" s="59"/>
      <c r="D665" s="56"/>
      <c r="E665" s="56"/>
    </row>
    <row r="666" spans="1:5" s="55" customFormat="1" ht="13.5">
      <c r="A666" s="12"/>
      <c r="B666" s="58"/>
      <c r="C666" s="59"/>
      <c r="D666" s="56"/>
      <c r="E666" s="56"/>
    </row>
    <row r="667" spans="1:5" s="55" customFormat="1" ht="13.5">
      <c r="A667" s="11"/>
      <c r="B667" s="31"/>
      <c r="C667" s="63"/>
      <c r="D667" s="56"/>
      <c r="E667" s="56"/>
    </row>
    <row r="668" spans="1:5" s="55" customFormat="1" ht="13.5">
      <c r="A668" s="58"/>
      <c r="B668" s="24"/>
      <c r="C668" s="59"/>
      <c r="D668" s="56"/>
      <c r="E668" s="56"/>
    </row>
    <row r="669" spans="1:5" s="55" customFormat="1" ht="13.5">
      <c r="A669" s="58"/>
      <c r="B669" s="58"/>
      <c r="C669" s="59"/>
      <c r="D669" s="56"/>
      <c r="E669" s="56"/>
    </row>
    <row r="670" spans="1:5" s="55" customFormat="1" ht="13.5">
      <c r="A670" s="58"/>
      <c r="B670" s="58"/>
      <c r="C670" s="59"/>
      <c r="D670" s="56"/>
      <c r="E670" s="56"/>
    </row>
    <row r="671" spans="1:5" s="55" customFormat="1" ht="13.5">
      <c r="A671" s="11"/>
      <c r="B671" s="31"/>
      <c r="C671" s="63"/>
      <c r="D671" s="56"/>
      <c r="E671" s="56"/>
    </row>
    <row r="672" spans="1:5" s="55" customFormat="1" ht="13.5">
      <c r="A672" s="12"/>
      <c r="B672" s="42"/>
      <c r="C672" s="59"/>
      <c r="D672" s="56"/>
      <c r="E672" s="56"/>
    </row>
    <row r="673" spans="1:5" s="55" customFormat="1" ht="13.5">
      <c r="A673" s="12"/>
      <c r="B673" s="24"/>
      <c r="C673" s="59"/>
      <c r="D673" s="56"/>
      <c r="E673" s="56"/>
    </row>
    <row r="674" spans="1:5" s="55" customFormat="1" ht="13.5">
      <c r="A674" s="11"/>
      <c r="B674" s="62"/>
      <c r="C674" s="63"/>
      <c r="D674" s="56"/>
      <c r="E674" s="56"/>
    </row>
    <row r="675" spans="1:7" s="42" customFormat="1" ht="13.5" customHeight="1">
      <c r="A675" s="12"/>
      <c r="B675" s="24"/>
      <c r="C675" s="59"/>
      <c r="D675" s="22"/>
      <c r="E675" s="63"/>
      <c r="G675" s="54"/>
    </row>
    <row r="676" spans="1:7" s="42" customFormat="1" ht="13.5" customHeight="1">
      <c r="A676" s="12"/>
      <c r="B676" s="24"/>
      <c r="C676" s="59"/>
      <c r="D676" s="22"/>
      <c r="E676" s="63"/>
      <c r="G676" s="54"/>
    </row>
    <row r="677" spans="1:7" s="42" customFormat="1" ht="13.5" customHeight="1">
      <c r="A677" s="12"/>
      <c r="B677" s="24"/>
      <c r="C677" s="59"/>
      <c r="D677" s="22"/>
      <c r="E677" s="63"/>
      <c r="G677" s="54"/>
    </row>
    <row r="678" spans="1:5" s="55" customFormat="1" ht="13.5">
      <c r="A678" s="12"/>
      <c r="B678" s="24"/>
      <c r="C678" s="24"/>
      <c r="D678" s="56"/>
      <c r="E678" s="56"/>
    </row>
    <row r="679" spans="1:5" s="55" customFormat="1" ht="13.5">
      <c r="A679" s="12"/>
      <c r="B679" s="24"/>
      <c r="C679" s="24"/>
      <c r="D679" s="56"/>
      <c r="E679" s="56"/>
    </row>
    <row r="680" spans="1:7" s="55" customFormat="1" ht="13.5">
      <c r="A680" s="1035"/>
      <c r="B680" s="1035"/>
      <c r="C680" s="63"/>
      <c r="D680" s="56"/>
      <c r="G680" s="201"/>
    </row>
    <row r="681" spans="1:5" s="225" customFormat="1" ht="13.5">
      <c r="A681" s="62"/>
      <c r="B681" s="199"/>
      <c r="C681" s="509"/>
      <c r="D681" s="94"/>
      <c r="E681" s="94"/>
    </row>
    <row r="682" spans="1:7" s="225" customFormat="1" ht="13.5">
      <c r="A682" s="58"/>
      <c r="B682" s="98"/>
      <c r="C682" s="111"/>
      <c r="E682" s="94"/>
      <c r="G682" s="94"/>
    </row>
    <row r="683" spans="1:7" s="225" customFormat="1" ht="13.5">
      <c r="A683" s="58"/>
      <c r="B683" s="98"/>
      <c r="C683" s="111"/>
      <c r="E683" s="94"/>
      <c r="G683" s="94"/>
    </row>
    <row r="684" spans="1:5" s="225" customFormat="1" ht="13.5">
      <c r="A684" s="58"/>
      <c r="B684" s="58"/>
      <c r="C684" s="111"/>
      <c r="D684" s="94"/>
      <c r="E684" s="94"/>
    </row>
    <row r="685" spans="1:5" s="225" customFormat="1" ht="13.5">
      <c r="A685" s="62"/>
      <c r="B685" s="62"/>
      <c r="C685" s="509"/>
      <c r="D685" s="94"/>
      <c r="E685" s="94"/>
    </row>
    <row r="686" spans="1:5" s="225" customFormat="1" ht="13.5">
      <c r="A686" s="12"/>
      <c r="B686" s="12"/>
      <c r="C686" s="24"/>
      <c r="D686" s="94"/>
      <c r="E686" s="94"/>
    </row>
    <row r="687" spans="1:5" s="225" customFormat="1" ht="13.5">
      <c r="A687" s="58"/>
      <c r="B687" s="58"/>
      <c r="C687" s="59"/>
      <c r="D687" s="94"/>
      <c r="E687" s="94"/>
    </row>
    <row r="688" spans="1:5" s="225" customFormat="1" ht="13.5">
      <c r="A688" s="58"/>
      <c r="B688" s="58"/>
      <c r="C688" s="59"/>
      <c r="D688" s="94"/>
      <c r="E688" s="94"/>
    </row>
    <row r="689" spans="1:5" s="225" customFormat="1" ht="13.5">
      <c r="A689" s="58"/>
      <c r="B689" s="58"/>
      <c r="C689" s="59"/>
      <c r="D689" s="94"/>
      <c r="E689" s="94"/>
    </row>
    <row r="690" spans="1:5" s="225" customFormat="1" ht="13.5">
      <c r="A690" s="62"/>
      <c r="B690" s="62"/>
      <c r="C690" s="63"/>
      <c r="D690" s="94"/>
      <c r="E690" s="94"/>
    </row>
    <row r="691" spans="1:7" s="225" customFormat="1" ht="13.5">
      <c r="A691" s="58"/>
      <c r="B691" s="58"/>
      <c r="C691" s="24"/>
      <c r="E691" s="94"/>
      <c r="G691" s="489"/>
    </row>
    <row r="692" spans="1:5" s="225" customFormat="1" ht="13.5">
      <c r="A692" s="11"/>
      <c r="B692" s="62"/>
      <c r="C692" s="509"/>
      <c r="E692" s="94"/>
    </row>
    <row r="693" spans="1:6" s="55" customFormat="1" ht="13.5">
      <c r="A693" s="12"/>
      <c r="B693" s="58"/>
      <c r="C693" s="59"/>
      <c r="D693" s="63"/>
      <c r="E693" s="56"/>
      <c r="F693" s="56"/>
    </row>
    <row r="694" spans="1:9" s="55" customFormat="1" ht="13.5">
      <c r="A694" s="12"/>
      <c r="B694" s="24"/>
      <c r="C694" s="59"/>
      <c r="E694" s="56"/>
      <c r="F694" s="56"/>
      <c r="I694" s="94"/>
    </row>
    <row r="695" spans="1:6" s="55" customFormat="1" ht="13.5">
      <c r="A695" s="11"/>
      <c r="B695" s="31"/>
      <c r="C695" s="63"/>
      <c r="D695" s="59"/>
      <c r="E695" s="56"/>
      <c r="F695" s="56"/>
    </row>
    <row r="696" spans="1:6" s="55" customFormat="1" ht="13.5">
      <c r="A696" s="12"/>
      <c r="B696" s="58"/>
      <c r="C696" s="59"/>
      <c r="D696" s="31"/>
      <c r="E696" s="201"/>
      <c r="F696" s="56"/>
    </row>
    <row r="697" spans="1:6" s="55" customFormat="1" ht="13.5">
      <c r="A697" s="11"/>
      <c r="B697" s="62"/>
      <c r="C697" s="63"/>
      <c r="D697" s="31"/>
      <c r="E697" s="201"/>
      <c r="F697" s="56"/>
    </row>
    <row r="698" spans="1:5" s="55" customFormat="1" ht="13.5">
      <c r="A698" s="12"/>
      <c r="B698" s="58"/>
      <c r="C698" s="59"/>
      <c r="D698" s="56"/>
      <c r="E698" s="56"/>
    </row>
    <row r="699" spans="1:7" s="55" customFormat="1" ht="13.5">
      <c r="A699" s="11"/>
      <c r="B699" s="31"/>
      <c r="C699" s="63"/>
      <c r="D699" s="56"/>
      <c r="E699" s="56"/>
      <c r="G699" s="437"/>
    </row>
    <row r="700" spans="1:6" s="55" customFormat="1" ht="13.5">
      <c r="A700" s="12"/>
      <c r="B700" s="24"/>
      <c r="C700" s="59"/>
      <c r="E700" s="59"/>
      <c r="F700" s="56"/>
    </row>
    <row r="701" spans="1:6" s="55" customFormat="1" ht="13.5">
      <c r="A701" s="12"/>
      <c r="B701" s="42"/>
      <c r="C701" s="59"/>
      <c r="E701" s="56"/>
      <c r="F701" s="56"/>
    </row>
    <row r="702" spans="1:6" s="55" customFormat="1" ht="13.5">
      <c r="A702" s="12"/>
      <c r="B702" s="42"/>
      <c r="C702" s="59"/>
      <c r="D702" s="437"/>
      <c r="E702" s="56"/>
      <c r="F702" s="56"/>
    </row>
    <row r="703" spans="1:7" s="55" customFormat="1" ht="13.5" hidden="1">
      <c r="A703" s="12"/>
      <c r="B703" s="42"/>
      <c r="C703" s="59"/>
      <c r="E703" s="56"/>
      <c r="F703" s="56"/>
      <c r="G703" s="437"/>
    </row>
    <row r="704" spans="1:5" s="55" customFormat="1" ht="13.5">
      <c r="A704" s="12"/>
      <c r="B704" s="24"/>
      <c r="C704" s="59"/>
      <c r="E704" s="56"/>
    </row>
    <row r="705" spans="1:5" s="55" customFormat="1" ht="13.5">
      <c r="A705" s="58"/>
      <c r="B705" s="58"/>
      <c r="C705" s="59"/>
      <c r="D705" s="56"/>
      <c r="E705" s="56"/>
    </row>
    <row r="706" spans="1:7" s="55" customFormat="1" ht="13.5">
      <c r="A706" s="1035"/>
      <c r="B706" s="1035"/>
      <c r="C706" s="63"/>
      <c r="D706" s="56"/>
      <c r="G706" s="201"/>
    </row>
    <row r="707" spans="1:7" s="225" customFormat="1" ht="13.5">
      <c r="A707" s="11"/>
      <c r="B707" s="199"/>
      <c r="C707" s="509"/>
      <c r="D707" s="94"/>
      <c r="G707" s="93"/>
    </row>
    <row r="708" spans="1:5" s="55" customFormat="1" ht="13.5">
      <c r="A708" s="12"/>
      <c r="B708" s="24"/>
      <c r="C708" s="24"/>
      <c r="D708" s="56"/>
      <c r="E708" s="56"/>
    </row>
    <row r="709" spans="1:5" s="55" customFormat="1" ht="13.5">
      <c r="A709" s="11"/>
      <c r="B709" s="31"/>
      <c r="C709" s="31"/>
      <c r="D709" s="56"/>
      <c r="E709" s="56"/>
    </row>
    <row r="710" spans="1:7" s="42" customFormat="1" ht="13.5" customHeight="1">
      <c r="A710" s="12"/>
      <c r="B710" s="24"/>
      <c r="C710" s="24"/>
      <c r="D710" s="22"/>
      <c r="E710" s="31"/>
      <c r="G710" s="72"/>
    </row>
    <row r="711" spans="1:5" s="55" customFormat="1" ht="13.5">
      <c r="A711" s="11"/>
      <c r="B711" s="31"/>
      <c r="C711" s="31"/>
      <c r="D711" s="56"/>
      <c r="E711" s="56"/>
    </row>
    <row r="712" spans="1:5" s="55" customFormat="1" ht="13.5">
      <c r="A712" s="12"/>
      <c r="B712" s="24"/>
      <c r="C712" s="24"/>
      <c r="D712" s="56"/>
      <c r="E712" s="56"/>
    </row>
    <row r="713" spans="1:5" s="55" customFormat="1" ht="13.5">
      <c r="A713" s="12"/>
      <c r="B713" s="24"/>
      <c r="C713" s="24"/>
      <c r="D713" s="56"/>
      <c r="E713" s="56"/>
    </row>
    <row r="714" spans="1:5" s="55" customFormat="1" ht="13.5">
      <c r="A714" s="11"/>
      <c r="B714" s="31"/>
      <c r="C714" s="31"/>
      <c r="D714" s="56"/>
      <c r="E714" s="56"/>
    </row>
    <row r="715" spans="1:5" s="55" customFormat="1" ht="13.5">
      <c r="A715" s="12"/>
      <c r="B715" s="24"/>
      <c r="C715" s="24"/>
      <c r="D715" s="56"/>
      <c r="E715" s="56"/>
    </row>
    <row r="716" spans="3:5" s="55" customFormat="1" ht="12.75">
      <c r="C716" s="56"/>
      <c r="D716" s="56"/>
      <c r="E716" s="56"/>
    </row>
    <row r="717" spans="1:7" s="443" customFormat="1" ht="13.5" customHeight="1">
      <c r="A717" s="12"/>
      <c r="B717" s="12"/>
      <c r="C717" s="24"/>
      <c r="D717" s="22"/>
      <c r="E717" s="24"/>
      <c r="F717" s="72"/>
      <c r="G717" s="72"/>
    </row>
    <row r="718" spans="1:5" s="443" customFormat="1" ht="13.5" customHeight="1">
      <c r="A718" s="525"/>
      <c r="B718" s="525"/>
      <c r="C718" s="38"/>
      <c r="D718" s="39"/>
      <c r="E718" s="691"/>
    </row>
    <row r="719" spans="1:5" s="443" customFormat="1" ht="13.5" customHeight="1">
      <c r="A719" s="525"/>
      <c r="B719" s="525"/>
      <c r="C719" s="38"/>
      <c r="D719" s="39"/>
      <c r="E719" s="691"/>
    </row>
    <row r="720" spans="1:7" s="72" customFormat="1" ht="13.5" customHeight="1">
      <c r="A720" s="142"/>
      <c r="B720" s="142"/>
      <c r="C720" s="117"/>
      <c r="D720" s="375"/>
      <c r="E720" s="117"/>
      <c r="F720" s="443"/>
      <c r="G720" s="443"/>
    </row>
    <row r="721" spans="1:7" s="72" customFormat="1" ht="13.5" customHeight="1">
      <c r="A721" s="142"/>
      <c r="B721" s="142"/>
      <c r="C721" s="38"/>
      <c r="D721" s="375"/>
      <c r="E721" s="117"/>
      <c r="F721" s="443"/>
      <c r="G721" s="443"/>
    </row>
    <row r="722" spans="1:7" s="72" customFormat="1" ht="13.5" customHeight="1">
      <c r="A722" s="142"/>
      <c r="B722" s="142"/>
      <c r="C722" s="117"/>
      <c r="D722" s="375"/>
      <c r="E722" s="117"/>
      <c r="F722" s="443"/>
      <c r="G722" s="443"/>
    </row>
    <row r="723" spans="1:5" s="72" customFormat="1" ht="13.5" customHeight="1">
      <c r="A723" s="12"/>
      <c r="B723" s="12"/>
      <c r="C723" s="24"/>
      <c r="D723" s="22"/>
      <c r="E723" s="24"/>
    </row>
    <row r="724" spans="1:5" s="72" customFormat="1" ht="13.5" customHeight="1">
      <c r="A724" s="58"/>
      <c r="B724" s="12"/>
      <c r="C724" s="24"/>
      <c r="D724" s="22"/>
      <c r="E724" s="24"/>
    </row>
    <row r="725" spans="1:7" s="444" customFormat="1" ht="13.5" customHeight="1">
      <c r="A725" s="58"/>
      <c r="B725" s="12"/>
      <c r="C725" s="24"/>
      <c r="D725" s="22"/>
      <c r="E725" s="24"/>
      <c r="F725" s="72"/>
      <c r="G725" s="72"/>
    </row>
    <row r="726" spans="1:5" s="72" customFormat="1" ht="13.5" customHeight="1">
      <c r="A726" s="12"/>
      <c r="B726" s="12"/>
      <c r="C726" s="24"/>
      <c r="D726" s="22"/>
      <c r="E726" s="24"/>
    </row>
    <row r="727" spans="1:7" s="72" customFormat="1" ht="13.5" customHeight="1">
      <c r="A727" s="11"/>
      <c r="B727" s="11"/>
      <c r="C727" s="31"/>
      <c r="D727" s="32"/>
      <c r="E727" s="31"/>
      <c r="F727" s="150"/>
      <c r="G727" s="31"/>
    </row>
    <row r="728" spans="1:5" s="72" customFormat="1" ht="13.5" customHeight="1">
      <c r="A728" s="12"/>
      <c r="B728" s="12"/>
      <c r="C728" s="24"/>
      <c r="D728" s="22"/>
      <c r="E728" s="387"/>
    </row>
    <row r="729" spans="1:7" s="72" customFormat="1" ht="13.5" customHeight="1">
      <c r="A729" s="1036"/>
      <c r="B729" s="1036"/>
      <c r="C729" s="31"/>
      <c r="D729" s="56"/>
      <c r="F729" s="444"/>
      <c r="G729" s="444"/>
    </row>
    <row r="730" spans="1:5" s="150" customFormat="1" ht="13.5" customHeight="1">
      <c r="A730" s="11"/>
      <c r="B730" s="199"/>
      <c r="C730" s="32"/>
      <c r="D730" s="94"/>
      <c r="E730" s="95"/>
    </row>
    <row r="731" spans="1:7" s="42" customFormat="1" ht="13.5" customHeight="1">
      <c r="A731" s="12"/>
      <c r="C731" s="24"/>
      <c r="E731" s="31"/>
      <c r="G731" s="95"/>
    </row>
    <row r="732" spans="1:7" s="42" customFormat="1" ht="13.5" customHeight="1">
      <c r="A732" s="11"/>
      <c r="B732" s="505"/>
      <c r="C732" s="31"/>
      <c r="E732" s="31"/>
      <c r="G732" s="22"/>
    </row>
    <row r="733" spans="1:7" s="55" customFormat="1" ht="13.5">
      <c r="A733" s="12"/>
      <c r="B733" s="58"/>
      <c r="C733" s="59"/>
      <c r="E733" s="56"/>
      <c r="G733" s="56"/>
    </row>
    <row r="734" spans="1:5" s="55" customFormat="1" ht="13.5">
      <c r="A734" s="12"/>
      <c r="B734" s="42"/>
      <c r="C734" s="59"/>
      <c r="D734" s="56"/>
      <c r="E734" s="56"/>
    </row>
    <row r="735" spans="1:5" s="55" customFormat="1" ht="13.5">
      <c r="A735" s="11"/>
      <c r="B735" s="505"/>
      <c r="C735" s="63"/>
      <c r="D735" s="56"/>
      <c r="E735" s="56"/>
    </row>
    <row r="736" spans="1:5" s="55" customFormat="1" ht="13.5">
      <c r="A736" s="12"/>
      <c r="B736" s="24"/>
      <c r="C736" s="24"/>
      <c r="D736" s="56"/>
      <c r="E736" s="56"/>
    </row>
    <row r="737" spans="1:5" s="55" customFormat="1" ht="13.5">
      <c r="A737" s="11"/>
      <c r="B737" s="62"/>
      <c r="C737" s="31"/>
      <c r="D737" s="56"/>
      <c r="E737" s="56"/>
    </row>
    <row r="738" spans="1:5" s="55" customFormat="1" ht="13.5">
      <c r="A738" s="12"/>
      <c r="B738" s="58"/>
      <c r="C738" s="59"/>
      <c r="D738" s="56"/>
      <c r="E738" s="56"/>
    </row>
    <row r="739" spans="1:5" s="55" customFormat="1" ht="13.5">
      <c r="A739" s="12"/>
      <c r="B739" s="58"/>
      <c r="C739" s="59"/>
      <c r="D739" s="56"/>
      <c r="E739" s="56"/>
    </row>
    <row r="740" spans="1:5" s="55" customFormat="1" ht="13.5">
      <c r="A740" s="12"/>
      <c r="B740" s="58"/>
      <c r="C740" s="59"/>
      <c r="D740" s="56"/>
      <c r="E740" s="56"/>
    </row>
    <row r="741" spans="1:5" s="55" customFormat="1" ht="13.5">
      <c r="A741" s="11"/>
      <c r="B741" s="31"/>
      <c r="C741" s="31"/>
      <c r="D741" s="56"/>
      <c r="E741" s="56"/>
    </row>
    <row r="742" spans="1:5" s="55" customFormat="1" ht="13.5">
      <c r="A742" s="12"/>
      <c r="B742" s="42"/>
      <c r="C742" s="24"/>
      <c r="D742" s="56"/>
      <c r="E742" s="56"/>
    </row>
    <row r="743" spans="1:5" s="55" customFormat="1" ht="13.5">
      <c r="A743" s="12"/>
      <c r="B743" s="24"/>
      <c r="C743" s="59"/>
      <c r="D743" s="56"/>
      <c r="E743" s="56"/>
    </row>
    <row r="744" spans="1:5" s="55" customFormat="1" ht="13.5">
      <c r="A744" s="11"/>
      <c r="B744" s="31"/>
      <c r="C744" s="63"/>
      <c r="D744" s="56"/>
      <c r="E744" s="56"/>
    </row>
    <row r="745" spans="1:5" s="55" customFormat="1" ht="13.5">
      <c r="A745" s="12"/>
      <c r="B745" s="24"/>
      <c r="C745" s="59"/>
      <c r="E745" s="56"/>
    </row>
    <row r="746" spans="1:5" s="55" customFormat="1" ht="13.5">
      <c r="A746" s="12"/>
      <c r="B746" s="24"/>
      <c r="C746" s="24"/>
      <c r="D746" s="56"/>
      <c r="E746" s="56"/>
    </row>
    <row r="747" spans="1:5" s="55" customFormat="1" ht="13.5">
      <c r="A747" s="12"/>
      <c r="B747" s="24"/>
      <c r="C747" s="24"/>
      <c r="D747" s="56"/>
      <c r="E747" s="56"/>
    </row>
    <row r="748" spans="1:5" s="72" customFormat="1" ht="13.5" customHeight="1">
      <c r="A748" s="12"/>
      <c r="B748" s="12"/>
      <c r="C748" s="24"/>
      <c r="D748" s="95"/>
      <c r="E748" s="24"/>
    </row>
    <row r="749" spans="1:7" s="72" customFormat="1" ht="13.5" customHeight="1">
      <c r="A749" s="1036"/>
      <c r="B749" s="1036"/>
      <c r="C749" s="31"/>
      <c r="D749" s="56"/>
      <c r="F749" s="444"/>
      <c r="G749" s="444"/>
    </row>
    <row r="750" spans="1:7" s="72" customFormat="1" ht="13.5" customHeight="1">
      <c r="A750" s="62"/>
      <c r="B750" s="199"/>
      <c r="C750" s="32"/>
      <c r="D750" s="56"/>
      <c r="E750" s="31"/>
      <c r="F750" s="444"/>
      <c r="G750" s="444"/>
    </row>
    <row r="751" spans="1:7" s="42" customFormat="1" ht="13.5" customHeight="1">
      <c r="A751" s="58"/>
      <c r="B751" s="58"/>
      <c r="C751" s="24"/>
      <c r="D751" s="172"/>
      <c r="E751" s="31"/>
      <c r="F751" s="98"/>
      <c r="G751" s="54"/>
    </row>
    <row r="752" spans="1:6" s="55" customFormat="1" ht="13.5">
      <c r="A752" s="62"/>
      <c r="B752" s="62"/>
      <c r="C752" s="63"/>
      <c r="D752" s="59"/>
      <c r="E752" s="56"/>
      <c r="F752" s="56"/>
    </row>
    <row r="753" spans="1:9" s="55" customFormat="1" ht="13.5" customHeight="1">
      <c r="A753" s="58"/>
      <c r="B753" s="42"/>
      <c r="C753" s="59"/>
      <c r="G753" s="59"/>
      <c r="H753" s="56"/>
      <c r="I753" s="56"/>
    </row>
    <row r="754" spans="1:9" s="55" customFormat="1" ht="13.5" customHeight="1">
      <c r="A754" s="58"/>
      <c r="B754" s="42"/>
      <c r="C754" s="59"/>
      <c r="G754" s="59"/>
      <c r="H754" s="56"/>
      <c r="I754" s="56"/>
    </row>
    <row r="755" spans="1:8" s="55" customFormat="1" ht="13.5" customHeight="1">
      <c r="A755" s="58"/>
      <c r="B755" s="58"/>
      <c r="C755" s="59"/>
      <c r="G755" s="59"/>
      <c r="H755" s="56"/>
    </row>
    <row r="756" spans="1:10" s="42" customFormat="1" ht="13.5" customHeight="1">
      <c r="A756" s="62"/>
      <c r="B756" s="62"/>
      <c r="C756" s="31"/>
      <c r="G756" s="172"/>
      <c r="H756" s="31"/>
      <c r="I756" s="98"/>
      <c r="J756" s="54"/>
    </row>
    <row r="757" spans="1:10" s="42" customFormat="1" ht="13.5" customHeight="1">
      <c r="A757" s="58"/>
      <c r="B757" s="58"/>
      <c r="C757" s="24"/>
      <c r="G757" s="172"/>
      <c r="I757" s="98"/>
      <c r="J757" s="54"/>
    </row>
    <row r="758" spans="1:10" s="42" customFormat="1" ht="13.5" customHeight="1">
      <c r="A758" s="11"/>
      <c r="B758" s="62"/>
      <c r="C758" s="31"/>
      <c r="G758" s="172"/>
      <c r="H758" s="31"/>
      <c r="I758" s="98"/>
      <c r="J758" s="54"/>
    </row>
    <row r="759" spans="1:9" s="55" customFormat="1" ht="13.5" customHeight="1">
      <c r="A759" s="12"/>
      <c r="B759" s="24"/>
      <c r="C759" s="59"/>
      <c r="G759" s="56"/>
      <c r="I759" s="56"/>
    </row>
    <row r="760" spans="1:8" s="55" customFormat="1" ht="13.5">
      <c r="A760" s="11"/>
      <c r="B760" s="31"/>
      <c r="C760" s="63"/>
      <c r="G760" s="56"/>
      <c r="H760" s="56"/>
    </row>
    <row r="761" spans="1:9" s="55" customFormat="1" ht="13.5" customHeight="1">
      <c r="A761" s="12"/>
      <c r="B761" s="58"/>
      <c r="C761" s="59"/>
      <c r="G761" s="59"/>
      <c r="H761" s="56"/>
      <c r="I761" s="56"/>
    </row>
    <row r="762" spans="1:9" s="55" customFormat="1" ht="13.5">
      <c r="A762" s="11"/>
      <c r="B762" s="31"/>
      <c r="C762" s="63"/>
      <c r="G762" s="59"/>
      <c r="H762" s="56"/>
      <c r="I762" s="56"/>
    </row>
    <row r="763" spans="1:7" s="55" customFormat="1" ht="13.5" customHeight="1">
      <c r="A763" s="12"/>
      <c r="B763" s="24"/>
      <c r="C763" s="59"/>
      <c r="G763" s="56"/>
    </row>
    <row r="764" spans="1:9" s="55" customFormat="1" ht="13.5" customHeight="1">
      <c r="A764" s="12"/>
      <c r="B764" s="24"/>
      <c r="C764" s="59"/>
      <c r="G764" s="95"/>
      <c r="H764" s="201"/>
      <c r="I764" s="56"/>
    </row>
    <row r="765" spans="1:8" s="72" customFormat="1" ht="13.5" customHeight="1">
      <c r="A765" s="12"/>
      <c r="B765" s="12"/>
      <c r="C765" s="24"/>
      <c r="H765" s="24"/>
    </row>
    <row r="766" spans="1:8" s="72" customFormat="1" ht="13.5" customHeight="1">
      <c r="A766" s="1034"/>
      <c r="B766" s="1034"/>
      <c r="C766" s="31"/>
      <c r="G766" s="56"/>
      <c r="H766" s="444"/>
    </row>
    <row r="767" spans="1:5" s="72" customFormat="1" ht="13.5" customHeight="1">
      <c r="A767" s="62"/>
      <c r="B767" s="199"/>
      <c r="C767" s="32"/>
      <c r="D767" s="56"/>
      <c r="E767" s="24"/>
    </row>
    <row r="768" spans="1:8" s="72" customFormat="1" ht="13.5" customHeight="1">
      <c r="A768" s="58"/>
      <c r="B768" s="58"/>
      <c r="C768" s="59"/>
      <c r="G768" s="95"/>
      <c r="H768" s="24"/>
    </row>
    <row r="769" spans="1:8" s="72" customFormat="1" ht="13.5" customHeight="1">
      <c r="A769" s="62"/>
      <c r="B769" s="505"/>
      <c r="C769" s="63"/>
      <c r="G769" s="95"/>
      <c r="H769" s="24"/>
    </row>
    <row r="770" spans="1:8" s="72" customFormat="1" ht="13.5" customHeight="1">
      <c r="A770" s="58"/>
      <c r="B770" s="42"/>
      <c r="C770" s="59"/>
      <c r="G770" s="95"/>
      <c r="H770" s="24"/>
    </row>
    <row r="771" spans="1:8" s="72" customFormat="1" ht="13.5" customHeight="1">
      <c r="A771" s="11"/>
      <c r="B771" s="31"/>
      <c r="C771" s="63"/>
      <c r="G771" s="95"/>
      <c r="H771" s="24"/>
    </row>
    <row r="772" spans="1:8" s="72" customFormat="1" ht="13.5" customHeight="1">
      <c r="A772" s="12"/>
      <c r="B772" s="24"/>
      <c r="C772" s="59"/>
      <c r="G772" s="95"/>
      <c r="H772" s="24"/>
    </row>
    <row r="773" spans="1:9" s="42" customFormat="1" ht="13.5">
      <c r="A773" s="12"/>
      <c r="B773" s="24"/>
      <c r="C773" s="59"/>
      <c r="G773" s="95"/>
      <c r="I773" s="72"/>
    </row>
    <row r="774" spans="1:7" s="42" customFormat="1" ht="13.5">
      <c r="A774" s="11"/>
      <c r="B774" s="31"/>
      <c r="C774" s="63"/>
      <c r="D774" s="95"/>
      <c r="E774" s="24"/>
      <c r="F774" s="72"/>
      <c r="G774" s="72"/>
    </row>
    <row r="775" spans="1:7" s="42" customFormat="1" ht="13.5">
      <c r="A775" s="12"/>
      <c r="B775" s="24"/>
      <c r="C775" s="59"/>
      <c r="D775" s="22"/>
      <c r="E775" s="24"/>
      <c r="F775" s="72"/>
      <c r="G775" s="72"/>
    </row>
    <row r="776" spans="1:7" s="65" customFormat="1" ht="13.5">
      <c r="A776" s="127"/>
      <c r="B776" s="127"/>
      <c r="E776" s="23"/>
      <c r="F776" s="72"/>
      <c r="G776" s="72"/>
    </row>
    <row r="788" spans="2:4" ht="12.75">
      <c r="B788" s="65"/>
      <c r="C788" s="67"/>
      <c r="D788" s="67"/>
    </row>
  </sheetData>
  <sheetProtection sheet="1" objects="1" scenarios="1" sort="0" autoFilter="0"/>
  <mergeCells count="50">
    <mergeCell ref="A333:B333"/>
    <mergeCell ref="A380:B380"/>
    <mergeCell ref="A195:B195"/>
    <mergeCell ref="A230:B231"/>
    <mergeCell ref="A232:D235"/>
    <mergeCell ref="A242:B242"/>
    <mergeCell ref="A279:B279"/>
    <mergeCell ref="A305:B305"/>
    <mergeCell ref="A309:B309"/>
    <mergeCell ref="A324:D326"/>
    <mergeCell ref="A76:B76"/>
    <mergeCell ref="A96:B96"/>
    <mergeCell ref="A102:B102"/>
    <mergeCell ref="A114:B115"/>
    <mergeCell ref="A116:D117"/>
    <mergeCell ref="A124:B124"/>
    <mergeCell ref="A4:C5"/>
    <mergeCell ref="A6:E10"/>
    <mergeCell ref="A17:B17"/>
    <mergeCell ref="A41:C42"/>
    <mergeCell ref="A43:E45"/>
    <mergeCell ref="A52:B52"/>
    <mergeCell ref="A468:B468"/>
    <mergeCell ref="A481:B481"/>
    <mergeCell ref="A427:B427"/>
    <mergeCell ref="A446:B446"/>
    <mergeCell ref="A451:B451"/>
    <mergeCell ref="A561:B561"/>
    <mergeCell ref="A493:B493"/>
    <mergeCell ref="A514:B514"/>
    <mergeCell ref="A534:B534"/>
    <mergeCell ref="A540:B540"/>
    <mergeCell ref="A766:B766"/>
    <mergeCell ref="A577:B577"/>
    <mergeCell ref="A593:B593"/>
    <mergeCell ref="A648:B648"/>
    <mergeCell ref="A680:B680"/>
    <mergeCell ref="A706:B706"/>
    <mergeCell ref="A729:B729"/>
    <mergeCell ref="A749:B749"/>
    <mergeCell ref="A393:C394"/>
    <mergeCell ref="A395:E402"/>
    <mergeCell ref="A409:B409"/>
    <mergeCell ref="A216:B216"/>
    <mergeCell ref="A137:B137"/>
    <mergeCell ref="A151:B151"/>
    <mergeCell ref="A162:E164"/>
    <mergeCell ref="A171:B171"/>
    <mergeCell ref="A222:B222"/>
    <mergeCell ref="A360:B360"/>
  </mergeCells>
  <printOptions/>
  <pageMargins left="0.7874015748031497" right="0.1968503937007874" top="0.7874015748031497" bottom="0.7874015748031497" header="0.3937007874015748" footer="0.1968503937007874"/>
  <pageSetup horizontalDpi="600" verticalDpi="600" orientation="portrait" paperSize="9" scale="90" r:id="rId1"/>
  <headerFooter scaleWithDoc="0">
    <oddHeader>&amp;L&amp;"Arial Narrow,Normal"&amp;8Presupuesto Municipal 2018&amp;R&amp;"Arial Narrow,Normal"&amp;8MUNICIPALIDAD DE VILLA MARÍA
Secretaría de Ecoomía y Finanzas</oddHeader>
  </headerFooter>
  <rowBreaks count="12" manualBreakCount="12">
    <brk id="54" max="255" man="1"/>
    <brk id="114" max="255" man="1"/>
    <brk id="160" max="255" man="1"/>
    <brk id="221" max="255" man="1"/>
    <brk id="280" max="255" man="1"/>
    <brk id="333" max="255" man="1"/>
    <brk id="513" max="255" man="1"/>
    <brk id="570" max="255" man="1"/>
    <brk id="628" max="255" man="1"/>
    <brk id="684" max="255" man="1"/>
    <brk id="740" max="255" man="1"/>
    <brk id="776" max="4" man="1"/>
  </rowBreaks>
</worksheet>
</file>

<file path=xl/worksheets/sheet3.xml><?xml version="1.0" encoding="utf-8"?>
<worksheet xmlns="http://schemas.openxmlformats.org/spreadsheetml/2006/main" xmlns:r="http://schemas.openxmlformats.org/officeDocument/2006/relationships">
  <sheetPr>
    <tabColor rgb="FFFFC000"/>
  </sheetPr>
  <dimension ref="A1:K781"/>
  <sheetViews>
    <sheetView zoomScalePageLayoutView="0" workbookViewId="0" topLeftCell="A1">
      <selection activeCell="H20" sqref="H20"/>
    </sheetView>
  </sheetViews>
  <sheetFormatPr defaultColWidth="11.421875" defaultRowHeight="12.75"/>
  <cols>
    <col min="1" max="1" width="10.140625" style="310" customWidth="1"/>
    <col min="2" max="2" width="45.28125" style="310" customWidth="1"/>
    <col min="3" max="3" width="16.57421875" style="323" customWidth="1"/>
    <col min="4" max="4" width="11.140625" style="321" customWidth="1"/>
    <col min="5" max="5" width="13.7109375" style="323" customWidth="1"/>
    <col min="6" max="6" width="22.140625" style="780" customWidth="1"/>
    <col min="7" max="7" width="16.57421875" style="128" customWidth="1"/>
    <col min="8" max="8" width="13.421875" style="128" customWidth="1"/>
    <col min="9" max="9" width="13.00390625" style="322" customWidth="1"/>
    <col min="10" max="16384" width="11.421875" style="128" customWidth="1"/>
  </cols>
  <sheetData>
    <row r="1" spans="1:9" s="244" customFormat="1" ht="13.5" customHeight="1">
      <c r="A1" s="532"/>
      <c r="B1" s="787" t="s">
        <v>1018</v>
      </c>
      <c r="C1" s="241"/>
      <c r="D1" s="242"/>
      <c r="E1" s="243"/>
      <c r="F1" s="768"/>
      <c r="I1" s="245"/>
    </row>
    <row r="2" spans="1:9" s="244" customFormat="1" ht="13.5" customHeight="1">
      <c r="A2" s="532"/>
      <c r="B2" s="532"/>
      <c r="C2" s="241"/>
      <c r="D2" s="242"/>
      <c r="E2" s="243"/>
      <c r="F2" s="764"/>
      <c r="I2" s="245"/>
    </row>
    <row r="3" spans="1:9" s="250" customFormat="1" ht="13.5" customHeight="1" thickBot="1">
      <c r="A3" s="246"/>
      <c r="B3" s="246"/>
      <c r="C3" s="247"/>
      <c r="D3" s="248"/>
      <c r="E3" s="247"/>
      <c r="F3" s="624"/>
      <c r="I3" s="251"/>
    </row>
    <row r="4" spans="1:9" s="250" customFormat="1" ht="13.5" customHeight="1">
      <c r="A4" s="988" t="s">
        <v>852</v>
      </c>
      <c r="B4" s="1009"/>
      <c r="C4" s="989"/>
      <c r="D4" s="586" t="s">
        <v>6</v>
      </c>
      <c r="E4" s="755">
        <v>1301</v>
      </c>
      <c r="F4" s="624"/>
      <c r="I4" s="251"/>
    </row>
    <row r="5" spans="1:9" s="250" customFormat="1" ht="13.5" customHeight="1" thickBot="1">
      <c r="A5" s="990"/>
      <c r="B5" s="1010"/>
      <c r="C5" s="991"/>
      <c r="D5" s="590"/>
      <c r="E5" s="714"/>
      <c r="F5" s="624"/>
      <c r="I5" s="251"/>
    </row>
    <row r="6" spans="1:9" s="250" customFormat="1" ht="13.5" customHeight="1">
      <c r="A6" s="1086" t="s">
        <v>743</v>
      </c>
      <c r="B6" s="1087"/>
      <c r="C6" s="1087"/>
      <c r="D6" s="1087"/>
      <c r="E6" s="1088"/>
      <c r="F6" s="765"/>
      <c r="G6" s="556"/>
      <c r="H6" s="556"/>
      <c r="I6" s="251"/>
    </row>
    <row r="7" spans="1:9" s="250" customFormat="1" ht="13.5" customHeight="1">
      <c r="A7" s="1089"/>
      <c r="B7" s="1090"/>
      <c r="C7" s="1090"/>
      <c r="D7" s="1090"/>
      <c r="E7" s="1091"/>
      <c r="F7" s="765"/>
      <c r="G7" s="556"/>
      <c r="H7" s="556"/>
      <c r="I7" s="251"/>
    </row>
    <row r="8" spans="1:9" s="250" customFormat="1" ht="13.5" customHeight="1">
      <c r="A8" s="1089"/>
      <c r="B8" s="1090"/>
      <c r="C8" s="1090"/>
      <c r="D8" s="1090"/>
      <c r="E8" s="1091"/>
      <c r="F8" s="765"/>
      <c r="G8" s="556"/>
      <c r="H8" s="556"/>
      <c r="I8" s="251"/>
    </row>
    <row r="9" spans="1:9" s="250" customFormat="1" ht="13.5" customHeight="1">
      <c r="A9" s="1089"/>
      <c r="B9" s="1090"/>
      <c r="C9" s="1090"/>
      <c r="D9" s="1090"/>
      <c r="E9" s="1091"/>
      <c r="F9" s="765"/>
      <c r="G9" s="556"/>
      <c r="H9" s="556"/>
      <c r="I9" s="251"/>
    </row>
    <row r="10" spans="1:9" s="250" customFormat="1" ht="13.5" customHeight="1">
      <c r="A10" s="1089"/>
      <c r="B10" s="1090"/>
      <c r="C10" s="1090"/>
      <c r="D10" s="1090"/>
      <c r="E10" s="1091"/>
      <c r="F10" s="765"/>
      <c r="G10" s="556"/>
      <c r="H10" s="556"/>
      <c r="I10" s="251"/>
    </row>
    <row r="11" spans="1:9" s="250" customFormat="1" ht="13.5" customHeight="1">
      <c r="A11" s="1089"/>
      <c r="B11" s="1090"/>
      <c r="C11" s="1090"/>
      <c r="D11" s="1090"/>
      <c r="E11" s="1091"/>
      <c r="F11" s="765"/>
      <c r="G11" s="556"/>
      <c r="H11" s="556"/>
      <c r="I11" s="251"/>
    </row>
    <row r="12" spans="1:9" s="250" customFormat="1" ht="21.75" customHeight="1" thickBot="1">
      <c r="A12" s="1092"/>
      <c r="B12" s="1093"/>
      <c r="C12" s="1093"/>
      <c r="D12" s="1093"/>
      <c r="E12" s="1094"/>
      <c r="F12" s="765"/>
      <c r="G12" s="556"/>
      <c r="H12" s="556"/>
      <c r="I12" s="251"/>
    </row>
    <row r="13" spans="1:9" s="250" customFormat="1" ht="13.5" customHeight="1">
      <c r="A13" s="591" t="s">
        <v>809</v>
      </c>
      <c r="B13" s="592"/>
      <c r="C13" s="593"/>
      <c r="D13" s="594"/>
      <c r="E13" s="595"/>
      <c r="F13" s="624"/>
      <c r="I13" s="251"/>
    </row>
    <row r="14" spans="1:9" s="250" customFormat="1" ht="13.5" customHeight="1">
      <c r="A14" s="252" t="s">
        <v>573</v>
      </c>
      <c r="B14" s="52"/>
      <c r="C14" s="79"/>
      <c r="D14" s="80"/>
      <c r="E14" s="253"/>
      <c r="F14" s="624"/>
      <c r="I14" s="251"/>
    </row>
    <row r="15" spans="1:9" s="250" customFormat="1" ht="13.5" customHeight="1">
      <c r="A15" s="252" t="s">
        <v>853</v>
      </c>
      <c r="B15" s="52"/>
      <c r="C15" s="79"/>
      <c r="D15" s="80"/>
      <c r="E15" s="253"/>
      <c r="F15" s="624"/>
      <c r="I15" s="251"/>
    </row>
    <row r="16" spans="1:9" s="250" customFormat="1" ht="13.5" customHeight="1" thickBot="1">
      <c r="A16" s="304" t="s">
        <v>11</v>
      </c>
      <c r="B16" s="557"/>
      <c r="C16" s="566"/>
      <c r="D16" s="567"/>
      <c r="E16" s="558"/>
      <c r="F16" s="624"/>
      <c r="I16" s="251"/>
    </row>
    <row r="17" spans="1:9" s="250" customFormat="1" ht="13.5" customHeight="1" thickBot="1">
      <c r="A17" s="596" t="s">
        <v>0</v>
      </c>
      <c r="B17" s="597"/>
      <c r="C17" s="598"/>
      <c r="D17" s="599"/>
      <c r="E17" s="600">
        <f>(C19+C42+C60+C80+C86)</f>
        <v>133229251</v>
      </c>
      <c r="F17" s="624"/>
      <c r="I17" s="251"/>
    </row>
    <row r="18" spans="1:9" s="125" customFormat="1" ht="13.5" customHeight="1" thickBot="1">
      <c r="A18" s="257"/>
      <c r="B18" s="257"/>
      <c r="C18" s="258"/>
      <c r="D18" s="259"/>
      <c r="E18" s="258"/>
      <c r="F18" s="624"/>
      <c r="I18" s="260"/>
    </row>
    <row r="19" spans="1:9" s="262" customFormat="1" ht="13.5" customHeight="1" thickBot="1">
      <c r="A19" s="1095" t="s">
        <v>1</v>
      </c>
      <c r="B19" s="1096"/>
      <c r="C19" s="601">
        <f>C20+C27+C34</f>
        <v>121330149</v>
      </c>
      <c r="D19" s="261"/>
      <c r="E19" s="827"/>
      <c r="F19" s="624"/>
      <c r="I19" s="263"/>
    </row>
    <row r="20" spans="1:11" s="139" customFormat="1" ht="13.5">
      <c r="A20" s="11" t="s">
        <v>97</v>
      </c>
      <c r="B20" s="281" t="s">
        <v>98</v>
      </c>
      <c r="C20" s="31">
        <f>SUM(C21:C26)</f>
        <v>70688579</v>
      </c>
      <c r="D20" s="31"/>
      <c r="E20" s="828"/>
      <c r="F20" s="766"/>
      <c r="G20" s="140"/>
      <c r="H20" s="140"/>
      <c r="I20" s="264"/>
      <c r="J20" s="140"/>
      <c r="K20" s="140"/>
    </row>
    <row r="21" spans="1:9" s="71" customFormat="1" ht="12.75" customHeight="1">
      <c r="A21" s="12" t="s">
        <v>23</v>
      </c>
      <c r="B21" s="24" t="s">
        <v>20</v>
      </c>
      <c r="C21" s="24">
        <f>9687026+3588655+55438562-15000000</f>
        <v>53714243</v>
      </c>
      <c r="D21" s="22"/>
      <c r="E21" s="25"/>
      <c r="F21" s="767"/>
      <c r="I21" s="265"/>
    </row>
    <row r="22" spans="1:9" s="127" customFormat="1" ht="12.75" customHeight="1">
      <c r="A22" s="12" t="s">
        <v>24</v>
      </c>
      <c r="B22" s="24" t="s">
        <v>22</v>
      </c>
      <c r="C22" s="24">
        <f>8610690+2421757+2542</f>
        <v>11034989</v>
      </c>
      <c r="D22" s="22"/>
      <c r="E22" s="25"/>
      <c r="F22" s="767"/>
      <c r="I22" s="265"/>
    </row>
    <row r="23" spans="1:9" s="127" customFormat="1" ht="12.75" customHeight="1">
      <c r="A23" s="12" t="s">
        <v>25</v>
      </c>
      <c r="B23" s="24" t="s">
        <v>76</v>
      </c>
      <c r="C23" s="24">
        <f>55000+1681285</f>
        <v>1736285</v>
      </c>
      <c r="D23" s="22"/>
      <c r="E23" s="25"/>
      <c r="F23" s="767"/>
      <c r="I23" s="265"/>
    </row>
    <row r="24" spans="1:9" s="127" customFormat="1" ht="12.75" customHeight="1">
      <c r="A24" s="12" t="s">
        <v>26</v>
      </c>
      <c r="B24" s="24" t="s">
        <v>77</v>
      </c>
      <c r="C24" s="24">
        <v>1</v>
      </c>
      <c r="D24" s="22"/>
      <c r="E24" s="25"/>
      <c r="F24" s="767"/>
      <c r="I24" s="265"/>
    </row>
    <row r="25" spans="1:9" s="71" customFormat="1" ht="12.75" customHeight="1">
      <c r="A25" s="12" t="s">
        <v>27</v>
      </c>
      <c r="B25" s="24" t="s">
        <v>21</v>
      </c>
      <c r="C25" s="24">
        <f>56440+1156848</f>
        <v>1213288</v>
      </c>
      <c r="D25" s="22"/>
      <c r="E25" s="25"/>
      <c r="F25" s="767"/>
      <c r="I25" s="265"/>
    </row>
    <row r="26" spans="1:9" s="127" customFormat="1" ht="12.75" customHeight="1">
      <c r="A26" s="12" t="s">
        <v>28</v>
      </c>
      <c r="B26" s="24" t="s">
        <v>19</v>
      </c>
      <c r="C26" s="24">
        <f>2647500+54230+210448+77595</f>
        <v>2989773</v>
      </c>
      <c r="D26" s="22"/>
      <c r="E26" s="25"/>
      <c r="F26" s="539"/>
      <c r="I26" s="265"/>
    </row>
    <row r="27" spans="1:9" s="127" customFormat="1" ht="12.75" customHeight="1">
      <c r="A27" s="11" t="s">
        <v>99</v>
      </c>
      <c r="B27" s="31" t="s">
        <v>100</v>
      </c>
      <c r="C27" s="31">
        <f>SUM(C28:C33)</f>
        <v>25639876</v>
      </c>
      <c r="D27" s="22"/>
      <c r="E27" s="25"/>
      <c r="F27" s="539"/>
      <c r="I27" s="265"/>
    </row>
    <row r="28" spans="1:9" s="71" customFormat="1" ht="12.75" customHeight="1">
      <c r="A28" s="12" t="s">
        <v>30</v>
      </c>
      <c r="B28" s="24" t="s">
        <v>78</v>
      </c>
      <c r="C28" s="24">
        <f>20619576+1238475+3829879-5000000</f>
        <v>20687930</v>
      </c>
      <c r="D28" s="22"/>
      <c r="E28" s="25"/>
      <c r="F28" s="768"/>
      <c r="G28" s="12"/>
      <c r="H28" s="12"/>
      <c r="I28" s="265"/>
    </row>
    <row r="29" spans="1:9" s="127" customFormat="1" ht="12.75" customHeight="1">
      <c r="A29" s="12" t="s">
        <v>31</v>
      </c>
      <c r="B29" s="24" t="s">
        <v>79</v>
      </c>
      <c r="C29" s="24">
        <f>5083+957470+3404337</f>
        <v>4366890</v>
      </c>
      <c r="D29" s="22"/>
      <c r="E29" s="25"/>
      <c r="F29" s="767"/>
      <c r="I29" s="265"/>
    </row>
    <row r="30" spans="1:9" s="127" customFormat="1" ht="12.75" customHeight="1">
      <c r="A30" s="12" t="s">
        <v>32</v>
      </c>
      <c r="B30" s="24" t="s">
        <v>80</v>
      </c>
      <c r="C30" s="24">
        <v>585053</v>
      </c>
      <c r="D30" s="22"/>
      <c r="E30" s="25"/>
      <c r="F30" s="767"/>
      <c r="I30" s="265"/>
    </row>
    <row r="31" spans="1:9" s="127" customFormat="1" ht="12.75" customHeight="1">
      <c r="A31" s="12" t="s">
        <v>33</v>
      </c>
      <c r="B31" s="24" t="s">
        <v>81</v>
      </c>
      <c r="C31" s="24">
        <v>1</v>
      </c>
      <c r="D31" s="22"/>
      <c r="E31" s="25"/>
      <c r="F31" s="767"/>
      <c r="I31" s="265"/>
    </row>
    <row r="32" spans="1:9" s="71" customFormat="1" ht="12.75" customHeight="1">
      <c r="A32" s="12" t="s">
        <v>34</v>
      </c>
      <c r="B32" s="24" t="s">
        <v>258</v>
      </c>
      <c r="C32" s="24">
        <v>1</v>
      </c>
      <c r="D32" s="22"/>
      <c r="E32" s="25"/>
      <c r="F32" s="767"/>
      <c r="I32" s="265"/>
    </row>
    <row r="33" spans="1:9" s="127" customFormat="1" ht="12.75" customHeight="1">
      <c r="A33" s="12" t="s">
        <v>83</v>
      </c>
      <c r="B33" s="24" t="s">
        <v>82</v>
      </c>
      <c r="C33" s="24">
        <v>1</v>
      </c>
      <c r="D33" s="22"/>
      <c r="E33" s="25"/>
      <c r="F33" s="539"/>
      <c r="I33" s="265"/>
    </row>
    <row r="34" spans="1:9" s="127" customFormat="1" ht="12.75" customHeight="1">
      <c r="A34" s="11" t="s">
        <v>101</v>
      </c>
      <c r="B34" s="31" t="s">
        <v>102</v>
      </c>
      <c r="C34" s="31">
        <f>SUM(C35:C40)</f>
        <v>25001694</v>
      </c>
      <c r="D34" s="22"/>
      <c r="E34" s="25"/>
      <c r="F34" s="539"/>
      <c r="I34" s="265"/>
    </row>
    <row r="35" spans="1:9" s="71" customFormat="1" ht="12.75" customHeight="1">
      <c r="A35" s="12" t="s">
        <v>39</v>
      </c>
      <c r="B35" s="24" t="s">
        <v>35</v>
      </c>
      <c r="C35" s="24">
        <f>20096500+988091+3439296-5000000</f>
        <v>19523887</v>
      </c>
      <c r="D35" s="22"/>
      <c r="E35" s="25"/>
      <c r="F35" s="767"/>
      <c r="I35" s="265"/>
    </row>
    <row r="36" spans="1:9" s="127" customFormat="1" ht="12.75" customHeight="1">
      <c r="A36" s="12" t="s">
        <v>40</v>
      </c>
      <c r="B36" s="24" t="s">
        <v>37</v>
      </c>
      <c r="C36" s="24">
        <f>3057153+859825</f>
        <v>3916978</v>
      </c>
      <c r="D36" s="22"/>
      <c r="E36" s="25"/>
      <c r="F36" s="767"/>
      <c r="I36" s="265"/>
    </row>
    <row r="37" spans="1:9" s="127" customFormat="1" ht="12.75" customHeight="1">
      <c r="A37" s="12" t="s">
        <v>41</v>
      </c>
      <c r="B37" s="24" t="s">
        <v>84</v>
      </c>
      <c r="C37" s="24">
        <v>630321</v>
      </c>
      <c r="D37" s="22"/>
      <c r="E37" s="25"/>
      <c r="F37" s="767"/>
      <c r="I37" s="265"/>
    </row>
    <row r="38" spans="1:9" s="127" customFormat="1" ht="12.75" customHeight="1">
      <c r="A38" s="12" t="s">
        <v>42</v>
      </c>
      <c r="B38" s="24" t="s">
        <v>85</v>
      </c>
      <c r="C38" s="24">
        <v>1</v>
      </c>
      <c r="D38" s="22"/>
      <c r="E38" s="25"/>
      <c r="F38" s="767"/>
      <c r="I38" s="265"/>
    </row>
    <row r="39" spans="1:9" s="71" customFormat="1" ht="12.75" customHeight="1">
      <c r="A39" s="12" t="s">
        <v>43</v>
      </c>
      <c r="B39" s="24" t="s">
        <v>36</v>
      </c>
      <c r="C39" s="24">
        <f>36686+893820</f>
        <v>930506</v>
      </c>
      <c r="D39" s="22"/>
      <c r="E39" s="25"/>
      <c r="F39" s="767"/>
      <c r="I39" s="265"/>
    </row>
    <row r="40" spans="1:9" s="127" customFormat="1" ht="12.75" customHeight="1">
      <c r="A40" s="12" t="s">
        <v>44</v>
      </c>
      <c r="B40" s="24" t="s">
        <v>38</v>
      </c>
      <c r="C40" s="24">
        <v>1</v>
      </c>
      <c r="D40" s="22"/>
      <c r="E40" s="25"/>
      <c r="F40" s="539"/>
      <c r="I40" s="265"/>
    </row>
    <row r="41" spans="1:11" s="270" customFormat="1" ht="13.5" customHeight="1" thickBot="1">
      <c r="A41" s="70"/>
      <c r="B41" s="70"/>
      <c r="C41" s="24"/>
      <c r="D41" s="266"/>
      <c r="E41" s="24"/>
      <c r="F41" s="624"/>
      <c r="G41" s="268"/>
      <c r="H41" s="268"/>
      <c r="I41" s="269"/>
      <c r="J41" s="268"/>
      <c r="K41" s="268"/>
    </row>
    <row r="42" spans="1:9" s="274" customFormat="1" ht="13.5" customHeight="1" thickBot="1">
      <c r="A42" s="992" t="s">
        <v>2</v>
      </c>
      <c r="B42" s="993"/>
      <c r="C42" s="602">
        <f>C43+C45+C47+C49+C51+C53+C55</f>
        <v>280620</v>
      </c>
      <c r="D42" s="272"/>
      <c r="F42" s="769"/>
      <c r="I42" s="275"/>
    </row>
    <row r="43" spans="1:9" s="277" customFormat="1" ht="13.5" customHeight="1">
      <c r="A43" s="11" t="s">
        <v>103</v>
      </c>
      <c r="B43" s="510" t="s">
        <v>104</v>
      </c>
      <c r="C43" s="318">
        <f>SUM(C44)</f>
        <v>104380</v>
      </c>
      <c r="D43" s="276"/>
      <c r="E43" s="276"/>
      <c r="F43" s="536"/>
      <c r="I43" s="278"/>
    </row>
    <row r="44" spans="1:9" s="12" customFormat="1" ht="13.5" customHeight="1">
      <c r="A44" s="12" t="s">
        <v>46</v>
      </c>
      <c r="B44" s="71" t="s">
        <v>45</v>
      </c>
      <c r="C44" s="24">
        <v>104380</v>
      </c>
      <c r="D44" s="95"/>
      <c r="E44" s="31"/>
      <c r="F44" s="768"/>
      <c r="G44" s="24"/>
      <c r="I44" s="279"/>
    </row>
    <row r="45" spans="1:9" s="12" customFormat="1" ht="13.5" customHeight="1">
      <c r="A45" s="11" t="s">
        <v>105</v>
      </c>
      <c r="B45" s="249" t="s">
        <v>106</v>
      </c>
      <c r="C45" s="31">
        <f>SUM(C46:C46)</f>
        <v>15680</v>
      </c>
      <c r="D45" s="95"/>
      <c r="E45" s="31"/>
      <c r="F45" s="768"/>
      <c r="G45" s="24"/>
      <c r="I45" s="279"/>
    </row>
    <row r="46" spans="1:9" s="12" customFormat="1" ht="13.5" customHeight="1">
      <c r="A46" s="12" t="s">
        <v>86</v>
      </c>
      <c r="B46" s="71" t="s">
        <v>66</v>
      </c>
      <c r="C46" s="24">
        <v>15680</v>
      </c>
      <c r="D46" s="22"/>
      <c r="E46" s="31"/>
      <c r="F46" s="768"/>
      <c r="G46" s="24"/>
      <c r="I46" s="279"/>
    </row>
    <row r="47" spans="1:9" s="12" customFormat="1" ht="13.5" customHeight="1">
      <c r="A47" s="11" t="s">
        <v>107</v>
      </c>
      <c r="B47" s="249" t="s">
        <v>108</v>
      </c>
      <c r="C47" s="31">
        <f>SUM(C48)</f>
        <v>63440</v>
      </c>
      <c r="D47" s="22"/>
      <c r="E47" s="31"/>
      <c r="F47" s="768"/>
      <c r="G47" s="24"/>
      <c r="I47" s="279"/>
    </row>
    <row r="48" spans="1:9" s="71" customFormat="1" ht="13.5" customHeight="1">
      <c r="A48" s="12" t="s">
        <v>47</v>
      </c>
      <c r="B48" s="23" t="s">
        <v>48</v>
      </c>
      <c r="C48" s="24">
        <v>63440</v>
      </c>
      <c r="D48" s="77"/>
      <c r="E48" s="25"/>
      <c r="F48" s="536"/>
      <c r="G48" s="24"/>
      <c r="H48" s="12"/>
      <c r="I48" s="265"/>
    </row>
    <row r="49" spans="1:9" s="71" customFormat="1" ht="13.5" customHeight="1">
      <c r="A49" s="11" t="s">
        <v>196</v>
      </c>
      <c r="B49" s="25" t="s">
        <v>195</v>
      </c>
      <c r="C49" s="31">
        <f>SUM(C50)</f>
        <v>8220</v>
      </c>
      <c r="D49" s="77"/>
      <c r="E49" s="25"/>
      <c r="F49" s="536"/>
      <c r="G49" s="24"/>
      <c r="H49" s="12"/>
      <c r="I49" s="265"/>
    </row>
    <row r="50" spans="1:9" s="5" customFormat="1" ht="13.5">
      <c r="A50" s="12" t="s">
        <v>194</v>
      </c>
      <c r="B50" s="71" t="s">
        <v>216</v>
      </c>
      <c r="C50" s="24">
        <v>8220</v>
      </c>
      <c r="D50" s="21"/>
      <c r="E50" s="21"/>
      <c r="F50" s="539"/>
      <c r="I50" s="280"/>
    </row>
    <row r="51" spans="1:9" s="5" customFormat="1" ht="13.5">
      <c r="A51" s="249" t="s">
        <v>119</v>
      </c>
      <c r="B51" s="249" t="s">
        <v>109</v>
      </c>
      <c r="C51" s="31">
        <f>SUM(C52)</f>
        <v>4370</v>
      </c>
      <c r="D51" s="21"/>
      <c r="E51" s="21"/>
      <c r="F51" s="539"/>
      <c r="I51" s="280"/>
    </row>
    <row r="52" spans="1:9" s="71" customFormat="1" ht="13.5" customHeight="1">
      <c r="A52" s="71" t="s">
        <v>149</v>
      </c>
      <c r="B52" s="23" t="s">
        <v>69</v>
      </c>
      <c r="C52" s="24">
        <v>4370</v>
      </c>
      <c r="D52" s="77"/>
      <c r="E52" s="25"/>
      <c r="F52" s="536"/>
      <c r="G52" s="24"/>
      <c r="H52" s="12"/>
      <c r="I52" s="265"/>
    </row>
    <row r="53" spans="1:9" s="71" customFormat="1" ht="13.5" customHeight="1">
      <c r="A53" s="249" t="s">
        <v>124</v>
      </c>
      <c r="B53" s="25" t="s">
        <v>123</v>
      </c>
      <c r="C53" s="31">
        <f>SUM(C54)</f>
        <v>30720</v>
      </c>
      <c r="D53" s="77"/>
      <c r="E53" s="25"/>
      <c r="F53" s="536"/>
      <c r="G53" s="24"/>
      <c r="H53" s="12"/>
      <c r="I53" s="265"/>
    </row>
    <row r="54" spans="1:9" s="71" customFormat="1" ht="13.5" customHeight="1">
      <c r="A54" s="71" t="s">
        <v>93</v>
      </c>
      <c r="B54" s="23" t="s">
        <v>72</v>
      </c>
      <c r="C54" s="24">
        <v>30720</v>
      </c>
      <c r="D54" s="77"/>
      <c r="E54" s="25"/>
      <c r="F54" s="536"/>
      <c r="G54" s="24"/>
      <c r="H54" s="12"/>
      <c r="I54" s="265"/>
    </row>
    <row r="55" spans="1:9" s="71" customFormat="1" ht="13.5" customHeight="1">
      <c r="A55" s="249" t="s">
        <v>150</v>
      </c>
      <c r="B55" s="25" t="s">
        <v>133</v>
      </c>
      <c r="C55" s="31">
        <f>SUM(C56:C58)</f>
        <v>53810</v>
      </c>
      <c r="D55" s="77"/>
      <c r="E55" s="25"/>
      <c r="F55" s="536"/>
      <c r="G55" s="24"/>
      <c r="H55" s="12"/>
      <c r="I55" s="265"/>
    </row>
    <row r="56" spans="1:9" s="71" customFormat="1" ht="13.5" customHeight="1">
      <c r="A56" s="71" t="s">
        <v>151</v>
      </c>
      <c r="B56" s="23" t="s">
        <v>65</v>
      </c>
      <c r="C56" s="24">
        <v>36100</v>
      </c>
      <c r="D56" s="77"/>
      <c r="E56" s="25"/>
      <c r="F56" s="536"/>
      <c r="G56" s="24"/>
      <c r="H56" s="12"/>
      <c r="I56" s="265"/>
    </row>
    <row r="57" spans="1:9" s="71" customFormat="1" ht="13.5" customHeight="1">
      <c r="A57" s="71" t="s">
        <v>152</v>
      </c>
      <c r="B57" s="23" t="s">
        <v>70</v>
      </c>
      <c r="C57" s="24">
        <v>4810</v>
      </c>
      <c r="D57" s="77"/>
      <c r="E57" s="25"/>
      <c r="F57" s="770"/>
      <c r="G57" s="24"/>
      <c r="H57" s="119"/>
      <c r="I57" s="265"/>
    </row>
    <row r="58" spans="1:9" s="274" customFormat="1" ht="13.5" customHeight="1">
      <c r="A58" s="71" t="s">
        <v>154</v>
      </c>
      <c r="B58" s="23" t="s">
        <v>133</v>
      </c>
      <c r="C58" s="24">
        <v>12900</v>
      </c>
      <c r="D58" s="285"/>
      <c r="E58" s="273"/>
      <c r="F58" s="624"/>
      <c r="I58" s="275"/>
    </row>
    <row r="59" spans="1:9" s="274" customFormat="1" ht="13.5" customHeight="1" thickBot="1">
      <c r="A59" s="71"/>
      <c r="B59" s="23"/>
      <c r="C59" s="23"/>
      <c r="D59" s="272"/>
      <c r="E59" s="273"/>
      <c r="F59" s="624"/>
      <c r="I59" s="275"/>
    </row>
    <row r="60" spans="1:9" s="274" customFormat="1" ht="13.5" customHeight="1" thickBot="1">
      <c r="A60" s="994" t="s">
        <v>3</v>
      </c>
      <c r="B60" s="995"/>
      <c r="C60" s="603">
        <f>C61+C63+C65+C68+C71+C73</f>
        <v>2808882</v>
      </c>
      <c r="D60" s="272"/>
      <c r="F60" s="769"/>
      <c r="I60" s="275"/>
    </row>
    <row r="61" spans="1:9" s="277" customFormat="1" ht="13.5" customHeight="1">
      <c r="A61" s="11" t="s">
        <v>110</v>
      </c>
      <c r="B61" s="510" t="s">
        <v>111</v>
      </c>
      <c r="C61" s="318">
        <f>SUM(C62)</f>
        <v>828500</v>
      </c>
      <c r="D61" s="276"/>
      <c r="E61" s="276"/>
      <c r="F61" s="536"/>
      <c r="I61" s="278"/>
    </row>
    <row r="62" spans="1:9" s="71" customFormat="1" ht="13.5" customHeight="1">
      <c r="A62" s="12" t="s">
        <v>52</v>
      </c>
      <c r="B62" s="12" t="s">
        <v>15</v>
      </c>
      <c r="C62" s="24">
        <v>828500</v>
      </c>
      <c r="D62" s="78"/>
      <c r="E62" s="25"/>
      <c r="F62" s="536"/>
      <c r="G62" s="24"/>
      <c r="H62" s="12"/>
      <c r="I62" s="265"/>
    </row>
    <row r="63" spans="1:9" s="71" customFormat="1" ht="13.5" customHeight="1">
      <c r="A63" s="11" t="s">
        <v>120</v>
      </c>
      <c r="B63" s="11" t="s">
        <v>121</v>
      </c>
      <c r="C63" s="31">
        <f>SUM(C64)</f>
        <v>82622</v>
      </c>
      <c r="D63" s="78"/>
      <c r="E63" s="25"/>
      <c r="F63" s="536"/>
      <c r="G63" s="24"/>
      <c r="H63" s="12"/>
      <c r="I63" s="265"/>
    </row>
    <row r="64" spans="1:9" s="142" customFormat="1" ht="13.5">
      <c r="A64" s="12" t="s">
        <v>136</v>
      </c>
      <c r="B64" s="12" t="s">
        <v>71</v>
      </c>
      <c r="C64" s="24">
        <f>72265+10357</f>
        <v>82622</v>
      </c>
      <c r="D64" s="31"/>
      <c r="E64" s="117"/>
      <c r="F64" s="768"/>
      <c r="I64" s="284"/>
    </row>
    <row r="65" spans="1:9" s="142" customFormat="1" ht="13.5">
      <c r="A65" s="11" t="s">
        <v>112</v>
      </c>
      <c r="B65" s="11" t="s">
        <v>156</v>
      </c>
      <c r="C65" s="31">
        <f>SUM(C66:C67)</f>
        <v>157500</v>
      </c>
      <c r="D65" s="31"/>
      <c r="E65" s="117"/>
      <c r="F65" s="768"/>
      <c r="I65" s="284"/>
    </row>
    <row r="66" spans="1:9" s="142" customFormat="1" ht="13.5">
      <c r="A66" s="12" t="s">
        <v>138</v>
      </c>
      <c r="B66" s="58" t="s">
        <v>810</v>
      </c>
      <c r="C66" s="24">
        <v>7500</v>
      </c>
      <c r="D66" s="24"/>
      <c r="E66" s="117"/>
      <c r="F66" s="768"/>
      <c r="I66" s="284"/>
    </row>
    <row r="67" spans="1:9" s="142" customFormat="1" ht="13.5">
      <c r="A67" s="12" t="s">
        <v>49</v>
      </c>
      <c r="B67" s="24" t="s">
        <v>87</v>
      </c>
      <c r="C67" s="24">
        <v>150000</v>
      </c>
      <c r="D67" s="24"/>
      <c r="E67" s="117"/>
      <c r="F67" s="768"/>
      <c r="I67" s="284"/>
    </row>
    <row r="68" spans="1:9" s="142" customFormat="1" ht="13.5">
      <c r="A68" s="11" t="s">
        <v>113</v>
      </c>
      <c r="B68" s="31" t="s">
        <v>114</v>
      </c>
      <c r="C68" s="31">
        <f>SUM(C69:C70)</f>
        <v>202160</v>
      </c>
      <c r="D68" s="24"/>
      <c r="E68" s="117"/>
      <c r="F68" s="768"/>
      <c r="I68" s="284"/>
    </row>
    <row r="69" spans="1:9" s="142" customFormat="1" ht="13.5">
      <c r="A69" s="12" t="s">
        <v>163</v>
      </c>
      <c r="B69" s="12" t="s">
        <v>74</v>
      </c>
      <c r="C69" s="24">
        <v>189600</v>
      </c>
      <c r="D69" s="24"/>
      <c r="E69" s="117"/>
      <c r="F69" s="768"/>
      <c r="I69" s="284"/>
    </row>
    <row r="70" spans="1:9" s="142" customFormat="1" ht="13.5">
      <c r="A70" s="12" t="s">
        <v>88</v>
      </c>
      <c r="B70" s="24" t="s">
        <v>64</v>
      </c>
      <c r="C70" s="24">
        <v>12560</v>
      </c>
      <c r="D70" s="25"/>
      <c r="E70" s="38"/>
      <c r="F70" s="768"/>
      <c r="I70" s="284"/>
    </row>
    <row r="71" spans="1:9" s="142" customFormat="1" ht="13.5">
      <c r="A71" s="11" t="s">
        <v>132</v>
      </c>
      <c r="B71" s="11" t="s">
        <v>56</v>
      </c>
      <c r="C71" s="31">
        <f>SUM(C72)</f>
        <v>12300</v>
      </c>
      <c r="D71" s="25"/>
      <c r="E71" s="38"/>
      <c r="F71" s="768"/>
      <c r="I71" s="284"/>
    </row>
    <row r="72" spans="1:9" s="142" customFormat="1" ht="13.5">
      <c r="A72" s="12" t="s">
        <v>55</v>
      </c>
      <c r="B72" s="12" t="s">
        <v>56</v>
      </c>
      <c r="C72" s="24">
        <v>12300</v>
      </c>
      <c r="D72" s="31"/>
      <c r="E72" s="117"/>
      <c r="F72" s="768"/>
      <c r="I72" s="284"/>
    </row>
    <row r="73" spans="1:9" s="142" customFormat="1" ht="13.5">
      <c r="A73" s="11" t="s">
        <v>115</v>
      </c>
      <c r="B73" s="31" t="s">
        <v>8</v>
      </c>
      <c r="C73" s="31">
        <f>SUM(C74:C78)</f>
        <v>1525800</v>
      </c>
      <c r="D73" s="31"/>
      <c r="E73" s="117"/>
      <c r="F73" s="768"/>
      <c r="I73" s="284"/>
    </row>
    <row r="74" spans="1:11" s="5" customFormat="1" ht="13.5">
      <c r="A74" s="12" t="s">
        <v>89</v>
      </c>
      <c r="B74" s="24" t="s">
        <v>8</v>
      </c>
      <c r="C74" s="24">
        <v>185700</v>
      </c>
      <c r="D74" s="77"/>
      <c r="E74" s="25"/>
      <c r="F74" s="767"/>
      <c r="G74" s="24"/>
      <c r="H74" s="24"/>
      <c r="I74" s="265"/>
      <c r="J74" s="71"/>
      <c r="K74" s="71"/>
    </row>
    <row r="75" spans="1:9" s="5" customFormat="1" ht="13.5">
      <c r="A75" s="12" t="s">
        <v>182</v>
      </c>
      <c r="B75" s="24" t="s">
        <v>50</v>
      </c>
      <c r="C75" s="24">
        <v>45650</v>
      </c>
      <c r="D75" s="24"/>
      <c r="E75" s="117"/>
      <c r="F75" s="768"/>
      <c r="I75" s="280"/>
    </row>
    <row r="76" spans="1:11" s="71" customFormat="1" ht="13.5" customHeight="1">
      <c r="A76" s="71" t="s">
        <v>225</v>
      </c>
      <c r="B76" s="24" t="s">
        <v>224</v>
      </c>
      <c r="C76" s="24">
        <v>7500</v>
      </c>
      <c r="D76" s="258"/>
      <c r="E76" s="258"/>
      <c r="F76" s="624"/>
      <c r="G76" s="262"/>
      <c r="H76" s="262"/>
      <c r="I76" s="263"/>
      <c r="J76" s="262"/>
      <c r="K76" s="262"/>
    </row>
    <row r="77" spans="1:11" s="71" customFormat="1" ht="13.5" customHeight="1">
      <c r="A77" s="12" t="s">
        <v>223</v>
      </c>
      <c r="B77" s="42" t="s">
        <v>222</v>
      </c>
      <c r="C77" s="59">
        <v>16000</v>
      </c>
      <c r="D77" s="258"/>
      <c r="E77" s="258"/>
      <c r="F77" s="624"/>
      <c r="G77" s="262"/>
      <c r="H77" s="262"/>
      <c r="I77" s="263"/>
      <c r="J77" s="262"/>
      <c r="K77" s="262"/>
    </row>
    <row r="78" spans="1:11" s="262" customFormat="1" ht="13.5" customHeight="1">
      <c r="A78" s="12" t="s">
        <v>90</v>
      </c>
      <c r="B78" s="24" t="s">
        <v>7</v>
      </c>
      <c r="C78" s="24">
        <v>1270950</v>
      </c>
      <c r="D78" s="24"/>
      <c r="E78" s="117"/>
      <c r="F78" s="768"/>
      <c r="G78" s="5"/>
      <c r="H78" s="5"/>
      <c r="I78" s="280"/>
      <c r="J78" s="5"/>
      <c r="K78" s="5"/>
    </row>
    <row r="79" spans="1:9" s="262" customFormat="1" ht="13.5" customHeight="1" thickBot="1">
      <c r="A79" s="12"/>
      <c r="B79" s="12"/>
      <c r="C79" s="24"/>
      <c r="D79" s="258"/>
      <c r="E79" s="258"/>
      <c r="F79" s="624"/>
      <c r="I79" s="263"/>
    </row>
    <row r="80" spans="1:9" s="125" customFormat="1" ht="13.5" customHeight="1" thickBot="1">
      <c r="A80" s="1007" t="s">
        <v>5</v>
      </c>
      <c r="B80" s="1008"/>
      <c r="C80" s="604">
        <f>C81+C83</f>
        <v>8569400</v>
      </c>
      <c r="D80" s="549"/>
      <c r="E80" s="829"/>
      <c r="F80" s="765"/>
      <c r="I80" s="260"/>
    </row>
    <row r="81" spans="1:9" s="121" customFormat="1" ht="13.5" customHeight="1">
      <c r="A81" s="11" t="s">
        <v>126</v>
      </c>
      <c r="B81" s="11" t="s">
        <v>127</v>
      </c>
      <c r="C81" s="32">
        <f>SUM(C82)</f>
        <v>8503600</v>
      </c>
      <c r="D81" s="547"/>
      <c r="E81" s="830"/>
      <c r="F81" s="771"/>
      <c r="I81" s="291"/>
    </row>
    <row r="82" spans="1:11" s="298" customFormat="1" ht="13.5" customHeight="1">
      <c r="A82" s="12" t="s">
        <v>285</v>
      </c>
      <c r="B82" s="12" t="s">
        <v>286</v>
      </c>
      <c r="C82" s="24">
        <v>8503600</v>
      </c>
      <c r="D82" s="546"/>
      <c r="E82" s="548"/>
      <c r="F82" s="765"/>
      <c r="G82" s="12"/>
      <c r="H82" s="12"/>
      <c r="I82" s="279"/>
      <c r="J82" s="12"/>
      <c r="K82" s="12"/>
    </row>
    <row r="83" spans="1:11" s="298" customFormat="1" ht="13.5" customHeight="1">
      <c r="A83" s="11" t="s">
        <v>128</v>
      </c>
      <c r="B83" s="11" t="s">
        <v>129</v>
      </c>
      <c r="C83" s="31">
        <f>SUM(C84)</f>
        <v>65800</v>
      </c>
      <c r="D83" s="546"/>
      <c r="E83" s="548"/>
      <c r="F83" s="765"/>
      <c r="G83" s="12"/>
      <c r="H83" s="12"/>
      <c r="I83" s="279"/>
      <c r="J83" s="12"/>
      <c r="K83" s="12"/>
    </row>
    <row r="84" spans="1:11" s="298" customFormat="1" ht="13.5" customHeight="1">
      <c r="A84" s="12" t="s">
        <v>287</v>
      </c>
      <c r="B84" s="12" t="s">
        <v>288</v>
      </c>
      <c r="C84" s="24">
        <v>65800</v>
      </c>
      <c r="D84" s="546"/>
      <c r="E84" s="548"/>
      <c r="F84" s="765"/>
      <c r="G84" s="12"/>
      <c r="H84" s="12"/>
      <c r="I84" s="279"/>
      <c r="J84" s="12"/>
      <c r="K84" s="12"/>
    </row>
    <row r="85" spans="1:9" s="125" customFormat="1" ht="13.5" customHeight="1" thickBot="1">
      <c r="A85" s="71"/>
      <c r="B85" s="71"/>
      <c r="C85" s="28"/>
      <c r="D85" s="259"/>
      <c r="E85" s="258"/>
      <c r="F85" s="624"/>
      <c r="I85" s="260"/>
    </row>
    <row r="86" spans="1:9" s="274" customFormat="1" ht="13.5" customHeight="1" thickBot="1">
      <c r="A86" s="996" t="s">
        <v>4</v>
      </c>
      <c r="B86" s="997"/>
      <c r="C86" s="605">
        <f>C89+C91+C87</f>
        <v>240200</v>
      </c>
      <c r="D86" s="272"/>
      <c r="F86" s="769"/>
      <c r="I86" s="275"/>
    </row>
    <row r="87" spans="1:8" s="8" customFormat="1" ht="13.5" customHeight="1">
      <c r="A87" s="249" t="s">
        <v>170</v>
      </c>
      <c r="B87" s="25" t="s">
        <v>169</v>
      </c>
      <c r="C87" s="31">
        <f>SUM(C88)</f>
        <v>10</v>
      </c>
      <c r="D87" s="77"/>
      <c r="E87" s="61"/>
      <c r="F87" s="98"/>
      <c r="G87" s="54"/>
      <c r="H87" s="42"/>
    </row>
    <row r="88" spans="1:8" s="8" customFormat="1" ht="13.5" customHeight="1">
      <c r="A88" s="71" t="s">
        <v>168</v>
      </c>
      <c r="B88" s="24" t="s">
        <v>167</v>
      </c>
      <c r="C88" s="24">
        <v>10</v>
      </c>
      <c r="D88" s="77"/>
      <c r="E88" s="61"/>
      <c r="F88" s="98"/>
      <c r="G88" s="54"/>
      <c r="H88" s="42"/>
    </row>
    <row r="89" spans="1:9" s="277" customFormat="1" ht="13.5" customHeight="1">
      <c r="A89" s="249" t="s">
        <v>116</v>
      </c>
      <c r="B89" s="510" t="s">
        <v>117</v>
      </c>
      <c r="C89" s="318">
        <f>SUM(C90)</f>
        <v>85190</v>
      </c>
      <c r="D89" s="276"/>
      <c r="E89" s="276"/>
      <c r="F89" s="536"/>
      <c r="I89" s="278"/>
    </row>
    <row r="90" spans="1:9" s="5" customFormat="1" ht="13.5">
      <c r="A90" s="71" t="s">
        <v>91</v>
      </c>
      <c r="B90" s="71" t="s">
        <v>139</v>
      </c>
      <c r="C90" s="24">
        <v>85190</v>
      </c>
      <c r="D90" s="21"/>
      <c r="E90" s="21"/>
      <c r="F90" s="539"/>
      <c r="I90" s="280"/>
    </row>
    <row r="91" spans="1:9" s="5" customFormat="1" ht="13.5">
      <c r="A91" s="249" t="s">
        <v>165</v>
      </c>
      <c r="B91" s="25" t="s">
        <v>134</v>
      </c>
      <c r="C91" s="31">
        <f>SUM(C92)</f>
        <v>155000</v>
      </c>
      <c r="D91" s="21"/>
      <c r="E91" s="21"/>
      <c r="F91" s="539"/>
      <c r="I91" s="280"/>
    </row>
    <row r="92" spans="1:9" s="5" customFormat="1" ht="13.5">
      <c r="A92" s="71" t="s">
        <v>166</v>
      </c>
      <c r="B92" s="23" t="s">
        <v>51</v>
      </c>
      <c r="C92" s="24">
        <v>155000</v>
      </c>
      <c r="D92" s="21"/>
      <c r="E92" s="21"/>
      <c r="F92" s="539"/>
      <c r="I92" s="280"/>
    </row>
    <row r="93" spans="1:9" s="5" customFormat="1" ht="13.5">
      <c r="A93" s="71"/>
      <c r="B93" s="23"/>
      <c r="C93" s="24"/>
      <c r="D93" s="21"/>
      <c r="E93" s="21"/>
      <c r="F93" s="539"/>
      <c r="I93" s="280"/>
    </row>
    <row r="94" spans="1:9" s="250" customFormat="1" ht="13.5" customHeight="1" thickBot="1">
      <c r="A94" s="257"/>
      <c r="B94" s="257"/>
      <c r="C94" s="258"/>
      <c r="D94" s="285"/>
      <c r="E94" s="283"/>
      <c r="F94" s="624"/>
      <c r="I94" s="251"/>
    </row>
    <row r="95" spans="1:9" s="125" customFormat="1" ht="13.5" customHeight="1">
      <c r="A95" s="988" t="s">
        <v>854</v>
      </c>
      <c r="B95" s="1009"/>
      <c r="C95" s="989"/>
      <c r="D95" s="626" t="s">
        <v>6</v>
      </c>
      <c r="E95" s="755">
        <v>1302</v>
      </c>
      <c r="F95" s="624"/>
      <c r="I95" s="260"/>
    </row>
    <row r="96" spans="1:9" s="125" customFormat="1" ht="13.5" customHeight="1" thickBot="1">
      <c r="A96" s="990"/>
      <c r="B96" s="1010"/>
      <c r="C96" s="991"/>
      <c r="D96" s="629"/>
      <c r="E96" s="696"/>
      <c r="F96" s="624"/>
      <c r="I96" s="260"/>
    </row>
    <row r="97" spans="1:9" s="125" customFormat="1" ht="13.5" customHeight="1">
      <c r="A97" s="1066" t="s">
        <v>855</v>
      </c>
      <c r="B97" s="1067"/>
      <c r="C97" s="1067"/>
      <c r="D97" s="1067"/>
      <c r="E97" s="1068"/>
      <c r="F97" s="624"/>
      <c r="I97" s="260"/>
    </row>
    <row r="98" spans="1:9" s="125" customFormat="1" ht="13.5" customHeight="1">
      <c r="A98" s="1069"/>
      <c r="B98" s="1070"/>
      <c r="C98" s="1070"/>
      <c r="D98" s="1070"/>
      <c r="E98" s="1071"/>
      <c r="F98" s="624"/>
      <c r="I98" s="260"/>
    </row>
    <row r="99" spans="1:9" s="125" customFormat="1" ht="13.5" customHeight="1">
      <c r="A99" s="1069"/>
      <c r="B99" s="1070"/>
      <c r="C99" s="1070"/>
      <c r="D99" s="1070"/>
      <c r="E99" s="1071"/>
      <c r="F99" s="624"/>
      <c r="I99" s="260"/>
    </row>
    <row r="100" spans="1:9" s="125" customFormat="1" ht="13.5" customHeight="1" thickBot="1">
      <c r="A100" s="1072"/>
      <c r="B100" s="1073"/>
      <c r="C100" s="1073"/>
      <c r="D100" s="1073"/>
      <c r="E100" s="1074"/>
      <c r="F100" s="624"/>
      <c r="I100" s="260"/>
    </row>
    <row r="101" spans="1:9" s="125" customFormat="1" ht="13.5" customHeight="1">
      <c r="A101" s="252" t="s">
        <v>809</v>
      </c>
      <c r="B101" s="52"/>
      <c r="C101" s="286"/>
      <c r="D101" s="261"/>
      <c r="E101" s="288"/>
      <c r="F101" s="624"/>
      <c r="I101" s="260"/>
    </row>
    <row r="102" spans="1:9" s="125" customFormat="1" ht="13.5" customHeight="1">
      <c r="A102" s="252" t="s">
        <v>856</v>
      </c>
      <c r="B102" s="52"/>
      <c r="C102" s="286"/>
      <c r="D102" s="261"/>
      <c r="E102" s="288"/>
      <c r="F102" s="624"/>
      <c r="I102" s="260"/>
    </row>
    <row r="103" spans="1:9" s="125" customFormat="1" ht="13.5" customHeight="1">
      <c r="A103" s="252" t="s">
        <v>857</v>
      </c>
      <c r="B103" s="52"/>
      <c r="C103" s="286"/>
      <c r="D103" s="261"/>
      <c r="E103" s="288"/>
      <c r="F103" s="624"/>
      <c r="I103" s="260"/>
    </row>
    <row r="104" spans="1:9" s="125" customFormat="1" ht="13.5" customHeight="1" thickBot="1">
      <c r="A104" s="252" t="s">
        <v>11</v>
      </c>
      <c r="B104" s="52"/>
      <c r="C104" s="286"/>
      <c r="D104" s="261"/>
      <c r="E104" s="288"/>
      <c r="F104" s="624"/>
      <c r="I104" s="260"/>
    </row>
    <row r="105" spans="1:9" s="125" customFormat="1" ht="13.5" customHeight="1" thickBot="1">
      <c r="A105" s="697" t="s">
        <v>0</v>
      </c>
      <c r="B105" s="698"/>
      <c r="C105" s="699"/>
      <c r="D105" s="700"/>
      <c r="E105" s="701">
        <f>(C107+C120+C134)</f>
        <v>2538840</v>
      </c>
      <c r="F105" s="624"/>
      <c r="I105" s="260"/>
    </row>
    <row r="106" spans="1:9" s="125" customFormat="1" ht="13.5" customHeight="1" thickBot="1">
      <c r="A106" s="257"/>
      <c r="B106" s="257"/>
      <c r="C106" s="297"/>
      <c r="D106" s="297"/>
      <c r="E106" s="297"/>
      <c r="F106" s="624"/>
      <c r="I106" s="260"/>
    </row>
    <row r="107" spans="1:9" s="125" customFormat="1" ht="13.5" customHeight="1" thickBot="1">
      <c r="A107" s="992" t="s">
        <v>2</v>
      </c>
      <c r="B107" s="993"/>
      <c r="C107" s="602">
        <f>C108+C110+C112+C114+C116</f>
        <v>114350</v>
      </c>
      <c r="D107" s="297"/>
      <c r="E107" s="297"/>
      <c r="F107" s="624"/>
      <c r="I107" s="260"/>
    </row>
    <row r="108" spans="1:9" s="125" customFormat="1" ht="13.5" customHeight="1">
      <c r="A108" s="11" t="s">
        <v>103</v>
      </c>
      <c r="B108" s="510" t="s">
        <v>104</v>
      </c>
      <c r="C108" s="318">
        <f>SUM(C109)</f>
        <v>15630</v>
      </c>
      <c r="D108" s="297"/>
      <c r="E108" s="297"/>
      <c r="F108" s="624"/>
      <c r="I108" s="260"/>
    </row>
    <row r="109" spans="1:9" s="125" customFormat="1" ht="13.5" customHeight="1">
      <c r="A109" s="12" t="s">
        <v>46</v>
      </c>
      <c r="B109" s="71" t="s">
        <v>45</v>
      </c>
      <c r="C109" s="24">
        <v>15630</v>
      </c>
      <c r="D109" s="297"/>
      <c r="E109" s="297"/>
      <c r="F109" s="624"/>
      <c r="I109" s="260"/>
    </row>
    <row r="110" spans="1:9" s="125" customFormat="1" ht="13.5" customHeight="1">
      <c r="A110" s="11" t="s">
        <v>107</v>
      </c>
      <c r="B110" s="249" t="s">
        <v>108</v>
      </c>
      <c r="C110" s="31">
        <f>SUM(C111)</f>
        <v>57000</v>
      </c>
      <c r="D110" s="297"/>
      <c r="E110" s="297"/>
      <c r="F110" s="624"/>
      <c r="I110" s="260"/>
    </row>
    <row r="111" spans="1:9" s="125" customFormat="1" ht="13.5" customHeight="1">
      <c r="A111" s="12" t="s">
        <v>47</v>
      </c>
      <c r="B111" s="23" t="s">
        <v>48</v>
      </c>
      <c r="C111" s="24">
        <v>57000</v>
      </c>
      <c r="D111" s="297"/>
      <c r="E111" s="297"/>
      <c r="F111" s="624"/>
      <c r="I111" s="260"/>
    </row>
    <row r="112" spans="1:9" s="125" customFormat="1" ht="13.5" customHeight="1">
      <c r="A112" s="249" t="s">
        <v>119</v>
      </c>
      <c r="B112" s="505" t="s">
        <v>192</v>
      </c>
      <c r="C112" s="31">
        <f>SUM(C113:C113)</f>
        <v>18560</v>
      </c>
      <c r="D112" s="297"/>
      <c r="E112" s="297"/>
      <c r="F112" s="624"/>
      <c r="I112" s="260"/>
    </row>
    <row r="113" spans="1:9" s="125" customFormat="1" ht="13.5" customHeight="1">
      <c r="A113" s="12" t="s">
        <v>545</v>
      </c>
      <c r="B113" s="42" t="s">
        <v>558</v>
      </c>
      <c r="C113" s="24">
        <v>18560</v>
      </c>
      <c r="D113" s="297"/>
      <c r="E113" s="297"/>
      <c r="F113" s="624"/>
      <c r="I113" s="260"/>
    </row>
    <row r="114" spans="1:9" s="125" customFormat="1" ht="13.5" customHeight="1">
      <c r="A114" s="249" t="s">
        <v>124</v>
      </c>
      <c r="B114" s="25" t="s">
        <v>123</v>
      </c>
      <c r="C114" s="31">
        <f>SUM(C115)</f>
        <v>10200</v>
      </c>
      <c r="D114" s="297"/>
      <c r="E114" s="297"/>
      <c r="F114" s="624"/>
      <c r="I114" s="260"/>
    </row>
    <row r="115" spans="1:9" s="125" customFormat="1" ht="13.5" customHeight="1">
      <c r="A115" s="71" t="s">
        <v>93</v>
      </c>
      <c r="B115" s="23" t="s">
        <v>72</v>
      </c>
      <c r="C115" s="24">
        <v>10200</v>
      </c>
      <c r="D115" s="297"/>
      <c r="E115" s="297"/>
      <c r="F115" s="624"/>
      <c r="I115" s="260"/>
    </row>
    <row r="116" spans="1:9" s="125" customFormat="1" ht="13.5" customHeight="1">
      <c r="A116" s="249" t="s">
        <v>150</v>
      </c>
      <c r="B116" s="25" t="s">
        <v>133</v>
      </c>
      <c r="C116" s="31">
        <f>SUM(C117:C118)</f>
        <v>12960</v>
      </c>
      <c r="D116" s="297"/>
      <c r="E116" s="297"/>
      <c r="F116" s="624"/>
      <c r="I116" s="260"/>
    </row>
    <row r="117" spans="1:9" s="125" customFormat="1" ht="13.5" customHeight="1">
      <c r="A117" s="71" t="s">
        <v>151</v>
      </c>
      <c r="B117" s="23" t="s">
        <v>65</v>
      </c>
      <c r="C117" s="24">
        <v>8070</v>
      </c>
      <c r="D117" s="297"/>
      <c r="E117" s="297"/>
      <c r="F117" s="624"/>
      <c r="I117" s="260"/>
    </row>
    <row r="118" spans="1:9" s="125" customFormat="1" ht="13.5" customHeight="1">
      <c r="A118" s="71" t="s">
        <v>154</v>
      </c>
      <c r="B118" s="23" t="s">
        <v>133</v>
      </c>
      <c r="C118" s="24">
        <v>4890</v>
      </c>
      <c r="D118" s="297"/>
      <c r="E118" s="297"/>
      <c r="F118" s="624"/>
      <c r="I118" s="260"/>
    </row>
    <row r="119" spans="1:9" s="125" customFormat="1" ht="13.5" customHeight="1" thickBot="1">
      <c r="A119" s="257"/>
      <c r="B119" s="257"/>
      <c r="C119" s="258"/>
      <c r="D119" s="297"/>
      <c r="E119" s="297"/>
      <c r="F119" s="624"/>
      <c r="I119" s="260"/>
    </row>
    <row r="120" spans="1:9" s="125" customFormat="1" ht="13.5" customHeight="1" thickBot="1">
      <c r="A120" s="994" t="s">
        <v>3</v>
      </c>
      <c r="B120" s="995"/>
      <c r="C120" s="603">
        <f>+C121+C123+C126+C129</f>
        <v>2346830</v>
      </c>
      <c r="D120" s="297"/>
      <c r="E120" s="297"/>
      <c r="F120" s="624"/>
      <c r="I120" s="260"/>
    </row>
    <row r="121" spans="1:9" s="125" customFormat="1" ht="13.5" customHeight="1">
      <c r="A121" s="11" t="s">
        <v>120</v>
      </c>
      <c r="B121" s="11" t="s">
        <v>121</v>
      </c>
      <c r="C121" s="31">
        <f>SUM(C122)</f>
        <v>170300</v>
      </c>
      <c r="D121" s="297"/>
      <c r="E121" s="297"/>
      <c r="F121" s="624"/>
      <c r="I121" s="260"/>
    </row>
    <row r="122" spans="1:9" s="125" customFormat="1" ht="13.5" customHeight="1">
      <c r="A122" s="12" t="s">
        <v>136</v>
      </c>
      <c r="B122" s="12" t="s">
        <v>71</v>
      </c>
      <c r="C122" s="24">
        <v>170300</v>
      </c>
      <c r="D122" s="772"/>
      <c r="E122" s="297"/>
      <c r="F122" s="624"/>
      <c r="I122" s="260"/>
    </row>
    <row r="123" spans="1:9" s="125" customFormat="1" ht="13.5" customHeight="1">
      <c r="A123" s="11" t="s">
        <v>112</v>
      </c>
      <c r="B123" s="11" t="s">
        <v>156</v>
      </c>
      <c r="C123" s="31">
        <f>SUM(C124:C125)</f>
        <v>2101220</v>
      </c>
      <c r="D123" s="297"/>
      <c r="E123" s="297"/>
      <c r="F123" s="624"/>
      <c r="I123" s="260"/>
    </row>
    <row r="124" spans="1:9" s="125" customFormat="1" ht="13.5" customHeight="1">
      <c r="A124" s="12" t="s">
        <v>138</v>
      </c>
      <c r="B124" s="58" t="s">
        <v>810</v>
      </c>
      <c r="C124" s="24">
        <v>14660</v>
      </c>
      <c r="D124" s="297"/>
      <c r="E124" s="297"/>
      <c r="F124" s="624"/>
      <c r="I124" s="260"/>
    </row>
    <row r="125" spans="1:9" s="125" customFormat="1" ht="13.5" customHeight="1">
      <c r="A125" s="12" t="s">
        <v>49</v>
      </c>
      <c r="B125" s="24" t="s">
        <v>87</v>
      </c>
      <c r="C125" s="24">
        <v>2086560</v>
      </c>
      <c r="D125" s="772"/>
      <c r="E125" s="297"/>
      <c r="F125" s="624"/>
      <c r="I125" s="260"/>
    </row>
    <row r="126" spans="1:9" s="125" customFormat="1" ht="13.5" customHeight="1">
      <c r="A126" s="11" t="s">
        <v>113</v>
      </c>
      <c r="B126" s="31" t="s">
        <v>114</v>
      </c>
      <c r="C126" s="31">
        <f>SUM(C127:C128)</f>
        <v>6310</v>
      </c>
      <c r="D126" s="297"/>
      <c r="E126" s="297"/>
      <c r="F126" s="624"/>
      <c r="I126" s="260"/>
    </row>
    <row r="127" spans="1:9" s="125" customFormat="1" ht="13.5" customHeight="1">
      <c r="A127" s="12" t="s">
        <v>163</v>
      </c>
      <c r="B127" s="12" t="s">
        <v>74</v>
      </c>
      <c r="C127" s="24">
        <v>3000</v>
      </c>
      <c r="D127" s="297"/>
      <c r="E127" s="297"/>
      <c r="F127" s="624"/>
      <c r="I127" s="260"/>
    </row>
    <row r="128" spans="1:9" s="125" customFormat="1" ht="13.5" customHeight="1">
      <c r="A128" s="12" t="s">
        <v>88</v>
      </c>
      <c r="B128" s="24" t="s">
        <v>64</v>
      </c>
      <c r="C128" s="24">
        <v>3310</v>
      </c>
      <c r="D128" s="297"/>
      <c r="E128" s="297"/>
      <c r="F128" s="624"/>
      <c r="I128" s="260"/>
    </row>
    <row r="129" spans="1:9" s="125" customFormat="1" ht="13.5" customHeight="1">
      <c r="A129" s="11" t="s">
        <v>115</v>
      </c>
      <c r="B129" s="31" t="s">
        <v>8</v>
      </c>
      <c r="C129" s="31">
        <f>SUM(C130:C132)</f>
        <v>69000</v>
      </c>
      <c r="D129" s="297"/>
      <c r="E129" s="297"/>
      <c r="F129" s="624"/>
      <c r="I129" s="260"/>
    </row>
    <row r="130" spans="1:9" s="125" customFormat="1" ht="13.5" customHeight="1">
      <c r="A130" s="12" t="s">
        <v>92</v>
      </c>
      <c r="B130" s="24" t="s">
        <v>8</v>
      </c>
      <c r="C130" s="24">
        <v>48000</v>
      </c>
      <c r="D130" s="297"/>
      <c r="E130" s="297"/>
      <c r="F130" s="624"/>
      <c r="I130" s="260"/>
    </row>
    <row r="131" spans="1:9" s="125" customFormat="1" ht="13.5" customHeight="1">
      <c r="A131" s="12" t="s">
        <v>94</v>
      </c>
      <c r="B131" s="24" t="s">
        <v>50</v>
      </c>
      <c r="C131" s="24">
        <v>6500</v>
      </c>
      <c r="D131" s="297"/>
      <c r="E131" s="297"/>
      <c r="F131" s="624"/>
      <c r="I131" s="260"/>
    </row>
    <row r="132" spans="1:9" s="125" customFormat="1" ht="13.5" customHeight="1">
      <c r="A132" s="12" t="s">
        <v>90</v>
      </c>
      <c r="B132" s="24" t="s">
        <v>7</v>
      </c>
      <c r="C132" s="24">
        <v>14500</v>
      </c>
      <c r="D132" s="297"/>
      <c r="E132" s="297"/>
      <c r="F132" s="624"/>
      <c r="I132" s="260"/>
    </row>
    <row r="133" spans="1:9" s="125" customFormat="1" ht="13.5" customHeight="1" thickBot="1">
      <c r="A133" s="12"/>
      <c r="B133" s="24"/>
      <c r="C133" s="24"/>
      <c r="D133" s="297"/>
      <c r="E133" s="297"/>
      <c r="F133" s="624"/>
      <c r="I133" s="260"/>
    </row>
    <row r="134" spans="1:9" s="125" customFormat="1" ht="13.5" customHeight="1" thickBot="1">
      <c r="A134" s="996" t="s">
        <v>4</v>
      </c>
      <c r="B134" s="997"/>
      <c r="C134" s="605">
        <f>C135+C138</f>
        <v>77660</v>
      </c>
      <c r="D134" s="297"/>
      <c r="E134" s="297"/>
      <c r="F134" s="624"/>
      <c r="I134" s="260"/>
    </row>
    <row r="135" spans="1:9" s="125" customFormat="1" ht="13.5" customHeight="1">
      <c r="A135" s="249" t="s">
        <v>116</v>
      </c>
      <c r="B135" s="510" t="s">
        <v>117</v>
      </c>
      <c r="C135" s="318">
        <f>SUM(C136:C137)</f>
        <v>62900</v>
      </c>
      <c r="D135" s="297"/>
      <c r="E135" s="297"/>
      <c r="F135" s="624"/>
      <c r="I135" s="260"/>
    </row>
    <row r="136" spans="1:9" s="125" customFormat="1" ht="13.5" customHeight="1">
      <c r="A136" s="71" t="s">
        <v>91</v>
      </c>
      <c r="B136" s="71" t="s">
        <v>139</v>
      </c>
      <c r="C136" s="24">
        <v>42400</v>
      </c>
      <c r="D136" s="297"/>
      <c r="E136" s="297"/>
      <c r="F136" s="624"/>
      <c r="I136" s="260"/>
    </row>
    <row r="137" spans="1:9" s="125" customFormat="1" ht="13.5" customHeight="1">
      <c r="A137" s="71" t="s">
        <v>161</v>
      </c>
      <c r="B137" s="42" t="s">
        <v>162</v>
      </c>
      <c r="C137" s="24">
        <v>20500</v>
      </c>
      <c r="D137" s="297"/>
      <c r="E137" s="297"/>
      <c r="F137" s="624"/>
      <c r="I137" s="260"/>
    </row>
    <row r="138" spans="1:9" s="125" customFormat="1" ht="13.5" customHeight="1">
      <c r="A138" s="249" t="s">
        <v>165</v>
      </c>
      <c r="B138" s="25" t="s">
        <v>134</v>
      </c>
      <c r="C138" s="31">
        <f>SUM(C139)</f>
        <v>14760</v>
      </c>
      <c r="D138" s="297"/>
      <c r="E138" s="297"/>
      <c r="F138" s="624"/>
      <c r="I138" s="260"/>
    </row>
    <row r="139" spans="1:9" s="125" customFormat="1" ht="13.5" customHeight="1">
      <c r="A139" s="71" t="s">
        <v>166</v>
      </c>
      <c r="B139" s="23" t="s">
        <v>51</v>
      </c>
      <c r="C139" s="24">
        <v>14760</v>
      </c>
      <c r="D139" s="297"/>
      <c r="E139" s="297"/>
      <c r="F139" s="624"/>
      <c r="I139" s="260"/>
    </row>
    <row r="140" spans="1:9" s="125" customFormat="1" ht="13.5" customHeight="1">
      <c r="A140" s="257"/>
      <c r="B140" s="257"/>
      <c r="C140" s="297"/>
      <c r="D140" s="297"/>
      <c r="E140" s="297"/>
      <c r="F140" s="624"/>
      <c r="I140" s="260"/>
    </row>
    <row r="141" spans="1:9" s="125" customFormat="1" ht="13.5" customHeight="1" thickBot="1">
      <c r="A141" s="257"/>
      <c r="B141" s="257"/>
      <c r="C141" s="297"/>
      <c r="D141" s="297"/>
      <c r="E141" s="297"/>
      <c r="F141" s="624"/>
      <c r="I141" s="260"/>
    </row>
    <row r="142" spans="1:9" s="125" customFormat="1" ht="13.5" customHeight="1">
      <c r="A142" s="988" t="s">
        <v>858</v>
      </c>
      <c r="B142" s="1009"/>
      <c r="C142" s="989"/>
      <c r="D142" s="626" t="s">
        <v>6</v>
      </c>
      <c r="E142" s="785">
        <v>1303</v>
      </c>
      <c r="F142" s="624"/>
      <c r="I142" s="260"/>
    </row>
    <row r="143" spans="1:9" s="125" customFormat="1" ht="13.5" customHeight="1" thickBot="1">
      <c r="A143" s="990"/>
      <c r="B143" s="1010"/>
      <c r="C143" s="991"/>
      <c r="D143" s="629"/>
      <c r="E143" s="696"/>
      <c r="F143" s="624"/>
      <c r="I143" s="260"/>
    </row>
    <row r="144" spans="1:9" s="125" customFormat="1" ht="13.5" customHeight="1">
      <c r="A144" s="1058" t="s">
        <v>859</v>
      </c>
      <c r="B144" s="1059"/>
      <c r="C144" s="1059"/>
      <c r="D144" s="1059"/>
      <c r="E144" s="1060"/>
      <c r="F144" s="624"/>
      <c r="I144" s="260"/>
    </row>
    <row r="145" spans="1:9" s="125" customFormat="1" ht="13.5" customHeight="1" thickBot="1">
      <c r="A145" s="1061"/>
      <c r="B145" s="1062"/>
      <c r="C145" s="1062"/>
      <c r="D145" s="1062"/>
      <c r="E145" s="1063"/>
      <c r="F145" s="624"/>
      <c r="I145" s="260"/>
    </row>
    <row r="146" spans="1:9" s="125" customFormat="1" ht="13.5" customHeight="1">
      <c r="A146" s="252" t="s">
        <v>809</v>
      </c>
      <c r="B146" s="52"/>
      <c r="C146" s="286"/>
      <c r="D146" s="261"/>
      <c r="E146" s="288"/>
      <c r="F146" s="624"/>
      <c r="I146" s="260"/>
    </row>
    <row r="147" spans="1:9" s="125" customFormat="1" ht="13.5" customHeight="1">
      <c r="A147" s="252" t="s">
        <v>860</v>
      </c>
      <c r="B147" s="52"/>
      <c r="C147" s="286"/>
      <c r="D147" s="261"/>
      <c r="E147" s="288"/>
      <c r="F147" s="624"/>
      <c r="I147" s="260"/>
    </row>
    <row r="148" spans="1:9" s="125" customFormat="1" ht="13.5" customHeight="1">
      <c r="A148" s="252" t="s">
        <v>861</v>
      </c>
      <c r="B148" s="52"/>
      <c r="C148" s="286"/>
      <c r="D148" s="261"/>
      <c r="E148" s="288"/>
      <c r="F148" s="624"/>
      <c r="I148" s="260"/>
    </row>
    <row r="149" spans="1:9" s="125" customFormat="1" ht="13.5" customHeight="1" thickBot="1">
      <c r="A149" s="252" t="s">
        <v>11</v>
      </c>
      <c r="B149" s="52"/>
      <c r="C149" s="286"/>
      <c r="D149" s="261"/>
      <c r="E149" s="288"/>
      <c r="F149" s="624"/>
      <c r="I149" s="260"/>
    </row>
    <row r="150" spans="1:9" s="125" customFormat="1" ht="13.5" customHeight="1" thickBot="1">
      <c r="A150" s="697" t="s">
        <v>0</v>
      </c>
      <c r="B150" s="698"/>
      <c r="C150" s="699"/>
      <c r="D150" s="700"/>
      <c r="E150" s="701">
        <f>(C152+C165+C179)</f>
        <v>1416840</v>
      </c>
      <c r="F150" s="624"/>
      <c r="I150" s="260"/>
    </row>
    <row r="151" spans="1:9" s="125" customFormat="1" ht="13.5" customHeight="1" thickBot="1">
      <c r="A151" s="257"/>
      <c r="B151" s="257"/>
      <c r="C151" s="297"/>
      <c r="D151" s="297"/>
      <c r="E151" s="297"/>
      <c r="F151" s="624"/>
      <c r="I151" s="260"/>
    </row>
    <row r="152" spans="1:9" s="125" customFormat="1" ht="13.5" customHeight="1" thickBot="1">
      <c r="A152" s="992" t="s">
        <v>2</v>
      </c>
      <c r="B152" s="993"/>
      <c r="C152" s="602">
        <f>C153+C155+C157+C159+C161</f>
        <v>57160</v>
      </c>
      <c r="D152" s="297"/>
      <c r="E152" s="297"/>
      <c r="F152" s="624"/>
      <c r="I152" s="260"/>
    </row>
    <row r="153" spans="1:9" s="125" customFormat="1" ht="13.5" customHeight="1">
      <c r="A153" s="11" t="s">
        <v>103</v>
      </c>
      <c r="B153" s="510" t="s">
        <v>104</v>
      </c>
      <c r="C153" s="318">
        <f>SUM(C154)</f>
        <v>6100</v>
      </c>
      <c r="D153" s="297"/>
      <c r="E153" s="297"/>
      <c r="F153" s="624"/>
      <c r="I153" s="260"/>
    </row>
    <row r="154" spans="1:9" s="125" customFormat="1" ht="13.5" customHeight="1">
      <c r="A154" s="12" t="s">
        <v>46</v>
      </c>
      <c r="B154" s="71" t="s">
        <v>45</v>
      </c>
      <c r="C154" s="24">
        <v>6100</v>
      </c>
      <c r="D154" s="297"/>
      <c r="E154" s="297"/>
      <c r="F154" s="624"/>
      <c r="I154" s="260"/>
    </row>
    <row r="155" spans="1:9" s="125" customFormat="1" ht="13.5" customHeight="1">
      <c r="A155" s="11" t="s">
        <v>107</v>
      </c>
      <c r="B155" s="249" t="s">
        <v>108</v>
      </c>
      <c r="C155" s="31">
        <f>SUM(C156)</f>
        <v>22050</v>
      </c>
      <c r="D155" s="297"/>
      <c r="E155" s="297"/>
      <c r="F155" s="624"/>
      <c r="I155" s="260"/>
    </row>
    <row r="156" spans="1:9" s="125" customFormat="1" ht="13.5" customHeight="1">
      <c r="A156" s="12" t="s">
        <v>47</v>
      </c>
      <c r="B156" s="23" t="s">
        <v>48</v>
      </c>
      <c r="C156" s="24">
        <v>22050</v>
      </c>
      <c r="D156" s="297"/>
      <c r="E156" s="297"/>
      <c r="F156" s="624"/>
      <c r="I156" s="260"/>
    </row>
    <row r="157" spans="1:9" s="125" customFormat="1" ht="13.5" customHeight="1">
      <c r="A157" s="249" t="s">
        <v>119</v>
      </c>
      <c r="B157" s="505" t="s">
        <v>192</v>
      </c>
      <c r="C157" s="31">
        <f>SUM(C158:C158)</f>
        <v>12300</v>
      </c>
      <c r="D157" s="297"/>
      <c r="E157" s="297"/>
      <c r="F157" s="624"/>
      <c r="I157" s="260"/>
    </row>
    <row r="158" spans="1:9" s="125" customFormat="1" ht="13.5" customHeight="1">
      <c r="A158" s="12" t="s">
        <v>545</v>
      </c>
      <c r="B158" s="42" t="s">
        <v>558</v>
      </c>
      <c r="C158" s="24">
        <v>12300</v>
      </c>
      <c r="D158" s="297"/>
      <c r="E158" s="297"/>
      <c r="F158" s="624"/>
      <c r="I158" s="260"/>
    </row>
    <row r="159" spans="1:9" s="125" customFormat="1" ht="13.5" customHeight="1">
      <c r="A159" s="249" t="s">
        <v>124</v>
      </c>
      <c r="B159" s="25" t="s">
        <v>123</v>
      </c>
      <c r="C159" s="31">
        <f>SUM(C160)</f>
        <v>8950</v>
      </c>
      <c r="D159" s="297"/>
      <c r="E159" s="297"/>
      <c r="F159" s="624"/>
      <c r="I159" s="260"/>
    </row>
    <row r="160" spans="1:9" s="125" customFormat="1" ht="13.5" customHeight="1">
      <c r="A160" s="71" t="s">
        <v>93</v>
      </c>
      <c r="B160" s="23" t="s">
        <v>72</v>
      </c>
      <c r="C160" s="24">
        <v>8950</v>
      </c>
      <c r="D160" s="297"/>
      <c r="E160" s="297"/>
      <c r="F160" s="624"/>
      <c r="I160" s="260"/>
    </row>
    <row r="161" spans="1:9" s="125" customFormat="1" ht="13.5" customHeight="1">
      <c r="A161" s="249" t="s">
        <v>150</v>
      </c>
      <c r="B161" s="25" t="s">
        <v>133</v>
      </c>
      <c r="C161" s="31">
        <f>SUM(C162:C163)</f>
        <v>7760</v>
      </c>
      <c r="D161" s="297"/>
      <c r="E161" s="297"/>
      <c r="F161" s="624"/>
      <c r="I161" s="260"/>
    </row>
    <row r="162" spans="1:9" s="125" customFormat="1" ht="13.5" customHeight="1">
      <c r="A162" s="71" t="s">
        <v>151</v>
      </c>
      <c r="B162" s="23" t="s">
        <v>65</v>
      </c>
      <c r="C162" s="24">
        <v>3120</v>
      </c>
      <c r="D162" s="297"/>
      <c r="E162" s="297"/>
      <c r="F162" s="624"/>
      <c r="I162" s="260"/>
    </row>
    <row r="163" spans="1:9" s="125" customFormat="1" ht="13.5" customHeight="1">
      <c r="A163" s="71" t="s">
        <v>154</v>
      </c>
      <c r="B163" s="23" t="s">
        <v>133</v>
      </c>
      <c r="C163" s="24">
        <v>4640</v>
      </c>
      <c r="D163" s="297"/>
      <c r="E163" s="297"/>
      <c r="F163" s="624"/>
      <c r="I163" s="260"/>
    </row>
    <row r="164" spans="1:9" s="125" customFormat="1" ht="13.5" customHeight="1" thickBot="1">
      <c r="A164" s="257"/>
      <c r="B164" s="257"/>
      <c r="C164" s="258"/>
      <c r="D164" s="297"/>
      <c r="E164" s="297"/>
      <c r="F164" s="624"/>
      <c r="I164" s="260"/>
    </row>
    <row r="165" spans="1:9" s="125" customFormat="1" ht="13.5" customHeight="1" thickBot="1">
      <c r="A165" s="994" t="s">
        <v>3</v>
      </c>
      <c r="B165" s="995"/>
      <c r="C165" s="603">
        <f>+C166+C168+C171+C174</f>
        <v>1306630</v>
      </c>
      <c r="D165" s="297"/>
      <c r="E165" s="297"/>
      <c r="F165" s="624"/>
      <c r="I165" s="260"/>
    </row>
    <row r="166" spans="1:9" s="125" customFormat="1" ht="13.5" customHeight="1">
      <c r="A166" s="11" t="s">
        <v>120</v>
      </c>
      <c r="B166" s="11" t="s">
        <v>121</v>
      </c>
      <c r="C166" s="31">
        <f>SUM(C167)</f>
        <v>12500</v>
      </c>
      <c r="D166" s="297"/>
      <c r="E166" s="297"/>
      <c r="F166" s="624"/>
      <c r="I166" s="260"/>
    </row>
    <row r="167" spans="1:9" s="125" customFormat="1" ht="13.5" customHeight="1">
      <c r="A167" s="12" t="s">
        <v>136</v>
      </c>
      <c r="B167" s="12" t="s">
        <v>71</v>
      </c>
      <c r="C167" s="24">
        <v>12500</v>
      </c>
      <c r="D167" s="297"/>
      <c r="E167" s="297"/>
      <c r="F167" s="624"/>
      <c r="I167" s="260"/>
    </row>
    <row r="168" spans="1:9" s="125" customFormat="1" ht="13.5" customHeight="1">
      <c r="A168" s="11" t="s">
        <v>112</v>
      </c>
      <c r="B168" s="11" t="s">
        <v>156</v>
      </c>
      <c r="C168" s="31">
        <f>SUM(C169:C170)</f>
        <v>784430</v>
      </c>
      <c r="D168" s="297"/>
      <c r="E168" s="297"/>
      <c r="F168" s="624"/>
      <c r="I168" s="260"/>
    </row>
    <row r="169" spans="1:9" s="125" customFormat="1" ht="13.5" customHeight="1">
      <c r="A169" s="12" t="s">
        <v>138</v>
      </c>
      <c r="B169" s="58" t="s">
        <v>810</v>
      </c>
      <c r="C169" s="24">
        <v>8780</v>
      </c>
      <c r="D169" s="297"/>
      <c r="E169" s="297"/>
      <c r="F169" s="624"/>
      <c r="I169" s="260"/>
    </row>
    <row r="170" spans="1:9" s="125" customFormat="1" ht="13.5" customHeight="1">
      <c r="A170" s="12" t="s">
        <v>49</v>
      </c>
      <c r="B170" s="24" t="s">
        <v>87</v>
      </c>
      <c r="C170" s="24">
        <v>775650</v>
      </c>
      <c r="D170" s="297"/>
      <c r="E170" s="297"/>
      <c r="F170" s="624"/>
      <c r="I170" s="260"/>
    </row>
    <row r="171" spans="1:9" s="125" customFormat="1" ht="13.5" customHeight="1">
      <c r="A171" s="11" t="s">
        <v>113</v>
      </c>
      <c r="B171" s="31" t="s">
        <v>114</v>
      </c>
      <c r="C171" s="31">
        <f>SUM(C172:C173)</f>
        <v>31700</v>
      </c>
      <c r="D171" s="297"/>
      <c r="E171" s="297"/>
      <c r="F171" s="624"/>
      <c r="I171" s="260"/>
    </row>
    <row r="172" spans="1:9" s="125" customFormat="1" ht="13.5" customHeight="1">
      <c r="A172" s="12" t="s">
        <v>163</v>
      </c>
      <c r="B172" s="12" t="s">
        <v>74</v>
      </c>
      <c r="C172" s="24">
        <v>7500</v>
      </c>
      <c r="D172" s="297"/>
      <c r="E172" s="297"/>
      <c r="F172" s="624"/>
      <c r="I172" s="260"/>
    </row>
    <row r="173" spans="1:9" s="125" customFormat="1" ht="13.5" customHeight="1">
      <c r="A173" s="12" t="s">
        <v>88</v>
      </c>
      <c r="B173" s="24" t="s">
        <v>64</v>
      </c>
      <c r="C173" s="24">
        <v>24200</v>
      </c>
      <c r="D173" s="297"/>
      <c r="E173" s="297"/>
      <c r="F173" s="624"/>
      <c r="I173" s="260"/>
    </row>
    <row r="174" spans="1:9" s="125" customFormat="1" ht="13.5" customHeight="1">
      <c r="A174" s="11" t="s">
        <v>115</v>
      </c>
      <c r="B174" s="31" t="s">
        <v>8</v>
      </c>
      <c r="C174" s="31">
        <f>SUM(C175:C177)</f>
        <v>478000</v>
      </c>
      <c r="D174" s="297"/>
      <c r="E174" s="297"/>
      <c r="F174" s="624"/>
      <c r="I174" s="260"/>
    </row>
    <row r="175" spans="1:9" s="125" customFormat="1" ht="13.5" customHeight="1">
      <c r="A175" s="12" t="s">
        <v>92</v>
      </c>
      <c r="B175" s="24" t="s">
        <v>8</v>
      </c>
      <c r="C175" s="24">
        <v>465000</v>
      </c>
      <c r="D175" s="297"/>
      <c r="E175" s="297"/>
      <c r="F175" s="624"/>
      <c r="I175" s="260"/>
    </row>
    <row r="176" spans="1:9" s="125" customFormat="1" ht="13.5" customHeight="1">
      <c r="A176" s="12" t="s">
        <v>94</v>
      </c>
      <c r="B176" s="24" t="s">
        <v>50</v>
      </c>
      <c r="C176" s="24">
        <v>4650</v>
      </c>
      <c r="D176" s="297"/>
      <c r="E176" s="297"/>
      <c r="F176" s="624"/>
      <c r="I176" s="260"/>
    </row>
    <row r="177" spans="1:9" s="125" customFormat="1" ht="13.5" customHeight="1">
      <c r="A177" s="12" t="s">
        <v>90</v>
      </c>
      <c r="B177" s="24" t="s">
        <v>7</v>
      </c>
      <c r="C177" s="24">
        <v>8350</v>
      </c>
      <c r="D177" s="297"/>
      <c r="E177" s="297"/>
      <c r="F177" s="624"/>
      <c r="I177" s="260"/>
    </row>
    <row r="178" spans="1:9" s="125" customFormat="1" ht="13.5" customHeight="1" thickBot="1">
      <c r="A178" s="12"/>
      <c r="B178" s="24"/>
      <c r="C178" s="24"/>
      <c r="D178" s="297"/>
      <c r="E178" s="297"/>
      <c r="F178" s="624"/>
      <c r="I178" s="260"/>
    </row>
    <row r="179" spans="1:9" s="125" customFormat="1" ht="13.5" customHeight="1" thickBot="1">
      <c r="A179" s="996" t="s">
        <v>4</v>
      </c>
      <c r="B179" s="997"/>
      <c r="C179" s="605">
        <f>C180+C183</f>
        <v>53050</v>
      </c>
      <c r="D179" s="297"/>
      <c r="E179" s="297"/>
      <c r="F179" s="624"/>
      <c r="I179" s="260"/>
    </row>
    <row r="180" spans="1:9" s="125" customFormat="1" ht="13.5" customHeight="1">
      <c r="A180" s="249" t="s">
        <v>116</v>
      </c>
      <c r="B180" s="510" t="s">
        <v>117</v>
      </c>
      <c r="C180" s="318">
        <f>SUM(C181:C182)</f>
        <v>46250</v>
      </c>
      <c r="D180" s="297"/>
      <c r="E180" s="297"/>
      <c r="F180" s="624"/>
      <c r="I180" s="260"/>
    </row>
    <row r="181" spans="1:9" s="125" customFormat="1" ht="13.5" customHeight="1">
      <c r="A181" s="71" t="s">
        <v>91</v>
      </c>
      <c r="B181" s="71" t="s">
        <v>139</v>
      </c>
      <c r="C181" s="24">
        <v>29500</v>
      </c>
      <c r="D181" s="297"/>
      <c r="E181" s="297"/>
      <c r="F181" s="624"/>
      <c r="I181" s="260"/>
    </row>
    <row r="182" spans="1:9" s="125" customFormat="1" ht="13.5" customHeight="1">
      <c r="A182" s="71" t="s">
        <v>161</v>
      </c>
      <c r="B182" s="42" t="s">
        <v>162</v>
      </c>
      <c r="C182" s="24">
        <v>16750</v>
      </c>
      <c r="D182" s="297"/>
      <c r="E182" s="297"/>
      <c r="F182" s="624"/>
      <c r="I182" s="260"/>
    </row>
    <row r="183" spans="1:9" s="125" customFormat="1" ht="13.5" customHeight="1">
      <c r="A183" s="249" t="s">
        <v>165</v>
      </c>
      <c r="B183" s="25" t="s">
        <v>134</v>
      </c>
      <c r="C183" s="31">
        <f>SUM(C184)</f>
        <v>6800</v>
      </c>
      <c r="D183" s="297"/>
      <c r="E183" s="297"/>
      <c r="F183" s="624"/>
      <c r="I183" s="260"/>
    </row>
    <row r="184" spans="1:9" s="125" customFormat="1" ht="13.5" customHeight="1">
      <c r="A184" s="71" t="s">
        <v>166</v>
      </c>
      <c r="B184" s="23" t="s">
        <v>51</v>
      </c>
      <c r="C184" s="24">
        <v>6800</v>
      </c>
      <c r="D184" s="297"/>
      <c r="E184" s="297"/>
      <c r="F184" s="624"/>
      <c r="I184" s="260"/>
    </row>
    <row r="185" spans="1:9" s="125" customFormat="1" ht="13.5" customHeight="1">
      <c r="A185" s="257"/>
      <c r="B185" s="257"/>
      <c r="C185" s="297"/>
      <c r="D185" s="297"/>
      <c r="E185" s="297"/>
      <c r="F185" s="624"/>
      <c r="I185" s="260"/>
    </row>
    <row r="186" spans="1:9" s="125" customFormat="1" ht="13.5" customHeight="1" thickBot="1">
      <c r="A186" s="71"/>
      <c r="B186" s="71"/>
      <c r="C186" s="23"/>
      <c r="D186" s="23"/>
      <c r="E186" s="23"/>
      <c r="F186" s="624"/>
      <c r="I186" s="260"/>
    </row>
    <row r="187" spans="1:9" s="125" customFormat="1" ht="13.5" customHeight="1">
      <c r="A187" s="988" t="s">
        <v>862</v>
      </c>
      <c r="B187" s="1009"/>
      <c r="C187" s="989"/>
      <c r="D187" s="626" t="s">
        <v>6</v>
      </c>
      <c r="E187" s="755">
        <v>1304</v>
      </c>
      <c r="F187" s="624"/>
      <c r="I187" s="260"/>
    </row>
    <row r="188" spans="1:9" s="125" customFormat="1" ht="13.5" customHeight="1" thickBot="1">
      <c r="A188" s="990"/>
      <c r="B188" s="1010"/>
      <c r="C188" s="991"/>
      <c r="D188" s="629"/>
      <c r="E188" s="831"/>
      <c r="F188" s="624"/>
      <c r="I188" s="260"/>
    </row>
    <row r="189" spans="1:9" s="125" customFormat="1" ht="13.5" customHeight="1">
      <c r="A189" s="1075" t="s">
        <v>863</v>
      </c>
      <c r="B189" s="1076"/>
      <c r="C189" s="1076"/>
      <c r="D189" s="1076"/>
      <c r="E189" s="1077"/>
      <c r="F189" s="773"/>
      <c r="I189" s="260"/>
    </row>
    <row r="190" spans="1:9" s="125" customFormat="1" ht="13.5" customHeight="1">
      <c r="A190" s="1078"/>
      <c r="B190" s="1079"/>
      <c r="C190" s="1079"/>
      <c r="D190" s="1079"/>
      <c r="E190" s="1080"/>
      <c r="F190" s="624"/>
      <c r="I190" s="260"/>
    </row>
    <row r="191" spans="1:9" s="125" customFormat="1" ht="13.5" customHeight="1" thickBot="1">
      <c r="A191" s="1081"/>
      <c r="B191" s="1082"/>
      <c r="C191" s="1082"/>
      <c r="D191" s="1082"/>
      <c r="E191" s="1083"/>
      <c r="F191" s="624"/>
      <c r="I191" s="260"/>
    </row>
    <row r="192" spans="1:9" s="125" customFormat="1" ht="13.5" customHeight="1">
      <c r="A192" s="252" t="s">
        <v>809</v>
      </c>
      <c r="B192" s="52"/>
      <c r="C192" s="286"/>
      <c r="D192" s="261"/>
      <c r="E192" s="288"/>
      <c r="F192" s="624"/>
      <c r="I192" s="260"/>
    </row>
    <row r="193" spans="1:9" s="125" customFormat="1" ht="13.5" customHeight="1">
      <c r="A193" s="252" t="s">
        <v>864</v>
      </c>
      <c r="B193" s="52"/>
      <c r="C193" s="286"/>
      <c r="D193" s="261"/>
      <c r="E193" s="288"/>
      <c r="F193" s="624"/>
      <c r="I193" s="260"/>
    </row>
    <row r="194" spans="1:9" s="125" customFormat="1" ht="13.5" customHeight="1">
      <c r="A194" s="252" t="s">
        <v>865</v>
      </c>
      <c r="B194" s="52"/>
      <c r="C194" s="286"/>
      <c r="D194" s="261"/>
      <c r="E194" s="288"/>
      <c r="F194" s="624"/>
      <c r="I194" s="260"/>
    </row>
    <row r="195" spans="1:9" s="125" customFormat="1" ht="13.5" customHeight="1" thickBot="1">
      <c r="A195" s="252" t="s">
        <v>11</v>
      </c>
      <c r="B195" s="52"/>
      <c r="C195" s="286"/>
      <c r="D195" s="261"/>
      <c r="E195" s="288"/>
      <c r="F195" s="624"/>
      <c r="I195" s="260"/>
    </row>
    <row r="196" spans="1:9" s="125" customFormat="1" ht="13.5" customHeight="1" thickBot="1">
      <c r="A196" s="697" t="s">
        <v>0</v>
      </c>
      <c r="B196" s="698"/>
      <c r="C196" s="699"/>
      <c r="D196" s="700"/>
      <c r="E196" s="701">
        <f>(C198+C211+C224)</f>
        <v>1091580</v>
      </c>
      <c r="F196" s="624"/>
      <c r="I196" s="260"/>
    </row>
    <row r="197" spans="1:9" s="125" customFormat="1" ht="13.5" customHeight="1" thickBot="1">
      <c r="A197" s="319"/>
      <c r="B197" s="319"/>
      <c r="C197" s="283"/>
      <c r="D197" s="285"/>
      <c r="E197" s="283"/>
      <c r="F197" s="624"/>
      <c r="I197" s="260"/>
    </row>
    <row r="198" spans="1:9" s="125" customFormat="1" ht="13.5" customHeight="1" thickBot="1">
      <c r="A198" s="992" t="s">
        <v>2</v>
      </c>
      <c r="B198" s="993"/>
      <c r="C198" s="602">
        <f>(C199+C201+C205+C207+C203)</f>
        <v>144590</v>
      </c>
      <c r="D198" s="285"/>
      <c r="E198" s="283"/>
      <c r="F198" s="624"/>
      <c r="I198" s="260"/>
    </row>
    <row r="199" spans="1:9" s="125" customFormat="1" ht="13.5" customHeight="1">
      <c r="A199" s="11" t="s">
        <v>103</v>
      </c>
      <c r="B199" s="510" t="s">
        <v>104</v>
      </c>
      <c r="C199" s="32">
        <f>SUM(C200:C200)</f>
        <v>28150</v>
      </c>
      <c r="D199" s="285"/>
      <c r="E199" s="283"/>
      <c r="F199" s="624"/>
      <c r="I199" s="260"/>
    </row>
    <row r="200" spans="1:9" s="125" customFormat="1" ht="13.5" customHeight="1">
      <c r="A200" s="12" t="s">
        <v>46</v>
      </c>
      <c r="B200" s="71" t="s">
        <v>45</v>
      </c>
      <c r="C200" s="22">
        <v>28150</v>
      </c>
      <c r="D200" s="285"/>
      <c r="E200" s="283"/>
      <c r="F200" s="624"/>
      <c r="I200" s="260"/>
    </row>
    <row r="201" spans="1:9" s="125" customFormat="1" ht="13.5" customHeight="1">
      <c r="A201" s="11" t="s">
        <v>107</v>
      </c>
      <c r="B201" s="249" t="s">
        <v>108</v>
      </c>
      <c r="C201" s="31">
        <f>SUM(C202)</f>
        <v>57000</v>
      </c>
      <c r="D201" s="285"/>
      <c r="E201" s="283"/>
      <c r="F201" s="624"/>
      <c r="I201" s="260"/>
    </row>
    <row r="202" spans="1:9" s="125" customFormat="1" ht="13.5" customHeight="1">
      <c r="A202" s="12" t="s">
        <v>47</v>
      </c>
      <c r="B202" s="24" t="s">
        <v>48</v>
      </c>
      <c r="C202" s="24">
        <v>57000</v>
      </c>
      <c r="D202" s="285"/>
      <c r="E202" s="283"/>
      <c r="F202" s="624"/>
      <c r="I202" s="260"/>
    </row>
    <row r="203" spans="1:9" s="125" customFormat="1" ht="13.5" customHeight="1">
      <c r="A203" s="249" t="s">
        <v>119</v>
      </c>
      <c r="B203" s="505" t="s">
        <v>192</v>
      </c>
      <c r="C203" s="31">
        <f>SUM(C204:C204)</f>
        <v>16890</v>
      </c>
      <c r="D203" s="297"/>
      <c r="E203" s="297"/>
      <c r="F203" s="624"/>
      <c r="I203" s="260"/>
    </row>
    <row r="204" spans="1:9" s="125" customFormat="1" ht="13.5" customHeight="1">
      <c r="A204" s="12" t="s">
        <v>671</v>
      </c>
      <c r="B204" s="24" t="s">
        <v>866</v>
      </c>
      <c r="C204" s="24">
        <v>16890</v>
      </c>
      <c r="D204" s="285"/>
      <c r="E204" s="283"/>
      <c r="F204" s="624"/>
      <c r="I204" s="260"/>
    </row>
    <row r="205" spans="1:9" s="125" customFormat="1" ht="13.5" customHeight="1">
      <c r="A205" s="249" t="s">
        <v>124</v>
      </c>
      <c r="B205" s="25" t="s">
        <v>123</v>
      </c>
      <c r="C205" s="31">
        <f>SUM(C206:C206)</f>
        <v>17400</v>
      </c>
      <c r="D205" s="285"/>
      <c r="E205" s="283"/>
      <c r="F205" s="624"/>
      <c r="I205" s="260"/>
    </row>
    <row r="206" spans="1:9" s="125" customFormat="1" ht="13.5" customHeight="1">
      <c r="A206" s="71" t="s">
        <v>93</v>
      </c>
      <c r="B206" s="23" t="s">
        <v>72</v>
      </c>
      <c r="C206" s="24">
        <v>17400</v>
      </c>
      <c r="D206" s="285"/>
      <c r="E206" s="283"/>
      <c r="F206" s="624"/>
      <c r="I206" s="260"/>
    </row>
    <row r="207" spans="1:9" s="125" customFormat="1" ht="13.5" customHeight="1">
      <c r="A207" s="249" t="s">
        <v>296</v>
      </c>
      <c r="B207" s="25" t="s">
        <v>133</v>
      </c>
      <c r="C207" s="31">
        <f>SUM(C208:C209)</f>
        <v>25150</v>
      </c>
      <c r="D207" s="285"/>
      <c r="E207" s="283"/>
      <c r="F207" s="624"/>
      <c r="I207" s="260"/>
    </row>
    <row r="208" spans="1:9" s="125" customFormat="1" ht="13.5" customHeight="1">
      <c r="A208" s="12" t="s">
        <v>151</v>
      </c>
      <c r="B208" s="24" t="s">
        <v>65</v>
      </c>
      <c r="C208" s="24">
        <v>2650</v>
      </c>
      <c r="D208" s="285"/>
      <c r="E208" s="283"/>
      <c r="F208" s="624"/>
      <c r="I208" s="260"/>
    </row>
    <row r="209" spans="1:9" s="125" customFormat="1" ht="13.5" customHeight="1">
      <c r="A209" s="71" t="s">
        <v>154</v>
      </c>
      <c r="B209" s="23" t="s">
        <v>133</v>
      </c>
      <c r="C209" s="24">
        <v>22500</v>
      </c>
      <c r="D209" s="285"/>
      <c r="E209" s="283"/>
      <c r="F209" s="624"/>
      <c r="I209" s="260"/>
    </row>
    <row r="210" spans="1:9" s="125" customFormat="1" ht="13.5" customHeight="1" thickBot="1">
      <c r="A210" s="71"/>
      <c r="B210" s="23"/>
      <c r="C210" s="24"/>
      <c r="D210" s="285"/>
      <c r="E210" s="283"/>
      <c r="F210" s="624"/>
      <c r="I210" s="260"/>
    </row>
    <row r="211" spans="1:9" s="125" customFormat="1" ht="13.5" customHeight="1" thickBot="1">
      <c r="A211" s="994" t="s">
        <v>3</v>
      </c>
      <c r="B211" s="995"/>
      <c r="C211" s="603">
        <f>(C212+C214+C217+C219)</f>
        <v>919690</v>
      </c>
      <c r="D211" s="285"/>
      <c r="E211" s="283"/>
      <c r="F211" s="624"/>
      <c r="I211" s="260"/>
    </row>
    <row r="212" spans="1:9" s="125" customFormat="1" ht="13.5" customHeight="1">
      <c r="A212" s="11" t="s">
        <v>120</v>
      </c>
      <c r="B212" s="11" t="s">
        <v>121</v>
      </c>
      <c r="C212" s="31">
        <f>SUM(C213:C213)</f>
        <v>32240</v>
      </c>
      <c r="D212" s="285"/>
      <c r="E212" s="283"/>
      <c r="F212" s="624"/>
      <c r="I212" s="260"/>
    </row>
    <row r="213" spans="1:9" s="125" customFormat="1" ht="13.5" customHeight="1">
      <c r="A213" s="12" t="s">
        <v>136</v>
      </c>
      <c r="B213" s="12" t="s">
        <v>71</v>
      </c>
      <c r="C213" s="24">
        <v>32240</v>
      </c>
      <c r="D213" s="285"/>
      <c r="E213" s="283"/>
      <c r="F213" s="624"/>
      <c r="I213" s="260"/>
    </row>
    <row r="214" spans="1:9" s="125" customFormat="1" ht="13.5" customHeight="1">
      <c r="A214" s="11" t="s">
        <v>112</v>
      </c>
      <c r="B214" s="11" t="s">
        <v>156</v>
      </c>
      <c r="C214" s="31">
        <f>SUM(C215:C216)</f>
        <v>759100</v>
      </c>
      <c r="D214" s="285"/>
      <c r="E214" s="283"/>
      <c r="F214" s="624"/>
      <c r="I214" s="260"/>
    </row>
    <row r="215" spans="1:9" s="125" customFormat="1" ht="13.5" customHeight="1">
      <c r="A215" s="12" t="s">
        <v>138</v>
      </c>
      <c r="B215" s="58" t="s">
        <v>810</v>
      </c>
      <c r="C215" s="24">
        <v>8500</v>
      </c>
      <c r="D215" s="285"/>
      <c r="E215" s="283"/>
      <c r="F215" s="624"/>
      <c r="I215" s="260"/>
    </row>
    <row r="216" spans="1:9" s="125" customFormat="1" ht="13.5" customHeight="1">
      <c r="A216" s="12" t="s">
        <v>49</v>
      </c>
      <c r="B216" s="24" t="s">
        <v>87</v>
      </c>
      <c r="C216" s="24">
        <v>750600</v>
      </c>
      <c r="D216" s="285"/>
      <c r="E216" s="283"/>
      <c r="F216" s="624"/>
      <c r="I216" s="260"/>
    </row>
    <row r="217" spans="1:9" s="125" customFormat="1" ht="13.5" customHeight="1">
      <c r="A217" s="11" t="s">
        <v>113</v>
      </c>
      <c r="B217" s="31" t="s">
        <v>114</v>
      </c>
      <c r="C217" s="31">
        <f>SUM(C218:C218)</f>
        <v>12500</v>
      </c>
      <c r="D217" s="285"/>
      <c r="E217" s="283"/>
      <c r="F217" s="624"/>
      <c r="I217" s="260"/>
    </row>
    <row r="218" spans="1:9" s="125" customFormat="1" ht="13.5" customHeight="1">
      <c r="A218" s="12" t="s">
        <v>88</v>
      </c>
      <c r="B218" s="24" t="s">
        <v>64</v>
      </c>
      <c r="C218" s="24">
        <v>12500</v>
      </c>
      <c r="D218" s="285"/>
      <c r="E218" s="283"/>
      <c r="F218" s="624"/>
      <c r="I218" s="260"/>
    </row>
    <row r="219" spans="1:9" s="125" customFormat="1" ht="13.5" customHeight="1">
      <c r="A219" s="11" t="s">
        <v>115</v>
      </c>
      <c r="B219" s="31" t="s">
        <v>8</v>
      </c>
      <c r="C219" s="31">
        <f>SUM(C220:C222)</f>
        <v>115850</v>
      </c>
      <c r="D219" s="285"/>
      <c r="E219" s="283"/>
      <c r="F219" s="624"/>
      <c r="I219" s="260"/>
    </row>
    <row r="220" spans="1:9" s="125" customFormat="1" ht="13.5" customHeight="1">
      <c r="A220" s="12" t="s">
        <v>92</v>
      </c>
      <c r="B220" s="24" t="s">
        <v>8</v>
      </c>
      <c r="C220" s="24">
        <v>95870</v>
      </c>
      <c r="D220" s="285"/>
      <c r="E220" s="283"/>
      <c r="F220" s="624"/>
      <c r="I220" s="260"/>
    </row>
    <row r="221" spans="1:9" s="125" customFormat="1" ht="13.5" customHeight="1">
      <c r="A221" s="12" t="s">
        <v>182</v>
      </c>
      <c r="B221" s="24" t="s">
        <v>50</v>
      </c>
      <c r="C221" s="24">
        <v>5400</v>
      </c>
      <c r="D221" s="285"/>
      <c r="E221" s="283"/>
      <c r="F221" s="624"/>
      <c r="I221" s="260"/>
    </row>
    <row r="222" spans="1:9" s="125" customFormat="1" ht="13.5" customHeight="1">
      <c r="A222" s="12" t="s">
        <v>90</v>
      </c>
      <c r="B222" s="24" t="s">
        <v>7</v>
      </c>
      <c r="C222" s="24">
        <v>14580</v>
      </c>
      <c r="D222" s="285"/>
      <c r="E222" s="283"/>
      <c r="F222" s="624"/>
      <c r="I222" s="260"/>
    </row>
    <row r="223" spans="1:9" s="125" customFormat="1" ht="13.5" customHeight="1" thickBot="1">
      <c r="A223" s="12"/>
      <c r="B223" s="24"/>
      <c r="C223" s="24"/>
      <c r="D223" s="285"/>
      <c r="E223" s="283"/>
      <c r="F223" s="624"/>
      <c r="I223" s="260"/>
    </row>
    <row r="224" spans="1:9" s="125" customFormat="1" ht="13.5" customHeight="1" thickBot="1">
      <c r="A224" s="996" t="s">
        <v>4</v>
      </c>
      <c r="B224" s="997"/>
      <c r="C224" s="605">
        <f>+C225+C227</f>
        <v>27300</v>
      </c>
      <c r="D224" s="285"/>
      <c r="E224" s="283"/>
      <c r="F224" s="624"/>
      <c r="I224" s="260"/>
    </row>
    <row r="225" spans="1:9" s="125" customFormat="1" ht="13.5" customHeight="1">
      <c r="A225" s="249" t="s">
        <v>116</v>
      </c>
      <c r="B225" s="510" t="s">
        <v>117</v>
      </c>
      <c r="C225" s="273">
        <f>SUM(C226)</f>
        <v>16800</v>
      </c>
      <c r="D225" s="285"/>
      <c r="E225" s="283"/>
      <c r="F225" s="624"/>
      <c r="I225" s="260"/>
    </row>
    <row r="226" spans="1:9" s="125" customFormat="1" ht="13.5" customHeight="1">
      <c r="A226" s="71" t="s">
        <v>91</v>
      </c>
      <c r="B226" s="71" t="s">
        <v>139</v>
      </c>
      <c r="C226" s="24">
        <v>16800</v>
      </c>
      <c r="D226" s="285"/>
      <c r="E226" s="283"/>
      <c r="F226" s="624"/>
      <c r="I226" s="260"/>
    </row>
    <row r="227" spans="1:9" s="125" customFormat="1" ht="13.5" customHeight="1">
      <c r="A227" s="246" t="s">
        <v>165</v>
      </c>
      <c r="B227" s="11" t="s">
        <v>134</v>
      </c>
      <c r="C227" s="31">
        <f>SUM(C228)</f>
        <v>10500</v>
      </c>
      <c r="D227" s="285"/>
      <c r="E227" s="283"/>
      <c r="F227" s="624"/>
      <c r="I227" s="260"/>
    </row>
    <row r="228" spans="1:9" s="125" customFormat="1" ht="13.5" customHeight="1">
      <c r="A228" s="257" t="s">
        <v>166</v>
      </c>
      <c r="B228" s="12" t="s">
        <v>51</v>
      </c>
      <c r="C228" s="286">
        <v>10500</v>
      </c>
      <c r="D228" s="285"/>
      <c r="E228" s="283"/>
      <c r="F228" s="624"/>
      <c r="I228" s="260"/>
    </row>
    <row r="229" spans="1:9" s="125" customFormat="1" ht="13.5" customHeight="1">
      <c r="A229" s="71"/>
      <c r="B229" s="71"/>
      <c r="C229" s="23"/>
      <c r="D229" s="23"/>
      <c r="E229" s="23"/>
      <c r="F229" s="624"/>
      <c r="I229" s="260"/>
    </row>
    <row r="230" spans="1:9" s="125" customFormat="1" ht="13.5" customHeight="1" thickBot="1">
      <c r="A230" s="71"/>
      <c r="B230" s="71"/>
      <c r="C230" s="23"/>
      <c r="D230" s="23"/>
      <c r="E230" s="23"/>
      <c r="F230" s="624"/>
      <c r="I230" s="260"/>
    </row>
    <row r="231" spans="1:9" s="125" customFormat="1" ht="13.5" customHeight="1">
      <c r="A231" s="988" t="s">
        <v>867</v>
      </c>
      <c r="B231" s="1009"/>
      <c r="C231" s="989"/>
      <c r="D231" s="626" t="s">
        <v>6</v>
      </c>
      <c r="E231" s="755">
        <v>1305</v>
      </c>
      <c r="F231" s="624"/>
      <c r="I231" s="260"/>
    </row>
    <row r="232" spans="1:9" s="125" customFormat="1" ht="13.5" customHeight="1" thickBot="1">
      <c r="A232" s="990"/>
      <c r="B232" s="1010"/>
      <c r="C232" s="991"/>
      <c r="D232" s="629"/>
      <c r="E232" s="696"/>
      <c r="F232" s="624"/>
      <c r="I232" s="260"/>
    </row>
    <row r="233" spans="1:9" s="125" customFormat="1" ht="13.5" customHeight="1">
      <c r="A233" s="1049" t="s">
        <v>868</v>
      </c>
      <c r="B233" s="1050"/>
      <c r="C233" s="1050"/>
      <c r="D233" s="1050"/>
      <c r="E233" s="1051"/>
      <c r="F233" s="624"/>
      <c r="I233" s="260"/>
    </row>
    <row r="234" spans="1:9" s="125" customFormat="1" ht="13.5" customHeight="1">
      <c r="A234" s="1052"/>
      <c r="B234" s="1053"/>
      <c r="C234" s="1053"/>
      <c r="D234" s="1053"/>
      <c r="E234" s="1054"/>
      <c r="F234" s="624"/>
      <c r="I234" s="260"/>
    </row>
    <row r="235" spans="1:9" s="125" customFormat="1" ht="13.5" customHeight="1">
      <c r="A235" s="1052"/>
      <c r="B235" s="1053"/>
      <c r="C235" s="1053"/>
      <c r="D235" s="1053"/>
      <c r="E235" s="1054"/>
      <c r="F235" s="624"/>
      <c r="I235" s="260"/>
    </row>
    <row r="236" spans="1:9" s="125" customFormat="1" ht="13.5" customHeight="1" thickBot="1">
      <c r="A236" s="1055"/>
      <c r="B236" s="1056"/>
      <c r="C236" s="1056"/>
      <c r="D236" s="1056"/>
      <c r="E236" s="1057"/>
      <c r="F236" s="624"/>
      <c r="I236" s="260"/>
    </row>
    <row r="237" spans="1:9" s="125" customFormat="1" ht="13.5" customHeight="1">
      <c r="A237" s="252" t="s">
        <v>809</v>
      </c>
      <c r="B237" s="52"/>
      <c r="C237" s="286"/>
      <c r="D237" s="261"/>
      <c r="E237" s="288"/>
      <c r="F237" s="624"/>
      <c r="I237" s="260"/>
    </row>
    <row r="238" spans="1:9" s="125" customFormat="1" ht="13.5" customHeight="1">
      <c r="A238" s="252" t="s">
        <v>869</v>
      </c>
      <c r="B238" s="52"/>
      <c r="C238" s="286"/>
      <c r="D238" s="261"/>
      <c r="E238" s="288"/>
      <c r="F238" s="624"/>
      <c r="I238" s="260"/>
    </row>
    <row r="239" spans="1:9" s="125" customFormat="1" ht="13.5" customHeight="1">
      <c r="A239" s="252" t="s">
        <v>618</v>
      </c>
      <c r="B239" s="52"/>
      <c r="C239" s="286"/>
      <c r="D239" s="261"/>
      <c r="E239" s="288"/>
      <c r="F239" s="624"/>
      <c r="I239" s="260"/>
    </row>
    <row r="240" spans="1:9" s="125" customFormat="1" ht="13.5" customHeight="1" thickBot="1">
      <c r="A240" s="252" t="s">
        <v>11</v>
      </c>
      <c r="B240" s="52"/>
      <c r="C240" s="286"/>
      <c r="D240" s="261"/>
      <c r="E240" s="288"/>
      <c r="F240" s="624"/>
      <c r="I240" s="260"/>
    </row>
    <row r="241" spans="1:9" s="125" customFormat="1" ht="13.5" customHeight="1" thickBot="1">
      <c r="A241" s="697" t="s">
        <v>0</v>
      </c>
      <c r="B241" s="698"/>
      <c r="C241" s="699"/>
      <c r="D241" s="700"/>
      <c r="E241" s="701">
        <f>(C243+C254+C270)</f>
        <v>2186080</v>
      </c>
      <c r="F241" s="624"/>
      <c r="I241" s="260"/>
    </row>
    <row r="242" spans="1:9" s="125" customFormat="1" ht="13.5" customHeight="1" thickBot="1">
      <c r="A242" s="319"/>
      <c r="B242" s="319"/>
      <c r="C242" s="283"/>
      <c r="D242" s="285"/>
      <c r="E242" s="283"/>
      <c r="F242" s="624"/>
      <c r="I242" s="260"/>
    </row>
    <row r="243" spans="1:9" s="125" customFormat="1" ht="13.5" customHeight="1" thickBot="1">
      <c r="A243" s="992" t="s">
        <v>2</v>
      </c>
      <c r="B243" s="993"/>
      <c r="C243" s="602">
        <f>(C244+C246+C248+C250)</f>
        <v>147950</v>
      </c>
      <c r="D243" s="285"/>
      <c r="E243" s="283"/>
      <c r="F243" s="624"/>
      <c r="I243" s="260"/>
    </row>
    <row r="244" spans="1:9" s="125" customFormat="1" ht="13.5" customHeight="1">
      <c r="A244" s="11" t="s">
        <v>103</v>
      </c>
      <c r="B244" s="510" t="s">
        <v>104</v>
      </c>
      <c r="C244" s="32">
        <f>SUM(C245:C245)</f>
        <v>33000</v>
      </c>
      <c r="D244" s="285"/>
      <c r="E244" s="283"/>
      <c r="F244" s="624"/>
      <c r="I244" s="260"/>
    </row>
    <row r="245" spans="1:9" s="125" customFormat="1" ht="13.5" customHeight="1">
      <c r="A245" s="12" t="s">
        <v>46</v>
      </c>
      <c r="B245" s="71" t="s">
        <v>45</v>
      </c>
      <c r="C245" s="22">
        <v>33000</v>
      </c>
      <c r="D245" s="285"/>
      <c r="E245" s="283"/>
      <c r="F245" s="624"/>
      <c r="I245" s="260"/>
    </row>
    <row r="246" spans="1:9" s="125" customFormat="1" ht="13.5" customHeight="1">
      <c r="A246" s="11" t="s">
        <v>107</v>
      </c>
      <c r="B246" s="249" t="s">
        <v>108</v>
      </c>
      <c r="C246" s="31">
        <f>SUM(C247)</f>
        <v>69100</v>
      </c>
      <c r="D246" s="285"/>
      <c r="E246" s="283"/>
      <c r="F246" s="624"/>
      <c r="I246" s="260"/>
    </row>
    <row r="247" spans="1:9" s="125" customFormat="1" ht="13.5" customHeight="1">
      <c r="A247" s="12" t="s">
        <v>47</v>
      </c>
      <c r="B247" s="24" t="s">
        <v>48</v>
      </c>
      <c r="C247" s="24">
        <v>69100</v>
      </c>
      <c r="D247" s="285"/>
      <c r="E247" s="283"/>
      <c r="F247" s="624"/>
      <c r="I247" s="260"/>
    </row>
    <row r="248" spans="1:9" s="125" customFormat="1" ht="13.5" customHeight="1">
      <c r="A248" s="249" t="s">
        <v>124</v>
      </c>
      <c r="B248" s="25" t="s">
        <v>123</v>
      </c>
      <c r="C248" s="31">
        <f>SUM(C249:C249)</f>
        <v>14500</v>
      </c>
      <c r="D248" s="285"/>
      <c r="E248" s="283"/>
      <c r="F248" s="624"/>
      <c r="I248" s="260"/>
    </row>
    <row r="249" spans="1:9" s="125" customFormat="1" ht="13.5" customHeight="1">
      <c r="A249" s="71" t="s">
        <v>93</v>
      </c>
      <c r="B249" s="23" t="s">
        <v>72</v>
      </c>
      <c r="C249" s="24">
        <v>14500</v>
      </c>
      <c r="D249" s="285"/>
      <c r="E249" s="283"/>
      <c r="F249" s="624"/>
      <c r="I249" s="260"/>
    </row>
    <row r="250" spans="1:9" s="125" customFormat="1" ht="13.5" customHeight="1">
      <c r="A250" s="249" t="s">
        <v>296</v>
      </c>
      <c r="B250" s="25" t="s">
        <v>133</v>
      </c>
      <c r="C250" s="31">
        <f>SUM(C251:C252)</f>
        <v>31350</v>
      </c>
      <c r="D250" s="285"/>
      <c r="E250" s="283"/>
      <c r="F250" s="624"/>
      <c r="I250" s="260"/>
    </row>
    <row r="251" spans="1:9" s="125" customFormat="1" ht="13.5" customHeight="1">
      <c r="A251" s="12" t="s">
        <v>151</v>
      </c>
      <c r="B251" s="24" t="s">
        <v>65</v>
      </c>
      <c r="C251" s="24">
        <v>12600</v>
      </c>
      <c r="D251" s="285"/>
      <c r="E251" s="283"/>
      <c r="F251" s="624"/>
      <c r="I251" s="260"/>
    </row>
    <row r="252" spans="1:9" s="125" customFormat="1" ht="13.5" customHeight="1">
      <c r="A252" s="71" t="s">
        <v>154</v>
      </c>
      <c r="B252" s="23" t="s">
        <v>133</v>
      </c>
      <c r="C252" s="24">
        <v>18750</v>
      </c>
      <c r="D252" s="285"/>
      <c r="E252" s="283"/>
      <c r="F252" s="624"/>
      <c r="I252" s="260"/>
    </row>
    <row r="253" spans="1:9" s="125" customFormat="1" ht="13.5" customHeight="1" thickBot="1">
      <c r="A253" s="71"/>
      <c r="B253" s="23"/>
      <c r="C253" s="24"/>
      <c r="D253" s="285"/>
      <c r="E253" s="283"/>
      <c r="F253" s="624"/>
      <c r="I253" s="260"/>
    </row>
    <row r="254" spans="1:9" s="125" customFormat="1" ht="13.5" customHeight="1" thickBot="1">
      <c r="A254" s="994" t="s">
        <v>3</v>
      </c>
      <c r="B254" s="995"/>
      <c r="C254" s="603">
        <f>(C257+C260+C263+C265+C255)</f>
        <v>2014030</v>
      </c>
      <c r="D254" s="285"/>
      <c r="E254" s="283"/>
      <c r="F254" s="624"/>
      <c r="I254" s="260"/>
    </row>
    <row r="255" spans="1:9" s="277" customFormat="1" ht="13.5" customHeight="1">
      <c r="A255" s="11" t="s">
        <v>110</v>
      </c>
      <c r="B255" s="510" t="s">
        <v>111</v>
      </c>
      <c r="C255" s="318">
        <f>SUM(C256)</f>
        <v>50000</v>
      </c>
      <c r="D255" s="276"/>
      <c r="E255" s="276"/>
      <c r="F255" s="536"/>
      <c r="I255" s="278"/>
    </row>
    <row r="256" spans="1:9" s="71" customFormat="1" ht="13.5" customHeight="1">
      <c r="A256" s="12" t="s">
        <v>52</v>
      </c>
      <c r="B256" s="12" t="s">
        <v>15</v>
      </c>
      <c r="C256" s="24">
        <v>50000</v>
      </c>
      <c r="D256" s="78"/>
      <c r="E256" s="25"/>
      <c r="F256" s="536"/>
      <c r="G256" s="24"/>
      <c r="H256" s="12"/>
      <c r="I256" s="265"/>
    </row>
    <row r="257" spans="1:9" s="125" customFormat="1" ht="13.5" customHeight="1">
      <c r="A257" s="11" t="s">
        <v>120</v>
      </c>
      <c r="B257" s="11" t="s">
        <v>121</v>
      </c>
      <c r="C257" s="31">
        <f>SUM(C258:C259)</f>
        <v>26450</v>
      </c>
      <c r="D257" s="285"/>
      <c r="E257" s="283"/>
      <c r="F257" s="624"/>
      <c r="I257" s="260"/>
    </row>
    <row r="258" spans="1:9" s="125" customFormat="1" ht="13.5" customHeight="1">
      <c r="A258" s="12" t="s">
        <v>184</v>
      </c>
      <c r="B258" s="12" t="s">
        <v>247</v>
      </c>
      <c r="C258" s="24">
        <v>9500</v>
      </c>
      <c r="D258" s="285"/>
      <c r="E258" s="283"/>
      <c r="F258" s="624"/>
      <c r="I258" s="260"/>
    </row>
    <row r="259" spans="1:9" s="125" customFormat="1" ht="13.5" customHeight="1">
      <c r="A259" s="12" t="s">
        <v>136</v>
      </c>
      <c r="B259" s="12" t="s">
        <v>71</v>
      </c>
      <c r="C259" s="24">
        <v>16950</v>
      </c>
      <c r="D259" s="285"/>
      <c r="E259" s="283"/>
      <c r="F259" s="624"/>
      <c r="I259" s="260"/>
    </row>
    <row r="260" spans="1:9" s="125" customFormat="1" ht="13.5" customHeight="1">
      <c r="A260" s="11" t="s">
        <v>112</v>
      </c>
      <c r="B260" s="11" t="s">
        <v>156</v>
      </c>
      <c r="C260" s="25">
        <f>SUM(C261:C262)</f>
        <v>1654280</v>
      </c>
      <c r="D260" s="285"/>
      <c r="E260" s="283"/>
      <c r="F260" s="624"/>
      <c r="I260" s="260"/>
    </row>
    <row r="261" spans="1:9" s="125" customFormat="1" ht="13.5" customHeight="1">
      <c r="A261" s="12" t="s">
        <v>138</v>
      </c>
      <c r="B261" s="58" t="s">
        <v>810</v>
      </c>
      <c r="C261" s="24">
        <v>12500</v>
      </c>
      <c r="D261" s="285"/>
      <c r="E261" s="283"/>
      <c r="F261" s="624"/>
      <c r="I261" s="260"/>
    </row>
    <row r="262" spans="1:9" s="125" customFormat="1" ht="13.5" customHeight="1">
      <c r="A262" s="12" t="s">
        <v>49</v>
      </c>
      <c r="B262" s="24" t="s">
        <v>87</v>
      </c>
      <c r="C262" s="24">
        <v>1641780</v>
      </c>
      <c r="D262" s="285"/>
      <c r="E262" s="283"/>
      <c r="F262" s="763"/>
      <c r="I262" s="260"/>
    </row>
    <row r="263" spans="1:9" s="125" customFormat="1" ht="13.5" customHeight="1">
      <c r="A263" s="11" t="s">
        <v>113</v>
      </c>
      <c r="B263" s="31" t="s">
        <v>114</v>
      </c>
      <c r="C263" s="31">
        <f>SUM(C264:C264)</f>
        <v>12350</v>
      </c>
      <c r="D263" s="285"/>
      <c r="E263" s="283"/>
      <c r="F263" s="624"/>
      <c r="I263" s="260"/>
    </row>
    <row r="264" spans="1:9" s="125" customFormat="1" ht="13.5" customHeight="1">
      <c r="A264" s="12" t="s">
        <v>88</v>
      </c>
      <c r="B264" s="24" t="s">
        <v>64</v>
      </c>
      <c r="C264" s="24">
        <v>12350</v>
      </c>
      <c r="D264" s="285"/>
      <c r="E264" s="283"/>
      <c r="F264" s="624"/>
      <c r="I264" s="260"/>
    </row>
    <row r="265" spans="1:9" s="125" customFormat="1" ht="13.5" customHeight="1">
      <c r="A265" s="11" t="s">
        <v>115</v>
      </c>
      <c r="B265" s="31" t="s">
        <v>8</v>
      </c>
      <c r="C265" s="31">
        <f>SUM(C266:C268)</f>
        <v>270950</v>
      </c>
      <c r="D265" s="285"/>
      <c r="E265" s="283"/>
      <c r="F265" s="624"/>
      <c r="I265" s="260"/>
    </row>
    <row r="266" spans="1:9" s="125" customFormat="1" ht="13.5" customHeight="1">
      <c r="A266" s="12" t="s">
        <v>92</v>
      </c>
      <c r="B266" s="24" t="s">
        <v>8</v>
      </c>
      <c r="C266" s="24">
        <v>234000</v>
      </c>
      <c r="D266" s="285"/>
      <c r="E266" s="283"/>
      <c r="F266" s="624"/>
      <c r="I266" s="260"/>
    </row>
    <row r="267" spans="1:9" s="125" customFormat="1" ht="13.5" customHeight="1">
      <c r="A267" s="12" t="s">
        <v>182</v>
      </c>
      <c r="B267" s="24" t="s">
        <v>50</v>
      </c>
      <c r="C267" s="24">
        <v>5500</v>
      </c>
      <c r="D267" s="285"/>
      <c r="E267" s="283"/>
      <c r="F267" s="624"/>
      <c r="I267" s="260"/>
    </row>
    <row r="268" spans="1:9" s="125" customFormat="1" ht="13.5" customHeight="1">
      <c r="A268" s="12" t="s">
        <v>90</v>
      </c>
      <c r="B268" s="24" t="s">
        <v>7</v>
      </c>
      <c r="C268" s="24">
        <v>31450</v>
      </c>
      <c r="D268" s="285"/>
      <c r="E268" s="283"/>
      <c r="F268" s="624"/>
      <c r="I268" s="260"/>
    </row>
    <row r="269" spans="1:9" s="125" customFormat="1" ht="13.5" customHeight="1" thickBot="1">
      <c r="A269" s="12"/>
      <c r="B269" s="24"/>
      <c r="C269" s="24"/>
      <c r="D269" s="285"/>
      <c r="E269" s="283"/>
      <c r="F269" s="624"/>
      <c r="I269" s="260"/>
    </row>
    <row r="270" spans="1:9" s="125" customFormat="1" ht="13.5" customHeight="1" thickBot="1">
      <c r="A270" s="996" t="s">
        <v>4</v>
      </c>
      <c r="B270" s="997"/>
      <c r="C270" s="605">
        <f>+C271+C273</f>
        <v>24100</v>
      </c>
      <c r="D270" s="285"/>
      <c r="E270" s="283"/>
      <c r="F270" s="624"/>
      <c r="I270" s="260"/>
    </row>
    <row r="271" spans="1:9" s="125" customFormat="1" ht="13.5" customHeight="1">
      <c r="A271" s="249" t="s">
        <v>116</v>
      </c>
      <c r="B271" s="510" t="s">
        <v>117</v>
      </c>
      <c r="C271" s="273">
        <f>SUM(C272)</f>
        <v>15600</v>
      </c>
      <c r="D271" s="285"/>
      <c r="E271" s="283"/>
      <c r="F271" s="624"/>
      <c r="I271" s="260"/>
    </row>
    <row r="272" spans="1:9" s="125" customFormat="1" ht="13.5" customHeight="1">
      <c r="A272" s="71" t="s">
        <v>91</v>
      </c>
      <c r="B272" s="71" t="s">
        <v>139</v>
      </c>
      <c r="C272" s="24">
        <v>15600</v>
      </c>
      <c r="D272" s="285"/>
      <c r="E272" s="283"/>
      <c r="F272" s="624"/>
      <c r="I272" s="260"/>
    </row>
    <row r="273" spans="1:9" s="125" customFormat="1" ht="13.5" customHeight="1">
      <c r="A273" s="246" t="s">
        <v>165</v>
      </c>
      <c r="B273" s="11" t="s">
        <v>134</v>
      </c>
      <c r="C273" s="31">
        <f>SUM(C274)</f>
        <v>8500</v>
      </c>
      <c r="D273" s="285"/>
      <c r="E273" s="283"/>
      <c r="F273" s="624"/>
      <c r="I273" s="260"/>
    </row>
    <row r="274" spans="1:9" s="125" customFormat="1" ht="13.5" customHeight="1">
      <c r="A274" s="257" t="s">
        <v>166</v>
      </c>
      <c r="B274" s="12" t="s">
        <v>51</v>
      </c>
      <c r="C274" s="286">
        <v>8500</v>
      </c>
      <c r="D274" s="285"/>
      <c r="E274" s="283"/>
      <c r="F274" s="624"/>
      <c r="I274" s="260"/>
    </row>
    <row r="275" spans="1:9" s="125" customFormat="1" ht="13.5" customHeight="1">
      <c r="A275" s="71"/>
      <c r="B275" s="71"/>
      <c r="C275" s="23"/>
      <c r="D275" s="23"/>
      <c r="E275" s="23"/>
      <c r="F275" s="624"/>
      <c r="I275" s="260"/>
    </row>
    <row r="276" spans="1:9" s="125" customFormat="1" ht="13.5" customHeight="1" thickBot="1">
      <c r="A276" s="71"/>
      <c r="B276" s="71"/>
      <c r="C276" s="23"/>
      <c r="D276" s="23"/>
      <c r="E276" s="23"/>
      <c r="F276" s="624"/>
      <c r="I276" s="260"/>
    </row>
    <row r="277" spans="1:9" s="125" customFormat="1" ht="13.5" customHeight="1">
      <c r="A277" s="988" t="s">
        <v>870</v>
      </c>
      <c r="B277" s="1009"/>
      <c r="C277" s="989"/>
      <c r="D277" s="626" t="s">
        <v>6</v>
      </c>
      <c r="E277" s="755">
        <v>1306</v>
      </c>
      <c r="F277" s="624"/>
      <c r="I277" s="260"/>
    </row>
    <row r="278" spans="1:9" s="125" customFormat="1" ht="13.5" customHeight="1" thickBot="1">
      <c r="A278" s="990"/>
      <c r="B278" s="1010"/>
      <c r="C278" s="991"/>
      <c r="D278" s="702"/>
      <c r="E278" s="703"/>
      <c r="F278" s="624"/>
      <c r="I278" s="260"/>
    </row>
    <row r="279" spans="1:9" s="125" customFormat="1" ht="13.5" customHeight="1">
      <c r="A279" s="1075" t="s">
        <v>871</v>
      </c>
      <c r="B279" s="1076"/>
      <c r="C279" s="1076"/>
      <c r="D279" s="1076"/>
      <c r="E279" s="1077"/>
      <c r="F279" s="624"/>
      <c r="I279" s="260"/>
    </row>
    <row r="280" spans="1:9" s="125" customFormat="1" ht="13.5" customHeight="1">
      <c r="A280" s="1078"/>
      <c r="B280" s="1079"/>
      <c r="C280" s="1079"/>
      <c r="D280" s="1079"/>
      <c r="E280" s="1080"/>
      <c r="F280" s="624"/>
      <c r="I280" s="260"/>
    </row>
    <row r="281" spans="1:9" s="125" customFormat="1" ht="13.5" customHeight="1">
      <c r="A281" s="1078"/>
      <c r="B281" s="1079"/>
      <c r="C281" s="1079"/>
      <c r="D281" s="1079"/>
      <c r="E281" s="1080"/>
      <c r="F281" s="624"/>
      <c r="I281" s="260"/>
    </row>
    <row r="282" spans="1:9" s="125" customFormat="1" ht="22.5" customHeight="1" thickBot="1">
      <c r="A282" s="1081"/>
      <c r="B282" s="1082"/>
      <c r="C282" s="1082"/>
      <c r="D282" s="1082"/>
      <c r="E282" s="1083"/>
      <c r="F282" s="624"/>
      <c r="I282" s="260"/>
    </row>
    <row r="283" spans="1:9" s="125" customFormat="1" ht="13.5" customHeight="1">
      <c r="A283" s="252" t="s">
        <v>809</v>
      </c>
      <c r="B283" s="52"/>
      <c r="C283" s="286"/>
      <c r="D283" s="261"/>
      <c r="E283" s="288"/>
      <c r="F283" s="624"/>
      <c r="I283" s="260"/>
    </row>
    <row r="284" spans="1:9" s="125" customFormat="1" ht="13.5" customHeight="1">
      <c r="A284" s="252" t="s">
        <v>672</v>
      </c>
      <c r="B284" s="52"/>
      <c r="C284" s="286"/>
      <c r="D284" s="261"/>
      <c r="E284" s="288"/>
      <c r="F284" s="624"/>
      <c r="I284" s="260"/>
    </row>
    <row r="285" spans="1:9" s="125" customFormat="1" ht="13.5" customHeight="1">
      <c r="A285" s="252" t="s">
        <v>872</v>
      </c>
      <c r="B285" s="52"/>
      <c r="C285" s="286"/>
      <c r="D285" s="261"/>
      <c r="E285" s="288"/>
      <c r="F285" s="624"/>
      <c r="I285" s="260"/>
    </row>
    <row r="286" spans="1:9" s="125" customFormat="1" ht="13.5" customHeight="1" thickBot="1">
      <c r="A286" s="252" t="s">
        <v>11</v>
      </c>
      <c r="B286" s="52"/>
      <c r="C286" s="286"/>
      <c r="D286" s="261"/>
      <c r="E286" s="288"/>
      <c r="F286" s="624"/>
      <c r="I286" s="260"/>
    </row>
    <row r="287" spans="1:9" s="125" customFormat="1" ht="13.5" customHeight="1" thickBot="1">
      <c r="A287" s="697" t="s">
        <v>0</v>
      </c>
      <c r="B287" s="698"/>
      <c r="C287" s="699"/>
      <c r="D287" s="700"/>
      <c r="E287" s="701">
        <f>(C289+C300+C311)</f>
        <v>609080</v>
      </c>
      <c r="F287" s="624"/>
      <c r="I287" s="260"/>
    </row>
    <row r="288" spans="1:9" s="125" customFormat="1" ht="13.5" customHeight="1" thickBot="1">
      <c r="A288" s="319"/>
      <c r="B288" s="319"/>
      <c r="C288" s="283"/>
      <c r="D288" s="285"/>
      <c r="E288" s="283"/>
      <c r="F288" s="624"/>
      <c r="I288" s="260"/>
    </row>
    <row r="289" spans="1:9" s="125" customFormat="1" ht="13.5" customHeight="1" thickBot="1">
      <c r="A289" s="992" t="s">
        <v>2</v>
      </c>
      <c r="B289" s="993"/>
      <c r="C289" s="602">
        <f>(C290+C292+C294+C296)</f>
        <v>67180</v>
      </c>
      <c r="D289" s="285"/>
      <c r="E289" s="283"/>
      <c r="F289" s="624"/>
      <c r="I289" s="260"/>
    </row>
    <row r="290" spans="1:9" s="125" customFormat="1" ht="13.5" customHeight="1">
      <c r="A290" s="11" t="s">
        <v>103</v>
      </c>
      <c r="B290" s="510" t="s">
        <v>104</v>
      </c>
      <c r="C290" s="32">
        <f>SUM(C291:C291)</f>
        <v>6150</v>
      </c>
      <c r="D290" s="285"/>
      <c r="E290" s="283"/>
      <c r="F290" s="624"/>
      <c r="I290" s="260"/>
    </row>
    <row r="291" spans="1:9" s="125" customFormat="1" ht="13.5" customHeight="1">
      <c r="A291" s="12" t="s">
        <v>46</v>
      </c>
      <c r="B291" s="71" t="s">
        <v>45</v>
      </c>
      <c r="C291" s="22">
        <v>6150</v>
      </c>
      <c r="D291" s="285"/>
      <c r="E291" s="283"/>
      <c r="F291" s="624"/>
      <c r="I291" s="260"/>
    </row>
    <row r="292" spans="1:9" s="125" customFormat="1" ht="13.5" customHeight="1">
      <c r="A292" s="11" t="s">
        <v>107</v>
      </c>
      <c r="B292" s="249" t="s">
        <v>108</v>
      </c>
      <c r="C292" s="31">
        <f>SUM(C293)</f>
        <v>39580</v>
      </c>
      <c r="D292" s="285"/>
      <c r="E292" s="283"/>
      <c r="F292" s="624"/>
      <c r="I292" s="260"/>
    </row>
    <row r="293" spans="1:9" s="125" customFormat="1" ht="13.5" customHeight="1">
      <c r="A293" s="12" t="s">
        <v>47</v>
      </c>
      <c r="B293" s="24" t="s">
        <v>48</v>
      </c>
      <c r="C293" s="24">
        <v>39580</v>
      </c>
      <c r="D293" s="285"/>
      <c r="E293" s="283"/>
      <c r="F293" s="624"/>
      <c r="I293" s="260"/>
    </row>
    <row r="294" spans="1:9" s="125" customFormat="1" ht="13.5" customHeight="1">
      <c r="A294" s="249" t="s">
        <v>124</v>
      </c>
      <c r="B294" s="25" t="s">
        <v>123</v>
      </c>
      <c r="C294" s="31">
        <f>SUM(C295:C295)</f>
        <v>5500</v>
      </c>
      <c r="D294" s="285"/>
      <c r="E294" s="283"/>
      <c r="F294" s="624"/>
      <c r="I294" s="260"/>
    </row>
    <row r="295" spans="1:9" s="125" customFormat="1" ht="13.5" customHeight="1">
      <c r="A295" s="71" t="s">
        <v>93</v>
      </c>
      <c r="B295" s="23" t="s">
        <v>72</v>
      </c>
      <c r="C295" s="24">
        <v>5500</v>
      </c>
      <c r="D295" s="285"/>
      <c r="E295" s="283"/>
      <c r="F295" s="624"/>
      <c r="I295" s="260"/>
    </row>
    <row r="296" spans="1:9" s="125" customFormat="1" ht="13.5" customHeight="1">
      <c r="A296" s="249" t="s">
        <v>296</v>
      </c>
      <c r="B296" s="25" t="s">
        <v>133</v>
      </c>
      <c r="C296" s="31">
        <f>SUM(C297:C298)</f>
        <v>15950</v>
      </c>
      <c r="D296" s="285"/>
      <c r="E296" s="283"/>
      <c r="F296" s="624"/>
      <c r="I296" s="260"/>
    </row>
    <row r="297" spans="1:9" s="125" customFormat="1" ht="13.5" customHeight="1">
      <c r="A297" s="12" t="s">
        <v>151</v>
      </c>
      <c r="B297" s="24" t="s">
        <v>65</v>
      </c>
      <c r="C297" s="24">
        <v>3450</v>
      </c>
      <c r="D297" s="285"/>
      <c r="E297" s="283"/>
      <c r="F297" s="624"/>
      <c r="I297" s="260"/>
    </row>
    <row r="298" spans="1:9" s="125" customFormat="1" ht="13.5" customHeight="1">
      <c r="A298" s="71" t="s">
        <v>154</v>
      </c>
      <c r="B298" s="23" t="s">
        <v>133</v>
      </c>
      <c r="C298" s="24">
        <v>12500</v>
      </c>
      <c r="D298" s="285"/>
      <c r="E298" s="283"/>
      <c r="F298" s="624"/>
      <c r="I298" s="260"/>
    </row>
    <row r="299" spans="1:9" s="125" customFormat="1" ht="13.5" customHeight="1" thickBot="1">
      <c r="A299" s="71"/>
      <c r="B299" s="23"/>
      <c r="C299" s="24"/>
      <c r="D299" s="285"/>
      <c r="E299" s="283"/>
      <c r="F299" s="624"/>
      <c r="I299" s="260"/>
    </row>
    <row r="300" spans="1:9" s="125" customFormat="1" ht="13.5" customHeight="1" thickBot="1">
      <c r="A300" s="994" t="s">
        <v>3</v>
      </c>
      <c r="B300" s="995"/>
      <c r="C300" s="603">
        <f>(C301+C304+C306)</f>
        <v>509900</v>
      </c>
      <c r="D300" s="285"/>
      <c r="E300" s="283"/>
      <c r="F300" s="624"/>
      <c r="I300" s="260"/>
    </row>
    <row r="301" spans="1:9" s="125" customFormat="1" ht="13.5" customHeight="1">
      <c r="A301" s="11" t="s">
        <v>112</v>
      </c>
      <c r="B301" s="11" t="s">
        <v>156</v>
      </c>
      <c r="C301" s="25">
        <f>SUM(C302:C303)</f>
        <v>250800</v>
      </c>
      <c r="D301" s="285"/>
      <c r="E301" s="283"/>
      <c r="F301" s="624"/>
      <c r="I301" s="260"/>
    </row>
    <row r="302" spans="1:9" s="125" customFormat="1" ht="13.5" customHeight="1">
      <c r="A302" s="12" t="s">
        <v>138</v>
      </c>
      <c r="B302" s="58" t="s">
        <v>810</v>
      </c>
      <c r="C302" s="24">
        <v>15400</v>
      </c>
      <c r="D302" s="285"/>
      <c r="E302" s="283"/>
      <c r="F302" s="624"/>
      <c r="I302" s="260"/>
    </row>
    <row r="303" spans="1:9" s="125" customFormat="1" ht="13.5" customHeight="1">
      <c r="A303" s="12" t="s">
        <v>49</v>
      </c>
      <c r="B303" s="24" t="s">
        <v>87</v>
      </c>
      <c r="C303" s="24">
        <v>235400</v>
      </c>
      <c r="D303" s="285"/>
      <c r="E303" s="283"/>
      <c r="F303" s="624"/>
      <c r="I303" s="260"/>
    </row>
    <row r="304" spans="1:9" s="125" customFormat="1" ht="13.5" customHeight="1">
      <c r="A304" s="11" t="s">
        <v>113</v>
      </c>
      <c r="B304" s="31" t="s">
        <v>114</v>
      </c>
      <c r="C304" s="31">
        <f>SUM(C305:C305)</f>
        <v>12450</v>
      </c>
      <c r="D304" s="285"/>
      <c r="E304" s="283"/>
      <c r="F304" s="624"/>
      <c r="I304" s="260"/>
    </row>
    <row r="305" spans="1:9" s="125" customFormat="1" ht="13.5" customHeight="1">
      <c r="A305" s="12" t="s">
        <v>88</v>
      </c>
      <c r="B305" s="24" t="s">
        <v>64</v>
      </c>
      <c r="C305" s="24">
        <v>12450</v>
      </c>
      <c r="D305" s="285"/>
      <c r="E305" s="283"/>
      <c r="F305" s="624"/>
      <c r="I305" s="260"/>
    </row>
    <row r="306" spans="1:9" s="125" customFormat="1" ht="13.5" customHeight="1">
      <c r="A306" s="11" t="s">
        <v>115</v>
      </c>
      <c r="B306" s="31" t="s">
        <v>8</v>
      </c>
      <c r="C306" s="31">
        <f>SUM(C307:C309)</f>
        <v>246650</v>
      </c>
      <c r="D306" s="285"/>
      <c r="E306" s="283"/>
      <c r="F306" s="624"/>
      <c r="I306" s="260"/>
    </row>
    <row r="307" spans="1:9" s="125" customFormat="1" ht="13.5" customHeight="1">
      <c r="A307" s="12" t="s">
        <v>92</v>
      </c>
      <c r="B307" s="24" t="s">
        <v>8</v>
      </c>
      <c r="C307" s="24">
        <v>223600</v>
      </c>
      <c r="D307" s="285"/>
      <c r="E307" s="283"/>
      <c r="F307" s="624"/>
      <c r="I307" s="260"/>
    </row>
    <row r="308" spans="1:9" s="125" customFormat="1" ht="13.5" customHeight="1">
      <c r="A308" s="12" t="s">
        <v>182</v>
      </c>
      <c r="B308" s="24" t="s">
        <v>50</v>
      </c>
      <c r="C308" s="24">
        <v>4450</v>
      </c>
      <c r="D308" s="285"/>
      <c r="E308" s="283"/>
      <c r="F308" s="624"/>
      <c r="I308" s="260"/>
    </row>
    <row r="309" spans="1:9" s="125" customFormat="1" ht="13.5" customHeight="1">
      <c r="A309" s="12" t="s">
        <v>90</v>
      </c>
      <c r="B309" s="24" t="s">
        <v>7</v>
      </c>
      <c r="C309" s="24">
        <v>18600</v>
      </c>
      <c r="D309" s="285"/>
      <c r="E309" s="283"/>
      <c r="F309" s="624"/>
      <c r="I309" s="260"/>
    </row>
    <row r="310" spans="1:9" s="125" customFormat="1" ht="13.5" customHeight="1" thickBot="1">
      <c r="A310" s="12"/>
      <c r="B310" s="24"/>
      <c r="C310" s="24"/>
      <c r="D310" s="285"/>
      <c r="E310" s="283"/>
      <c r="F310" s="624"/>
      <c r="I310" s="260"/>
    </row>
    <row r="311" spans="1:9" s="125" customFormat="1" ht="13.5" customHeight="1" thickBot="1">
      <c r="A311" s="996" t="s">
        <v>4</v>
      </c>
      <c r="B311" s="997"/>
      <c r="C311" s="605">
        <f>+C312+C314</f>
        <v>32000</v>
      </c>
      <c r="D311" s="285"/>
      <c r="E311" s="283"/>
      <c r="F311" s="624"/>
      <c r="I311" s="260"/>
    </row>
    <row r="312" spans="1:9" s="125" customFormat="1" ht="13.5" customHeight="1">
      <c r="A312" s="249" t="s">
        <v>116</v>
      </c>
      <c r="B312" s="510" t="s">
        <v>117</v>
      </c>
      <c r="C312" s="273">
        <f>SUM(C313)</f>
        <v>18500</v>
      </c>
      <c r="D312" s="285"/>
      <c r="E312" s="283"/>
      <c r="F312" s="624"/>
      <c r="I312" s="260"/>
    </row>
    <row r="313" spans="1:9" s="125" customFormat="1" ht="13.5" customHeight="1">
      <c r="A313" s="71" t="s">
        <v>91</v>
      </c>
      <c r="B313" s="71" t="s">
        <v>139</v>
      </c>
      <c r="C313" s="24">
        <v>18500</v>
      </c>
      <c r="D313" s="285"/>
      <c r="E313" s="283"/>
      <c r="F313" s="624"/>
      <c r="I313" s="260"/>
    </row>
    <row r="314" spans="1:9" s="125" customFormat="1" ht="13.5" customHeight="1">
      <c r="A314" s="246" t="s">
        <v>165</v>
      </c>
      <c r="B314" s="11" t="s">
        <v>134</v>
      </c>
      <c r="C314" s="31">
        <f>SUM(C315)</f>
        <v>13500</v>
      </c>
      <c r="D314" s="285"/>
      <c r="E314" s="283"/>
      <c r="F314" s="624"/>
      <c r="I314" s="260"/>
    </row>
    <row r="315" spans="1:9" s="125" customFormat="1" ht="13.5" customHeight="1">
      <c r="A315" s="257" t="s">
        <v>166</v>
      </c>
      <c r="B315" s="12" t="s">
        <v>51</v>
      </c>
      <c r="C315" s="286">
        <v>13500</v>
      </c>
      <c r="D315" s="285"/>
      <c r="E315" s="283"/>
      <c r="F315" s="624"/>
      <c r="I315" s="260"/>
    </row>
    <row r="316" spans="1:9" s="125" customFormat="1" ht="13.5" customHeight="1">
      <c r="A316" s="71"/>
      <c r="B316" s="71"/>
      <c r="C316" s="23"/>
      <c r="D316" s="23"/>
      <c r="E316" s="23"/>
      <c r="F316" s="624"/>
      <c r="I316" s="260"/>
    </row>
    <row r="317" spans="1:9" s="125" customFormat="1" ht="13.5" customHeight="1" thickBot="1">
      <c r="A317" s="71"/>
      <c r="B317" s="71"/>
      <c r="C317" s="23"/>
      <c r="D317" s="23"/>
      <c r="E317" s="23"/>
      <c r="F317" s="624"/>
      <c r="I317" s="260"/>
    </row>
    <row r="318" spans="1:9" s="125" customFormat="1" ht="13.5" customHeight="1">
      <c r="A318" s="988" t="s">
        <v>873</v>
      </c>
      <c r="B318" s="1009"/>
      <c r="C318" s="989"/>
      <c r="D318" s="626" t="s">
        <v>6</v>
      </c>
      <c r="E318" s="755">
        <v>1307</v>
      </c>
      <c r="F318" s="624"/>
      <c r="I318" s="260"/>
    </row>
    <row r="319" spans="1:9" s="125" customFormat="1" ht="13.5" customHeight="1" thickBot="1">
      <c r="A319" s="990"/>
      <c r="B319" s="1010"/>
      <c r="C319" s="991"/>
      <c r="D319" s="702"/>
      <c r="E319" s="703"/>
      <c r="F319" s="624"/>
      <c r="I319" s="260"/>
    </row>
    <row r="320" spans="1:9" s="125" customFormat="1" ht="13.5" customHeight="1">
      <c r="A320" s="1075" t="s">
        <v>874</v>
      </c>
      <c r="B320" s="1076"/>
      <c r="C320" s="1076"/>
      <c r="D320" s="1076"/>
      <c r="E320" s="1077"/>
      <c r="F320" s="624"/>
      <c r="I320" s="260"/>
    </row>
    <row r="321" spans="1:9" s="125" customFormat="1" ht="13.5" customHeight="1">
      <c r="A321" s="1078"/>
      <c r="B321" s="1079"/>
      <c r="C321" s="1079"/>
      <c r="D321" s="1079"/>
      <c r="E321" s="1080"/>
      <c r="F321" s="624"/>
      <c r="I321" s="260"/>
    </row>
    <row r="322" spans="1:9" s="125" customFormat="1" ht="13.5" customHeight="1" thickBot="1">
      <c r="A322" s="1081"/>
      <c r="B322" s="1082"/>
      <c r="C322" s="1082"/>
      <c r="D322" s="1082"/>
      <c r="E322" s="1083"/>
      <c r="F322" s="624"/>
      <c r="I322" s="260"/>
    </row>
    <row r="323" spans="1:9" s="125" customFormat="1" ht="13.5" customHeight="1">
      <c r="A323" s="252" t="s">
        <v>809</v>
      </c>
      <c r="B323" s="52"/>
      <c r="C323" s="286"/>
      <c r="D323" s="261"/>
      <c r="E323" s="288"/>
      <c r="F323" s="624"/>
      <c r="I323" s="260"/>
    </row>
    <row r="324" spans="1:9" s="125" customFormat="1" ht="13.5" customHeight="1">
      <c r="A324" s="252" t="s">
        <v>875</v>
      </c>
      <c r="B324" s="52"/>
      <c r="C324" s="286"/>
      <c r="D324" s="261"/>
      <c r="E324" s="288"/>
      <c r="F324" s="624"/>
      <c r="I324" s="260"/>
    </row>
    <row r="325" spans="1:9" s="125" customFormat="1" ht="13.5" customHeight="1">
      <c r="A325" s="252" t="s">
        <v>876</v>
      </c>
      <c r="B325" s="52"/>
      <c r="C325" s="286"/>
      <c r="D325" s="261"/>
      <c r="E325" s="288"/>
      <c r="F325" s="624"/>
      <c r="I325" s="260"/>
    </row>
    <row r="326" spans="1:9" s="125" customFormat="1" ht="13.5" customHeight="1" thickBot="1">
      <c r="A326" s="252" t="s">
        <v>11</v>
      </c>
      <c r="B326" s="52"/>
      <c r="C326" s="286"/>
      <c r="D326" s="261"/>
      <c r="E326" s="288"/>
      <c r="F326" s="624"/>
      <c r="I326" s="260"/>
    </row>
    <row r="327" spans="1:9" s="125" customFormat="1" ht="13.5" customHeight="1" thickBot="1">
      <c r="A327" s="697" t="s">
        <v>0</v>
      </c>
      <c r="B327" s="698"/>
      <c r="C327" s="699"/>
      <c r="D327" s="700"/>
      <c r="E327" s="701">
        <f>(C329+C340+C351)</f>
        <v>1891090</v>
      </c>
      <c r="F327" s="624"/>
      <c r="I327" s="260"/>
    </row>
    <row r="328" spans="1:9" s="125" customFormat="1" ht="13.5" customHeight="1" thickBot="1">
      <c r="A328" s="319"/>
      <c r="B328" s="319"/>
      <c r="C328" s="283"/>
      <c r="D328" s="285"/>
      <c r="E328" s="283"/>
      <c r="F328" s="624"/>
      <c r="I328" s="260"/>
    </row>
    <row r="329" spans="1:9" s="125" customFormat="1" ht="13.5" customHeight="1" thickBot="1">
      <c r="A329" s="992" t="s">
        <v>2</v>
      </c>
      <c r="B329" s="993"/>
      <c r="C329" s="602">
        <f>(C330+C332+C334+C336)</f>
        <v>176740</v>
      </c>
      <c r="D329" s="285"/>
      <c r="E329" s="283"/>
      <c r="F329" s="624"/>
      <c r="I329" s="260"/>
    </row>
    <row r="330" spans="1:9" s="125" customFormat="1" ht="13.5" customHeight="1">
      <c r="A330" s="11" t="s">
        <v>103</v>
      </c>
      <c r="B330" s="510" t="s">
        <v>104</v>
      </c>
      <c r="C330" s="32">
        <f>SUM(C331:C331)</f>
        <v>18750</v>
      </c>
      <c r="D330" s="285"/>
      <c r="E330" s="283"/>
      <c r="F330" s="624"/>
      <c r="I330" s="260"/>
    </row>
    <row r="331" spans="1:9" s="125" customFormat="1" ht="13.5" customHeight="1">
      <c r="A331" s="12" t="s">
        <v>46</v>
      </c>
      <c r="B331" s="71" t="s">
        <v>45</v>
      </c>
      <c r="C331" s="22">
        <v>18750</v>
      </c>
      <c r="D331" s="285"/>
      <c r="E331" s="283"/>
      <c r="F331" s="624"/>
      <c r="I331" s="260"/>
    </row>
    <row r="332" spans="1:9" s="125" customFormat="1" ht="13.5" customHeight="1">
      <c r="A332" s="11" t="s">
        <v>107</v>
      </c>
      <c r="B332" s="249" t="s">
        <v>108</v>
      </c>
      <c r="C332" s="31">
        <f>SUM(C333)</f>
        <v>8670</v>
      </c>
      <c r="D332" s="285"/>
      <c r="E332" s="283"/>
      <c r="F332" s="624"/>
      <c r="I332" s="260"/>
    </row>
    <row r="333" spans="1:9" s="125" customFormat="1" ht="13.5" customHeight="1">
      <c r="A333" s="12" t="s">
        <v>47</v>
      </c>
      <c r="B333" s="24" t="s">
        <v>48</v>
      </c>
      <c r="C333" s="24">
        <v>8670</v>
      </c>
      <c r="D333" s="285"/>
      <c r="E333" s="283"/>
      <c r="F333" s="624"/>
      <c r="I333" s="260"/>
    </row>
    <row r="334" spans="1:9" s="125" customFormat="1" ht="13.5" customHeight="1">
      <c r="A334" s="249" t="s">
        <v>124</v>
      </c>
      <c r="B334" s="25" t="s">
        <v>123</v>
      </c>
      <c r="C334" s="31">
        <f>SUM(C335:C335)</f>
        <v>45850</v>
      </c>
      <c r="D334" s="285"/>
      <c r="E334" s="283"/>
      <c r="F334" s="624"/>
      <c r="I334" s="260"/>
    </row>
    <row r="335" spans="1:9" s="125" customFormat="1" ht="13.5" customHeight="1">
      <c r="A335" s="71" t="s">
        <v>93</v>
      </c>
      <c r="B335" s="23" t="s">
        <v>72</v>
      </c>
      <c r="C335" s="24">
        <v>45850</v>
      </c>
      <c r="D335" s="285"/>
      <c r="E335" s="283"/>
      <c r="F335" s="624"/>
      <c r="I335" s="260"/>
    </row>
    <row r="336" spans="1:9" s="125" customFormat="1" ht="13.5" customHeight="1">
      <c r="A336" s="249" t="s">
        <v>296</v>
      </c>
      <c r="B336" s="25" t="s">
        <v>133</v>
      </c>
      <c r="C336" s="31">
        <f>SUM(C337:C338)</f>
        <v>103470</v>
      </c>
      <c r="D336" s="285"/>
      <c r="E336" s="283"/>
      <c r="F336" s="624"/>
      <c r="I336" s="260"/>
    </row>
    <row r="337" spans="1:9" s="125" customFormat="1" ht="13.5" customHeight="1">
      <c r="A337" s="12" t="s">
        <v>151</v>
      </c>
      <c r="B337" s="24" t="s">
        <v>65</v>
      </c>
      <c r="C337" s="24">
        <v>54820</v>
      </c>
      <c r="D337" s="285"/>
      <c r="E337" s="283"/>
      <c r="F337" s="624"/>
      <c r="I337" s="260"/>
    </row>
    <row r="338" spans="1:9" s="125" customFormat="1" ht="13.5" customHeight="1">
      <c r="A338" s="71" t="s">
        <v>154</v>
      </c>
      <c r="B338" s="23" t="s">
        <v>133</v>
      </c>
      <c r="C338" s="24">
        <v>48650</v>
      </c>
      <c r="D338" s="285"/>
      <c r="E338" s="283"/>
      <c r="F338" s="624"/>
      <c r="I338" s="260"/>
    </row>
    <row r="339" spans="1:9" s="125" customFormat="1" ht="13.5" customHeight="1" thickBot="1">
      <c r="A339" s="71"/>
      <c r="B339" s="23"/>
      <c r="C339" s="24"/>
      <c r="D339" s="285"/>
      <c r="E339" s="283"/>
      <c r="F339" s="624"/>
      <c r="I339" s="260"/>
    </row>
    <row r="340" spans="1:9" s="125" customFormat="1" ht="13.5" customHeight="1" thickBot="1">
      <c r="A340" s="994" t="s">
        <v>3</v>
      </c>
      <c r="B340" s="995"/>
      <c r="C340" s="603">
        <f>(C344+C341+C346)</f>
        <v>1475850</v>
      </c>
      <c r="D340" s="285"/>
      <c r="E340" s="283"/>
      <c r="F340" s="624"/>
      <c r="I340" s="260"/>
    </row>
    <row r="341" spans="1:9" s="125" customFormat="1" ht="13.5" customHeight="1">
      <c r="A341" s="11" t="s">
        <v>505</v>
      </c>
      <c r="B341" s="31" t="s">
        <v>121</v>
      </c>
      <c r="C341" s="31">
        <f>SUM(C342:C343)</f>
        <v>534200</v>
      </c>
      <c r="D341" s="285"/>
      <c r="E341" s="283"/>
      <c r="F341" s="624"/>
      <c r="I341" s="260"/>
    </row>
    <row r="342" spans="1:9" s="125" customFormat="1" ht="13.5" customHeight="1">
      <c r="A342" s="12" t="s">
        <v>245</v>
      </c>
      <c r="B342" s="24" t="s">
        <v>246</v>
      </c>
      <c r="C342" s="24">
        <v>408600</v>
      </c>
      <c r="D342" s="285"/>
      <c r="E342" s="283"/>
      <c r="F342" s="624"/>
      <c r="I342" s="260"/>
    </row>
    <row r="343" spans="1:9" s="125" customFormat="1" ht="13.5" customHeight="1">
      <c r="A343" s="12" t="s">
        <v>136</v>
      </c>
      <c r="B343" s="24" t="s">
        <v>71</v>
      </c>
      <c r="C343" s="24">
        <v>125600</v>
      </c>
      <c r="D343" s="285"/>
      <c r="E343" s="283"/>
      <c r="F343" s="624"/>
      <c r="I343" s="260"/>
    </row>
    <row r="344" spans="1:9" s="125" customFormat="1" ht="13.5">
      <c r="A344" s="11" t="s">
        <v>112</v>
      </c>
      <c r="B344" s="11" t="s">
        <v>156</v>
      </c>
      <c r="C344" s="25">
        <f>SUM(C345:C345)</f>
        <v>115850</v>
      </c>
      <c r="D344" s="285"/>
      <c r="E344" s="283"/>
      <c r="F344" s="624"/>
      <c r="I344" s="260"/>
    </row>
    <row r="345" spans="1:9" s="125" customFormat="1" ht="13.5">
      <c r="A345" s="12" t="s">
        <v>49</v>
      </c>
      <c r="B345" s="24" t="s">
        <v>87</v>
      </c>
      <c r="C345" s="24">
        <v>115850</v>
      </c>
      <c r="D345" s="285"/>
      <c r="E345" s="283"/>
      <c r="F345" s="624"/>
      <c r="I345" s="260"/>
    </row>
    <row r="346" spans="1:9" s="125" customFormat="1" ht="13.5" customHeight="1">
      <c r="A346" s="11" t="s">
        <v>115</v>
      </c>
      <c r="B346" s="31" t="s">
        <v>8</v>
      </c>
      <c r="C346" s="31">
        <f>SUM(C347:C349)</f>
        <v>825800</v>
      </c>
      <c r="D346" s="285"/>
      <c r="E346" s="283"/>
      <c r="F346" s="624"/>
      <c r="I346" s="260"/>
    </row>
    <row r="347" spans="1:9" s="125" customFormat="1" ht="13.5" customHeight="1">
      <c r="A347" s="12" t="s">
        <v>92</v>
      </c>
      <c r="B347" s="24" t="s">
        <v>8</v>
      </c>
      <c r="C347" s="24">
        <v>488600</v>
      </c>
      <c r="D347" s="285"/>
      <c r="E347" s="283"/>
      <c r="F347" s="624"/>
      <c r="I347" s="260"/>
    </row>
    <row r="348" spans="1:9" s="125" customFormat="1" ht="13.5" customHeight="1">
      <c r="A348" s="12" t="s">
        <v>182</v>
      </c>
      <c r="B348" s="24" t="s">
        <v>50</v>
      </c>
      <c r="C348" s="24">
        <v>6700</v>
      </c>
      <c r="D348" s="285"/>
      <c r="E348" s="283"/>
      <c r="F348" s="624"/>
      <c r="I348" s="260"/>
    </row>
    <row r="349" spans="1:9" s="125" customFormat="1" ht="13.5" customHeight="1">
      <c r="A349" s="12" t="s">
        <v>90</v>
      </c>
      <c r="B349" s="24" t="s">
        <v>7</v>
      </c>
      <c r="C349" s="24">
        <v>330500</v>
      </c>
      <c r="D349" s="285"/>
      <c r="E349" s="283"/>
      <c r="F349" s="624"/>
      <c r="I349" s="260"/>
    </row>
    <row r="350" spans="1:9" s="125" customFormat="1" ht="13.5" customHeight="1" thickBot="1">
      <c r="A350" s="12"/>
      <c r="B350" s="24"/>
      <c r="C350" s="24"/>
      <c r="D350" s="285"/>
      <c r="E350" s="283"/>
      <c r="F350" s="624"/>
      <c r="I350" s="260"/>
    </row>
    <row r="351" spans="1:9" s="125" customFormat="1" ht="13.5" customHeight="1" thickBot="1">
      <c r="A351" s="996" t="s">
        <v>4</v>
      </c>
      <c r="B351" s="997"/>
      <c r="C351" s="605">
        <f>(C354+C352+C356)</f>
        <v>238500</v>
      </c>
      <c r="D351" s="285"/>
      <c r="E351" s="283"/>
      <c r="F351" s="624"/>
      <c r="I351" s="260"/>
    </row>
    <row r="352" spans="1:9" s="125" customFormat="1" ht="13.5" customHeight="1">
      <c r="A352" s="249" t="s">
        <v>673</v>
      </c>
      <c r="B352" s="249" t="s">
        <v>177</v>
      </c>
      <c r="C352" s="31">
        <f>SUM(C353)</f>
        <v>35000</v>
      </c>
      <c r="D352" s="285"/>
      <c r="E352" s="283"/>
      <c r="F352" s="624"/>
      <c r="I352" s="260"/>
    </row>
    <row r="353" spans="1:9" s="125" customFormat="1" ht="13.5" customHeight="1">
      <c r="A353" s="71" t="s">
        <v>172</v>
      </c>
      <c r="B353" s="71" t="s">
        <v>171</v>
      </c>
      <c r="C353" s="24">
        <v>35000</v>
      </c>
      <c r="D353" s="285"/>
      <c r="E353" s="283"/>
      <c r="F353" s="624"/>
      <c r="I353" s="260"/>
    </row>
    <row r="354" spans="1:9" s="125" customFormat="1" ht="13.5" customHeight="1">
      <c r="A354" s="249" t="s">
        <v>116</v>
      </c>
      <c r="B354" s="510" t="s">
        <v>117</v>
      </c>
      <c r="C354" s="273">
        <f>SUM(C355)</f>
        <v>18500</v>
      </c>
      <c r="D354" s="285"/>
      <c r="E354" s="283"/>
      <c r="F354" s="624"/>
      <c r="I354" s="260"/>
    </row>
    <row r="355" spans="1:9" s="125" customFormat="1" ht="13.5" customHeight="1">
      <c r="A355" s="71" t="s">
        <v>91</v>
      </c>
      <c r="B355" s="71" t="s">
        <v>139</v>
      </c>
      <c r="C355" s="24">
        <v>18500</v>
      </c>
      <c r="D355" s="285"/>
      <c r="E355" s="283"/>
      <c r="F355" s="624"/>
      <c r="I355" s="260"/>
    </row>
    <row r="356" spans="1:9" s="125" customFormat="1" ht="13.5" customHeight="1">
      <c r="A356" s="246" t="s">
        <v>165</v>
      </c>
      <c r="B356" s="11" t="s">
        <v>134</v>
      </c>
      <c r="C356" s="31">
        <f>SUM(C357)</f>
        <v>185000</v>
      </c>
      <c r="D356" s="285"/>
      <c r="E356" s="283"/>
      <c r="F356" s="624"/>
      <c r="I356" s="260"/>
    </row>
    <row r="357" spans="1:9" s="125" customFormat="1" ht="13.5" customHeight="1">
      <c r="A357" s="257" t="s">
        <v>166</v>
      </c>
      <c r="B357" s="12" t="s">
        <v>51</v>
      </c>
      <c r="C357" s="286">
        <v>185000</v>
      </c>
      <c r="D357" s="285"/>
      <c r="E357" s="283"/>
      <c r="F357" s="624"/>
      <c r="I357" s="260"/>
    </row>
    <row r="358" spans="1:9" s="125" customFormat="1" ht="13.5" customHeight="1">
      <c r="A358" s="71"/>
      <c r="B358" s="71"/>
      <c r="C358" s="23"/>
      <c r="D358" s="23"/>
      <c r="E358" s="23"/>
      <c r="F358" s="624"/>
      <c r="I358" s="260"/>
    </row>
    <row r="359" spans="1:9" s="125" customFormat="1" ht="13.5" customHeight="1" thickBot="1">
      <c r="A359" s="71"/>
      <c r="B359" s="71"/>
      <c r="C359" s="23"/>
      <c r="D359" s="23"/>
      <c r="E359" s="23"/>
      <c r="F359" s="624"/>
      <c r="I359" s="260"/>
    </row>
    <row r="360" spans="1:9" s="125" customFormat="1" ht="13.5" customHeight="1">
      <c r="A360" s="988" t="s">
        <v>877</v>
      </c>
      <c r="B360" s="1009"/>
      <c r="C360" s="989"/>
      <c r="D360" s="627" t="s">
        <v>6</v>
      </c>
      <c r="E360" s="755">
        <v>1308</v>
      </c>
      <c r="F360" s="774"/>
      <c r="G360" s="287"/>
      <c r="I360" s="260"/>
    </row>
    <row r="361" spans="1:9" s="125" customFormat="1" ht="13.5" customHeight="1" thickBot="1">
      <c r="A361" s="990"/>
      <c r="B361" s="1010"/>
      <c r="C361" s="991"/>
      <c r="D361" s="669"/>
      <c r="E361" s="673"/>
      <c r="F361" s="624"/>
      <c r="G361" s="287"/>
      <c r="I361" s="260"/>
    </row>
    <row r="362" spans="1:9" s="125" customFormat="1" ht="13.5" customHeight="1">
      <c r="A362" s="979" t="s">
        <v>878</v>
      </c>
      <c r="B362" s="980"/>
      <c r="C362" s="980"/>
      <c r="D362" s="980"/>
      <c r="E362" s="981"/>
      <c r="F362" s="624"/>
      <c r="G362" s="287"/>
      <c r="I362" s="260"/>
    </row>
    <row r="363" spans="1:9" s="125" customFormat="1" ht="13.5" customHeight="1">
      <c r="A363" s="982"/>
      <c r="B363" s="983"/>
      <c r="C363" s="983"/>
      <c r="D363" s="983"/>
      <c r="E363" s="984"/>
      <c r="F363" s="624"/>
      <c r="G363" s="287"/>
      <c r="I363" s="260"/>
    </row>
    <row r="364" spans="1:9" s="119" customFormat="1" ht="13.5" customHeight="1">
      <c r="A364" s="982"/>
      <c r="B364" s="983"/>
      <c r="C364" s="983"/>
      <c r="D364" s="983"/>
      <c r="E364" s="984"/>
      <c r="F364" s="763"/>
      <c r="G364" s="287"/>
      <c r="I364" s="301"/>
    </row>
    <row r="365" spans="1:9" s="125" customFormat="1" ht="13.5" customHeight="1">
      <c r="A365" s="982"/>
      <c r="B365" s="983"/>
      <c r="C365" s="983"/>
      <c r="D365" s="983"/>
      <c r="E365" s="984"/>
      <c r="F365" s="624"/>
      <c r="G365" s="287"/>
      <c r="I365" s="260"/>
    </row>
    <row r="366" spans="1:9" s="119" customFormat="1" ht="13.5" customHeight="1">
      <c r="A366" s="982"/>
      <c r="B366" s="983"/>
      <c r="C366" s="983"/>
      <c r="D366" s="983"/>
      <c r="E366" s="984"/>
      <c r="F366" s="763"/>
      <c r="G366" s="287"/>
      <c r="I366" s="301"/>
    </row>
    <row r="367" spans="1:9" s="119" customFormat="1" ht="13.5" customHeight="1">
      <c r="A367" s="982"/>
      <c r="B367" s="983"/>
      <c r="C367" s="983"/>
      <c r="D367" s="983"/>
      <c r="E367" s="984"/>
      <c r="F367" s="763"/>
      <c r="G367" s="287"/>
      <c r="I367" s="301"/>
    </row>
    <row r="368" spans="1:9" s="119" customFormat="1" ht="13.5" customHeight="1">
      <c r="A368" s="982"/>
      <c r="B368" s="983"/>
      <c r="C368" s="983"/>
      <c r="D368" s="983"/>
      <c r="E368" s="984"/>
      <c r="F368" s="763"/>
      <c r="I368" s="301"/>
    </row>
    <row r="369" spans="1:9" s="119" customFormat="1" ht="13.5" customHeight="1">
      <c r="A369" s="982"/>
      <c r="B369" s="983"/>
      <c r="C369" s="983"/>
      <c r="D369" s="983"/>
      <c r="E369" s="984"/>
      <c r="F369" s="763"/>
      <c r="I369" s="301"/>
    </row>
    <row r="370" spans="1:9" s="119" customFormat="1" ht="13.5" customHeight="1">
      <c r="A370" s="982"/>
      <c r="B370" s="983"/>
      <c r="C370" s="983"/>
      <c r="D370" s="983"/>
      <c r="E370" s="984"/>
      <c r="F370" s="763"/>
      <c r="I370" s="301"/>
    </row>
    <row r="371" spans="1:9" s="119" customFormat="1" ht="13.5" customHeight="1">
      <c r="A371" s="982"/>
      <c r="B371" s="983"/>
      <c r="C371" s="983"/>
      <c r="D371" s="983"/>
      <c r="E371" s="984"/>
      <c r="F371" s="763"/>
      <c r="I371" s="301"/>
    </row>
    <row r="372" spans="1:9" s="119" customFormat="1" ht="13.5" customHeight="1">
      <c r="A372" s="982"/>
      <c r="B372" s="983"/>
      <c r="C372" s="983"/>
      <c r="D372" s="983"/>
      <c r="E372" s="984"/>
      <c r="F372" s="763"/>
      <c r="G372" s="287"/>
      <c r="I372" s="301"/>
    </row>
    <row r="373" spans="1:9" s="119" customFormat="1" ht="13.5" customHeight="1">
      <c r="A373" s="982"/>
      <c r="B373" s="983"/>
      <c r="C373" s="983"/>
      <c r="D373" s="983"/>
      <c r="E373" s="984"/>
      <c r="F373" s="763"/>
      <c r="G373" s="287"/>
      <c r="I373" s="301"/>
    </row>
    <row r="374" spans="1:9" s="119" customFormat="1" ht="13.5" customHeight="1">
      <c r="A374" s="982"/>
      <c r="B374" s="983"/>
      <c r="C374" s="983"/>
      <c r="D374" s="983"/>
      <c r="E374" s="984"/>
      <c r="F374" s="763"/>
      <c r="G374" s="287"/>
      <c r="I374" s="301"/>
    </row>
    <row r="375" spans="1:9" s="119" customFormat="1" ht="20.25" customHeight="1" thickBot="1">
      <c r="A375" s="985"/>
      <c r="B375" s="986"/>
      <c r="C375" s="986"/>
      <c r="D375" s="986"/>
      <c r="E375" s="987"/>
      <c r="F375" s="763"/>
      <c r="G375" s="287"/>
      <c r="I375" s="301"/>
    </row>
    <row r="376" spans="1:9" s="125" customFormat="1" ht="13.5" customHeight="1">
      <c r="A376" s="252" t="s">
        <v>809</v>
      </c>
      <c r="B376" s="52"/>
      <c r="C376" s="24"/>
      <c r="D376" s="24"/>
      <c r="E376" s="303"/>
      <c r="F376" s="624"/>
      <c r="I376" s="260"/>
    </row>
    <row r="377" spans="1:9" s="125" customFormat="1" ht="13.5" customHeight="1">
      <c r="A377" s="252" t="s">
        <v>879</v>
      </c>
      <c r="B377" s="52"/>
      <c r="C377" s="24"/>
      <c r="D377" s="24"/>
      <c r="E377" s="303"/>
      <c r="F377" s="624"/>
      <c r="I377" s="260"/>
    </row>
    <row r="378" spans="1:9" s="125" customFormat="1" ht="13.5" customHeight="1">
      <c r="A378" s="252" t="s">
        <v>880</v>
      </c>
      <c r="B378" s="52"/>
      <c r="C378" s="24"/>
      <c r="D378" s="24"/>
      <c r="E378" s="303"/>
      <c r="F378" s="624"/>
      <c r="I378" s="260"/>
    </row>
    <row r="379" spans="1:9" s="125" customFormat="1" ht="13.5" customHeight="1" thickBot="1">
      <c r="A379" s="304" t="s">
        <v>11</v>
      </c>
      <c r="B379" s="52"/>
      <c r="C379" s="24"/>
      <c r="D379" s="24"/>
      <c r="E379" s="303"/>
      <c r="F379" s="624"/>
      <c r="I379" s="260"/>
    </row>
    <row r="380" spans="1:9" s="289" customFormat="1" ht="13.5" customHeight="1" thickBot="1">
      <c r="A380" s="697" t="s">
        <v>289</v>
      </c>
      <c r="B380" s="698"/>
      <c r="C380" s="699"/>
      <c r="D380" s="699"/>
      <c r="E380" s="707">
        <f>(C382+C415+C447+C443)</f>
        <v>24549695</v>
      </c>
      <c r="F380" s="624"/>
      <c r="I380" s="290"/>
    </row>
    <row r="381" spans="1:9" s="125" customFormat="1" ht="13.5" customHeight="1" thickBot="1">
      <c r="A381" s="257"/>
      <c r="B381" s="257"/>
      <c r="C381" s="258"/>
      <c r="D381" s="259"/>
      <c r="E381" s="258"/>
      <c r="F381" s="624"/>
      <c r="I381" s="260"/>
    </row>
    <row r="382" spans="1:8" s="125" customFormat="1" ht="13.5" customHeight="1" thickBot="1">
      <c r="A382" s="992" t="s">
        <v>2</v>
      </c>
      <c r="B382" s="993"/>
      <c r="C382" s="602">
        <f>C383+C386+C389+C391+C393+C397+C402+C410</f>
        <v>3092845</v>
      </c>
      <c r="D382" s="259"/>
      <c r="F382" s="775"/>
      <c r="G382" s="273"/>
      <c r="H382" s="249"/>
    </row>
    <row r="383" spans="1:8" s="121" customFormat="1" ht="13.5" customHeight="1">
      <c r="A383" s="11" t="s">
        <v>103</v>
      </c>
      <c r="B383" s="510" t="s">
        <v>104</v>
      </c>
      <c r="C383" s="32">
        <f>SUM(C384:C385)</f>
        <v>814310</v>
      </c>
      <c r="D383" s="276"/>
      <c r="F383" s="776"/>
      <c r="G383" s="276"/>
      <c r="H383" s="100"/>
    </row>
    <row r="384" spans="1:8" s="121" customFormat="1" ht="13.5" customHeight="1">
      <c r="A384" s="12" t="s">
        <v>46</v>
      </c>
      <c r="B384" s="71" t="s">
        <v>45</v>
      </c>
      <c r="C384" s="22">
        <v>32060</v>
      </c>
      <c r="D384" s="276"/>
      <c r="F384" s="776"/>
      <c r="G384" s="276"/>
      <c r="H384" s="100"/>
    </row>
    <row r="385" spans="1:9" s="125" customFormat="1" ht="13.5" customHeight="1">
      <c r="A385" s="71" t="s">
        <v>290</v>
      </c>
      <c r="B385" s="12" t="s">
        <v>291</v>
      </c>
      <c r="C385" s="24">
        <v>782250</v>
      </c>
      <c r="D385" s="23"/>
      <c r="F385" s="775"/>
      <c r="G385" s="258"/>
      <c r="H385" s="249"/>
      <c r="I385" s="21"/>
    </row>
    <row r="386" spans="1:9" s="71" customFormat="1" ht="13.5" customHeight="1">
      <c r="A386" s="11" t="s">
        <v>200</v>
      </c>
      <c r="B386" s="505" t="s">
        <v>199</v>
      </c>
      <c r="C386" s="31">
        <f>SUM(C387:C388)</f>
        <v>49055</v>
      </c>
      <c r="F386" s="536"/>
      <c r="G386" s="77"/>
      <c r="H386" s="25"/>
      <c r="I386" s="265"/>
    </row>
    <row r="387" spans="1:9" s="71" customFormat="1" ht="13.5" customHeight="1">
      <c r="A387" s="12" t="s">
        <v>228</v>
      </c>
      <c r="B387" s="42" t="s">
        <v>227</v>
      </c>
      <c r="C387" s="24">
        <v>39475</v>
      </c>
      <c r="F387" s="536"/>
      <c r="H387" s="25"/>
      <c r="I387" s="265"/>
    </row>
    <row r="388" spans="1:9" s="71" customFormat="1" ht="13.5" customHeight="1">
      <c r="A388" s="12" t="s">
        <v>219</v>
      </c>
      <c r="B388" s="42" t="s">
        <v>218</v>
      </c>
      <c r="C388" s="24">
        <v>9580</v>
      </c>
      <c r="F388" s="536"/>
      <c r="G388" s="78"/>
      <c r="H388" s="25"/>
      <c r="I388" s="265"/>
    </row>
    <row r="389" spans="1:9" s="125" customFormat="1" ht="13.5" customHeight="1">
      <c r="A389" s="11" t="s">
        <v>105</v>
      </c>
      <c r="B389" s="249" t="s">
        <v>106</v>
      </c>
      <c r="C389" s="31">
        <f>SUM(C390)</f>
        <v>125900</v>
      </c>
      <c r="F389" s="624"/>
      <c r="G389" s="23"/>
      <c r="H389" s="258"/>
      <c r="I389" s="260"/>
    </row>
    <row r="390" spans="1:9" s="12" customFormat="1" ht="13.5" customHeight="1">
      <c r="A390" s="12" t="s">
        <v>86</v>
      </c>
      <c r="B390" s="71" t="s">
        <v>66</v>
      </c>
      <c r="C390" s="24">
        <v>125900</v>
      </c>
      <c r="F390" s="768"/>
      <c r="G390" s="22"/>
      <c r="H390" s="31"/>
      <c r="I390" s="279"/>
    </row>
    <row r="391" spans="1:9" s="12" customFormat="1" ht="13.5" customHeight="1">
      <c r="A391" s="11" t="s">
        <v>107</v>
      </c>
      <c r="B391" s="249" t="s">
        <v>108</v>
      </c>
      <c r="C391" s="31">
        <f>SUM(C392)</f>
        <v>66500</v>
      </c>
      <c r="F391" s="768"/>
      <c r="G391" s="22"/>
      <c r="H391" s="31"/>
      <c r="I391" s="279"/>
    </row>
    <row r="392" spans="1:9" s="71" customFormat="1" ht="13.5" customHeight="1">
      <c r="A392" s="12" t="s">
        <v>47</v>
      </c>
      <c r="B392" s="24" t="s">
        <v>48</v>
      </c>
      <c r="C392" s="24">
        <v>66500</v>
      </c>
      <c r="F392" s="536"/>
      <c r="G392" s="77"/>
      <c r="H392" s="25"/>
      <c r="I392" s="265"/>
    </row>
    <row r="393" spans="1:9" s="71" customFormat="1" ht="13.5" customHeight="1">
      <c r="A393" s="11" t="s">
        <v>196</v>
      </c>
      <c r="B393" s="25" t="s">
        <v>195</v>
      </c>
      <c r="C393" s="31">
        <f>SUM(C394:C396)</f>
        <v>1139350</v>
      </c>
      <c r="F393" s="536"/>
      <c r="G393" s="77"/>
      <c r="H393" s="25"/>
      <c r="I393" s="265"/>
    </row>
    <row r="394" spans="1:9" s="71" customFormat="1" ht="13.5" customHeight="1">
      <c r="A394" s="71" t="s">
        <v>194</v>
      </c>
      <c r="B394" s="71" t="s">
        <v>216</v>
      </c>
      <c r="C394" s="24">
        <v>1110000</v>
      </c>
      <c r="F394" s="536"/>
      <c r="G394" s="77"/>
      <c r="H394" s="25"/>
      <c r="I394" s="265"/>
    </row>
    <row r="395" spans="1:9" s="125" customFormat="1" ht="13.5" customHeight="1">
      <c r="A395" s="71" t="s">
        <v>292</v>
      </c>
      <c r="B395" s="71" t="s">
        <v>293</v>
      </c>
      <c r="C395" s="24">
        <v>12500</v>
      </c>
      <c r="F395" s="624"/>
      <c r="G395" s="25"/>
      <c r="H395" s="258"/>
      <c r="I395" s="260"/>
    </row>
    <row r="396" spans="1:9" s="125" customFormat="1" ht="13.5" customHeight="1">
      <c r="A396" s="71" t="s">
        <v>294</v>
      </c>
      <c r="B396" s="71" t="s">
        <v>295</v>
      </c>
      <c r="C396" s="24">
        <v>16850</v>
      </c>
      <c r="F396" s="624"/>
      <c r="G396" s="25"/>
      <c r="H396" s="258"/>
      <c r="I396" s="260"/>
    </row>
    <row r="397" spans="1:9" s="127" customFormat="1" ht="12.75" customHeight="1">
      <c r="A397" s="249" t="s">
        <v>119</v>
      </c>
      <c r="B397" s="249" t="s">
        <v>109</v>
      </c>
      <c r="C397" s="31">
        <f>SUM(C398:C401)</f>
        <v>97390</v>
      </c>
      <c r="D397" s="22"/>
      <c r="E397" s="25"/>
      <c r="F397" s="539"/>
      <c r="I397" s="265"/>
    </row>
    <row r="398" spans="1:9" s="12" customFormat="1" ht="13.5" customHeight="1">
      <c r="A398" s="12" t="s">
        <v>191</v>
      </c>
      <c r="B398" s="24" t="s">
        <v>262</v>
      </c>
      <c r="C398" s="24">
        <v>6570</v>
      </c>
      <c r="D398" s="22"/>
      <c r="E398" s="31"/>
      <c r="F398" s="768"/>
      <c r="G398" s="24"/>
      <c r="I398" s="279"/>
    </row>
    <row r="399" spans="1:9" s="5" customFormat="1" ht="13.5">
      <c r="A399" s="71" t="s">
        <v>189</v>
      </c>
      <c r="B399" s="71" t="s">
        <v>188</v>
      </c>
      <c r="C399" s="24">
        <v>6520</v>
      </c>
      <c r="E399" s="21"/>
      <c r="F399" s="539"/>
      <c r="G399" s="21"/>
      <c r="I399" s="280"/>
    </row>
    <row r="400" spans="1:9" s="5" customFormat="1" ht="13.5">
      <c r="A400" s="71" t="s">
        <v>213</v>
      </c>
      <c r="B400" s="71" t="s">
        <v>212</v>
      </c>
      <c r="C400" s="24">
        <v>67800</v>
      </c>
      <c r="D400" s="21"/>
      <c r="E400" s="21"/>
      <c r="F400" s="539"/>
      <c r="I400" s="280"/>
    </row>
    <row r="401" spans="1:9" s="71" customFormat="1" ht="13.5" customHeight="1">
      <c r="A401" s="71" t="s">
        <v>187</v>
      </c>
      <c r="B401" s="71" t="s">
        <v>263</v>
      </c>
      <c r="C401" s="24">
        <v>16500</v>
      </c>
      <c r="E401" s="25"/>
      <c r="F401" s="536"/>
      <c r="G401" s="24"/>
      <c r="H401" s="12"/>
      <c r="I401" s="265"/>
    </row>
    <row r="402" spans="1:9" s="12" customFormat="1" ht="13.5" customHeight="1">
      <c r="A402" s="249" t="s">
        <v>124</v>
      </c>
      <c r="B402" s="25" t="s">
        <v>123</v>
      </c>
      <c r="C402" s="31">
        <f>SUM(C403:C409)</f>
        <v>706990</v>
      </c>
      <c r="D402" s="22"/>
      <c r="E402" s="31"/>
      <c r="F402" s="768"/>
      <c r="G402" s="24"/>
      <c r="I402" s="279"/>
    </row>
    <row r="403" spans="1:9" s="12" customFormat="1" ht="13.5" customHeight="1">
      <c r="A403" s="71" t="s">
        <v>231</v>
      </c>
      <c r="B403" s="23" t="s">
        <v>230</v>
      </c>
      <c r="C403" s="24">
        <v>10850</v>
      </c>
      <c r="D403" s="22"/>
      <c r="E403" s="31"/>
      <c r="F403" s="768"/>
      <c r="G403" s="24"/>
      <c r="I403" s="279"/>
    </row>
    <row r="404" spans="1:9" s="12" customFormat="1" ht="13.5" customHeight="1">
      <c r="A404" s="12" t="s">
        <v>264</v>
      </c>
      <c r="B404" s="24" t="s">
        <v>265</v>
      </c>
      <c r="C404" s="24">
        <v>85600</v>
      </c>
      <c r="D404" s="95"/>
      <c r="E404" s="31"/>
      <c r="F404" s="768"/>
      <c r="G404" s="21"/>
      <c r="I404" s="279"/>
    </row>
    <row r="405" spans="1:9" s="12" customFormat="1" ht="13.5" customHeight="1">
      <c r="A405" s="12" t="s">
        <v>241</v>
      </c>
      <c r="B405" s="24" t="s">
        <v>242</v>
      </c>
      <c r="C405" s="24">
        <v>34560</v>
      </c>
      <c r="E405" s="31"/>
      <c r="F405" s="768"/>
      <c r="G405" s="78"/>
      <c r="I405" s="279"/>
    </row>
    <row r="406" spans="1:9" s="12" customFormat="1" ht="13.5" customHeight="1">
      <c r="A406" s="71" t="s">
        <v>266</v>
      </c>
      <c r="B406" s="12" t="s">
        <v>267</v>
      </c>
      <c r="C406" s="24">
        <v>345000</v>
      </c>
      <c r="D406" s="95"/>
      <c r="E406" s="31"/>
      <c r="F406" s="768"/>
      <c r="G406" s="24"/>
      <c r="I406" s="279"/>
    </row>
    <row r="407" spans="1:9" s="5" customFormat="1" ht="13.5">
      <c r="A407" s="71" t="s">
        <v>93</v>
      </c>
      <c r="B407" s="23" t="s">
        <v>72</v>
      </c>
      <c r="C407" s="24">
        <v>150800</v>
      </c>
      <c r="D407" s="21"/>
      <c r="E407" s="21"/>
      <c r="F407" s="539"/>
      <c r="I407" s="280"/>
    </row>
    <row r="408" spans="1:9" s="5" customFormat="1" ht="13.5">
      <c r="A408" s="71" t="s">
        <v>555</v>
      </c>
      <c r="B408" s="42" t="s">
        <v>556</v>
      </c>
      <c r="C408" s="24">
        <v>23450</v>
      </c>
      <c r="D408" s="21"/>
      <c r="E408" s="21"/>
      <c r="F408" s="539"/>
      <c r="I408" s="280"/>
    </row>
    <row r="409" spans="1:9" s="125" customFormat="1" ht="13.5" customHeight="1">
      <c r="A409" s="12" t="s">
        <v>561</v>
      </c>
      <c r="B409" s="42" t="s">
        <v>552</v>
      </c>
      <c r="C409" s="24">
        <v>56730</v>
      </c>
      <c r="D409" s="31"/>
      <c r="E409" s="258"/>
      <c r="F409" s="624"/>
      <c r="G409" s="21"/>
      <c r="I409" s="260"/>
    </row>
    <row r="410" spans="1:9" s="125" customFormat="1" ht="13.5" customHeight="1">
      <c r="A410" s="249" t="s">
        <v>296</v>
      </c>
      <c r="B410" s="25" t="s">
        <v>133</v>
      </c>
      <c r="C410" s="31">
        <f>SUM(C411:C413)</f>
        <v>93350</v>
      </c>
      <c r="D410" s="25"/>
      <c r="E410" s="258"/>
      <c r="F410" s="624"/>
      <c r="G410" s="21"/>
      <c r="I410" s="260"/>
    </row>
    <row r="411" spans="1:9" s="71" customFormat="1" ht="13.5" customHeight="1">
      <c r="A411" s="12" t="s">
        <v>151</v>
      </c>
      <c r="B411" s="24" t="s">
        <v>65</v>
      </c>
      <c r="C411" s="24">
        <v>41500</v>
      </c>
      <c r="D411" s="77"/>
      <c r="E411" s="25"/>
      <c r="F411" s="536"/>
      <c r="G411" s="21"/>
      <c r="H411" s="12"/>
      <c r="I411" s="265"/>
    </row>
    <row r="412" spans="1:9" s="274" customFormat="1" ht="13.5" customHeight="1">
      <c r="A412" s="71" t="s">
        <v>154</v>
      </c>
      <c r="B412" s="23" t="s">
        <v>133</v>
      </c>
      <c r="C412" s="24">
        <v>16850</v>
      </c>
      <c r="D412" s="272"/>
      <c r="E412" s="273"/>
      <c r="F412" s="624"/>
      <c r="I412" s="275"/>
    </row>
    <row r="413" spans="1:6" s="65" customFormat="1" ht="13.5">
      <c r="A413" s="71" t="s">
        <v>643</v>
      </c>
      <c r="B413" s="42" t="s">
        <v>642</v>
      </c>
      <c r="C413" s="59">
        <v>35000</v>
      </c>
      <c r="D413" s="67"/>
      <c r="E413" s="67"/>
      <c r="F413" s="67"/>
    </row>
    <row r="414" spans="1:9" s="125" customFormat="1" ht="13.5" customHeight="1" thickBot="1">
      <c r="A414" s="71"/>
      <c r="B414" s="71"/>
      <c r="C414" s="23"/>
      <c r="D414" s="25"/>
      <c r="E414" s="258"/>
      <c r="F414" s="624"/>
      <c r="G414" s="119"/>
      <c r="H414" s="305"/>
      <c r="I414" s="260"/>
    </row>
    <row r="415" spans="1:10" s="125" customFormat="1" ht="13.5" customHeight="1" thickBot="1">
      <c r="A415" s="994" t="s">
        <v>3</v>
      </c>
      <c r="B415" s="995"/>
      <c r="C415" s="603">
        <f>C416+C420+C426+C429+C432+C435+C437</f>
        <v>19464290</v>
      </c>
      <c r="F415" s="775"/>
      <c r="G415" s="259"/>
      <c r="H415" s="273"/>
      <c r="I415" s="249"/>
      <c r="J415" s="119"/>
    </row>
    <row r="416" spans="1:9" s="121" customFormat="1" ht="13.5" customHeight="1">
      <c r="A416" s="11" t="s">
        <v>110</v>
      </c>
      <c r="B416" s="510" t="s">
        <v>111</v>
      </c>
      <c r="C416" s="318">
        <f>SUM(C417:C419)</f>
        <v>11330230</v>
      </c>
      <c r="F416" s="776"/>
      <c r="G416" s="276"/>
      <c r="H416" s="276"/>
      <c r="I416" s="100"/>
    </row>
    <row r="417" spans="1:9" s="121" customFormat="1" ht="13.5" customHeight="1">
      <c r="A417" s="12" t="s">
        <v>268</v>
      </c>
      <c r="B417" s="42" t="s">
        <v>269</v>
      </c>
      <c r="C417" s="569">
        <v>8560230</v>
      </c>
      <c r="F417" s="776"/>
      <c r="G417" s="276"/>
      <c r="H417" s="276"/>
      <c r="I417" s="100"/>
    </row>
    <row r="418" spans="1:9" s="121" customFormat="1" ht="13.5" customHeight="1">
      <c r="A418" s="12" t="s">
        <v>270</v>
      </c>
      <c r="B418" s="42" t="s">
        <v>271</v>
      </c>
      <c r="C418" s="569">
        <v>2650000</v>
      </c>
      <c r="F418" s="776"/>
      <c r="G418" s="432"/>
      <c r="H418" s="276"/>
      <c r="I418" s="100"/>
    </row>
    <row r="419" spans="1:10" s="71" customFormat="1" ht="13.5" customHeight="1">
      <c r="A419" s="12" t="s">
        <v>52</v>
      </c>
      <c r="B419" s="12" t="s">
        <v>15</v>
      </c>
      <c r="C419" s="24">
        <v>120000</v>
      </c>
      <c r="F419" s="539"/>
      <c r="G419" s="78"/>
      <c r="H419" s="25"/>
      <c r="I419" s="100"/>
      <c r="J419" s="24"/>
    </row>
    <row r="420" spans="1:9" s="71" customFormat="1" ht="13.5" customHeight="1">
      <c r="A420" s="11" t="s">
        <v>120</v>
      </c>
      <c r="B420" s="11" t="s">
        <v>121</v>
      </c>
      <c r="C420" s="31">
        <f>SUM(C421:C425)</f>
        <v>845720</v>
      </c>
      <c r="D420" s="78"/>
      <c r="E420" s="25"/>
      <c r="F420" s="536"/>
      <c r="G420" s="24"/>
      <c r="H420" s="12"/>
      <c r="I420" s="265"/>
    </row>
    <row r="421" spans="1:9" s="71" customFormat="1" ht="13.5" customHeight="1">
      <c r="A421" s="12" t="s">
        <v>245</v>
      </c>
      <c r="B421" s="12" t="s">
        <v>246</v>
      </c>
      <c r="C421" s="286">
        <v>119500</v>
      </c>
      <c r="D421" s="78"/>
      <c r="E421" s="25"/>
      <c r="F421" s="536"/>
      <c r="G421" s="24"/>
      <c r="H421" s="12"/>
      <c r="I421" s="265"/>
    </row>
    <row r="422" spans="1:9" s="125" customFormat="1" ht="13.5" customHeight="1">
      <c r="A422" s="12" t="s">
        <v>184</v>
      </c>
      <c r="B422" s="12" t="s">
        <v>272</v>
      </c>
      <c r="C422" s="286">
        <v>14400</v>
      </c>
      <c r="D422" s="276"/>
      <c r="E422" s="286"/>
      <c r="F422" s="624"/>
      <c r="I422" s="260"/>
    </row>
    <row r="423" spans="1:9" s="125" customFormat="1" ht="13.5" customHeight="1">
      <c r="A423" s="12" t="s">
        <v>209</v>
      </c>
      <c r="B423" s="12" t="s">
        <v>208</v>
      </c>
      <c r="C423" s="286">
        <v>585640</v>
      </c>
      <c r="D423" s="276"/>
      <c r="E423" s="286"/>
      <c r="F423" s="624"/>
      <c r="I423" s="260"/>
    </row>
    <row r="424" spans="1:9" s="125" customFormat="1" ht="13.5" customHeight="1">
      <c r="A424" s="12" t="s">
        <v>140</v>
      </c>
      <c r="B424" s="12" t="s">
        <v>540</v>
      </c>
      <c r="C424" s="286">
        <v>20580</v>
      </c>
      <c r="D424" s="276"/>
      <c r="E424" s="286"/>
      <c r="F424" s="775"/>
      <c r="I424" s="260"/>
    </row>
    <row r="425" spans="1:9" s="142" customFormat="1" ht="13.5">
      <c r="A425" s="12" t="s">
        <v>136</v>
      </c>
      <c r="B425" s="12" t="s">
        <v>71</v>
      </c>
      <c r="C425" s="24">
        <v>105600</v>
      </c>
      <c r="D425" s="31"/>
      <c r="E425" s="117"/>
      <c r="F425" s="768"/>
      <c r="I425" s="284"/>
    </row>
    <row r="426" spans="1:9" s="125" customFormat="1" ht="13.5" customHeight="1">
      <c r="A426" s="11" t="s">
        <v>273</v>
      </c>
      <c r="B426" s="11" t="s">
        <v>274</v>
      </c>
      <c r="C426" s="31">
        <f>SUM(C427:C428)</f>
        <v>1013640</v>
      </c>
      <c r="D426" s="117"/>
      <c r="E426" s="117"/>
      <c r="F426" s="768"/>
      <c r="G426" s="119"/>
      <c r="H426" s="306"/>
      <c r="I426" s="260"/>
    </row>
    <row r="427" spans="1:10" s="142" customFormat="1" ht="13.5">
      <c r="A427" s="12" t="s">
        <v>275</v>
      </c>
      <c r="B427" s="12" t="s">
        <v>276</v>
      </c>
      <c r="C427" s="24">
        <v>865000</v>
      </c>
      <c r="F427" s="535"/>
      <c r="H427" s="24"/>
      <c r="I427" s="117"/>
      <c r="J427" s="24"/>
    </row>
    <row r="428" spans="1:9" s="125" customFormat="1" ht="13.5" customHeight="1">
      <c r="A428" s="12" t="s">
        <v>279</v>
      </c>
      <c r="B428" s="12" t="s">
        <v>280</v>
      </c>
      <c r="C428" s="24">
        <v>148640</v>
      </c>
      <c r="F428" s="775"/>
      <c r="G428" s="119"/>
      <c r="H428" s="307"/>
      <c r="I428" s="117"/>
    </row>
    <row r="429" spans="1:10" s="142" customFormat="1" ht="13.5">
      <c r="A429" s="11" t="s">
        <v>112</v>
      </c>
      <c r="B429" s="11" t="s">
        <v>156</v>
      </c>
      <c r="C429" s="31">
        <f>SUM(C430:C431)</f>
        <v>1344500</v>
      </c>
      <c r="F429" s="535"/>
      <c r="H429" s="117"/>
      <c r="I429" s="71"/>
      <c r="J429" s="125"/>
    </row>
    <row r="430" spans="1:10" s="142" customFormat="1" ht="13.5">
      <c r="A430" s="12" t="s">
        <v>138</v>
      </c>
      <c r="B430" s="58" t="s">
        <v>810</v>
      </c>
      <c r="C430" s="24">
        <v>24000</v>
      </c>
      <c r="F430" s="535"/>
      <c r="H430" s="24"/>
      <c r="I430" s="117"/>
      <c r="J430" s="24"/>
    </row>
    <row r="431" spans="1:10" s="142" customFormat="1" ht="13.5">
      <c r="A431" s="12" t="s">
        <v>49</v>
      </c>
      <c r="B431" s="24" t="s">
        <v>87</v>
      </c>
      <c r="C431" s="24">
        <v>1320500</v>
      </c>
      <c r="F431" s="535"/>
      <c r="H431" s="24"/>
      <c r="I431" s="117"/>
      <c r="J431" s="24"/>
    </row>
    <row r="432" spans="1:10" s="142" customFormat="1" ht="13.5">
      <c r="A432" s="11" t="s">
        <v>113</v>
      </c>
      <c r="B432" s="31" t="s">
        <v>114</v>
      </c>
      <c r="C432" s="31">
        <f>SUM(C433:C434)</f>
        <v>20500</v>
      </c>
      <c r="F432" s="535"/>
      <c r="H432" s="24"/>
      <c r="I432" s="117"/>
      <c r="J432" s="24"/>
    </row>
    <row r="433" spans="1:10" s="142" customFormat="1" ht="13.5">
      <c r="A433" s="12" t="s">
        <v>163</v>
      </c>
      <c r="B433" s="42" t="s">
        <v>74</v>
      </c>
      <c r="C433" s="24">
        <v>14500</v>
      </c>
      <c r="F433" s="535"/>
      <c r="H433" s="24"/>
      <c r="I433" s="117"/>
      <c r="J433" s="24"/>
    </row>
    <row r="434" spans="1:10" s="142" customFormat="1" ht="13.5">
      <c r="A434" s="12" t="s">
        <v>88</v>
      </c>
      <c r="B434" s="24" t="s">
        <v>64</v>
      </c>
      <c r="C434" s="24">
        <v>6000</v>
      </c>
      <c r="F434" s="535"/>
      <c r="H434" s="24"/>
      <c r="I434" s="117"/>
      <c r="J434" s="24"/>
    </row>
    <row r="435" spans="1:10" s="142" customFormat="1" ht="13.5">
      <c r="A435" s="11" t="s">
        <v>132</v>
      </c>
      <c r="B435" s="11" t="s">
        <v>56</v>
      </c>
      <c r="C435" s="31">
        <f>SUM(C436)</f>
        <v>105200</v>
      </c>
      <c r="F435" s="535"/>
      <c r="H435" s="24"/>
      <c r="I435" s="117"/>
      <c r="J435" s="24"/>
    </row>
    <row r="436" spans="1:10" s="142" customFormat="1" ht="13.5">
      <c r="A436" s="12" t="s">
        <v>55</v>
      </c>
      <c r="B436" s="12" t="s">
        <v>56</v>
      </c>
      <c r="C436" s="24">
        <v>105200</v>
      </c>
      <c r="F436" s="535"/>
      <c r="H436" s="24"/>
      <c r="I436" s="117"/>
      <c r="J436" s="24"/>
    </row>
    <row r="437" spans="1:10" s="142" customFormat="1" ht="13.5">
      <c r="A437" s="11" t="s">
        <v>115</v>
      </c>
      <c r="B437" s="31" t="s">
        <v>8</v>
      </c>
      <c r="C437" s="31">
        <f>SUM(C438:C441)</f>
        <v>4804500</v>
      </c>
      <c r="F437" s="535"/>
      <c r="H437" s="24"/>
      <c r="I437" s="117"/>
      <c r="J437" s="24"/>
    </row>
    <row r="438" spans="1:9" s="125" customFormat="1" ht="13.5" customHeight="1">
      <c r="A438" s="12" t="s">
        <v>92</v>
      </c>
      <c r="B438" s="24" t="s">
        <v>8</v>
      </c>
      <c r="C438" s="24">
        <v>4250900</v>
      </c>
      <c r="D438" s="777"/>
      <c r="F438" s="775"/>
      <c r="G438" s="119"/>
      <c r="H438" s="295"/>
      <c r="I438" s="295"/>
    </row>
    <row r="439" spans="1:10" s="5" customFormat="1" ht="13.5">
      <c r="A439" s="12" t="s">
        <v>182</v>
      </c>
      <c r="B439" s="24" t="s">
        <v>50</v>
      </c>
      <c r="C439" s="24">
        <v>33000</v>
      </c>
      <c r="F439" s="559"/>
      <c r="H439" s="24"/>
      <c r="I439" s="249"/>
      <c r="J439" s="24"/>
    </row>
    <row r="440" spans="1:10" s="5" customFormat="1" ht="13.5" hidden="1">
      <c r="A440" s="12" t="s">
        <v>206</v>
      </c>
      <c r="B440" s="42" t="s">
        <v>205</v>
      </c>
      <c r="C440" s="24">
        <v>0</v>
      </c>
      <c r="F440" s="559"/>
      <c r="H440" s="24"/>
      <c r="I440" s="249"/>
      <c r="J440" s="24"/>
    </row>
    <row r="441" spans="1:10" s="125" customFormat="1" ht="13.5" customHeight="1">
      <c r="A441" s="12" t="s">
        <v>90</v>
      </c>
      <c r="B441" s="24" t="s">
        <v>7</v>
      </c>
      <c r="C441" s="24">
        <v>520600</v>
      </c>
      <c r="F441" s="775"/>
      <c r="G441" s="119"/>
      <c r="H441" s="295"/>
      <c r="I441" s="249"/>
      <c r="J441" s="249"/>
    </row>
    <row r="442" spans="1:9" s="125" customFormat="1" ht="13.5" customHeight="1" thickBot="1">
      <c r="A442" s="71"/>
      <c r="B442" s="12"/>
      <c r="C442" s="23"/>
      <c r="D442" s="25"/>
      <c r="E442" s="23"/>
      <c r="F442" s="624"/>
      <c r="I442" s="260"/>
    </row>
    <row r="443" spans="1:9" s="125" customFormat="1" ht="13.5" customHeight="1" thickBot="1">
      <c r="A443" s="1007" t="s">
        <v>5</v>
      </c>
      <c r="B443" s="1008"/>
      <c r="C443" s="604">
        <f>C444</f>
        <v>1750000</v>
      </c>
      <c r="D443" s="549"/>
      <c r="E443" s="829"/>
      <c r="F443" s="765"/>
      <c r="I443" s="260"/>
    </row>
    <row r="444" spans="1:9" s="121" customFormat="1" ht="13.5" customHeight="1">
      <c r="A444" s="11" t="s">
        <v>128</v>
      </c>
      <c r="B444" s="11" t="s">
        <v>129</v>
      </c>
      <c r="C444" s="32">
        <f>SUM(C445)</f>
        <v>1750000</v>
      </c>
      <c r="D444" s="547"/>
      <c r="E444" s="830"/>
      <c r="F444" s="771"/>
      <c r="I444" s="291"/>
    </row>
    <row r="445" spans="1:11" s="298" customFormat="1" ht="13.5" customHeight="1">
      <c r="A445" s="12" t="s">
        <v>881</v>
      </c>
      <c r="B445" s="12" t="s">
        <v>882</v>
      </c>
      <c r="C445" s="24">
        <v>1750000</v>
      </c>
      <c r="D445" s="546"/>
      <c r="E445" s="548"/>
      <c r="F445" s="765"/>
      <c r="G445" s="12"/>
      <c r="H445" s="12"/>
      <c r="I445" s="279"/>
      <c r="J445" s="12"/>
      <c r="K445" s="12"/>
    </row>
    <row r="446" spans="1:11" s="298" customFormat="1" ht="13.5" customHeight="1" thickBot="1">
      <c r="A446" s="12"/>
      <c r="B446" s="12"/>
      <c r="C446" s="24"/>
      <c r="D446" s="546"/>
      <c r="E446" s="548"/>
      <c r="F446" s="765"/>
      <c r="G446" s="12"/>
      <c r="H446" s="12"/>
      <c r="I446" s="279"/>
      <c r="J446" s="12"/>
      <c r="K446" s="12"/>
    </row>
    <row r="447" spans="1:9" s="125" customFormat="1" ht="13.5" customHeight="1" thickBot="1">
      <c r="A447" s="996" t="s">
        <v>4</v>
      </c>
      <c r="B447" s="997"/>
      <c r="C447" s="605">
        <f>C448+C451+C453</f>
        <v>242560</v>
      </c>
      <c r="D447" s="259"/>
      <c r="E447" s="258"/>
      <c r="F447" s="624"/>
      <c r="G447" s="119"/>
      <c r="H447" s="306"/>
      <c r="I447" s="260"/>
    </row>
    <row r="448" spans="1:9" s="121" customFormat="1" ht="13.5" customHeight="1">
      <c r="A448" s="246" t="s">
        <v>178</v>
      </c>
      <c r="B448" s="510" t="s">
        <v>177</v>
      </c>
      <c r="C448" s="32">
        <f>SUM(C449:C450)</f>
        <v>211760</v>
      </c>
      <c r="D448" s="276"/>
      <c r="E448" s="276"/>
      <c r="F448" s="536"/>
      <c r="H448" s="308"/>
      <c r="I448" s="291"/>
    </row>
    <row r="449" spans="1:9" s="125" customFormat="1" ht="13.5" customHeight="1">
      <c r="A449" s="257" t="s">
        <v>174</v>
      </c>
      <c r="B449" s="257" t="s">
        <v>284</v>
      </c>
      <c r="C449" s="286">
        <v>86760</v>
      </c>
      <c r="D449" s="295"/>
      <c r="E449" s="258"/>
      <c r="F449" s="624"/>
      <c r="G449" s="119"/>
      <c r="H449" s="305"/>
      <c r="I449" s="260"/>
    </row>
    <row r="450" spans="1:9" s="125" customFormat="1" ht="13.5" customHeight="1">
      <c r="A450" s="257" t="s">
        <v>297</v>
      </c>
      <c r="B450" s="257" t="s">
        <v>171</v>
      </c>
      <c r="C450" s="286">
        <v>125000</v>
      </c>
      <c r="D450" s="259"/>
      <c r="E450" s="258"/>
      <c r="F450" s="624"/>
      <c r="G450" s="119"/>
      <c r="H450" s="306"/>
      <c r="I450" s="260"/>
    </row>
    <row r="451" spans="1:9" s="125" customFormat="1" ht="13.5" customHeight="1">
      <c r="A451" s="249" t="s">
        <v>116</v>
      </c>
      <c r="B451" s="510" t="s">
        <v>117</v>
      </c>
      <c r="C451" s="283">
        <f>SUM(C452)</f>
        <v>13000</v>
      </c>
      <c r="D451" s="259"/>
      <c r="E451" s="258"/>
      <c r="F451" s="624"/>
      <c r="G451" s="119"/>
      <c r="H451" s="306"/>
      <c r="I451" s="260"/>
    </row>
    <row r="452" spans="1:9" s="293" customFormat="1" ht="13.5" customHeight="1">
      <c r="A452" s="71" t="s">
        <v>91</v>
      </c>
      <c r="B452" s="71" t="s">
        <v>139</v>
      </c>
      <c r="C452" s="24">
        <v>13000</v>
      </c>
      <c r="D452" s="296"/>
      <c r="E452" s="24"/>
      <c r="F452" s="768"/>
      <c r="I452" s="294"/>
    </row>
    <row r="453" spans="1:9" s="5" customFormat="1" ht="13.5">
      <c r="A453" s="246" t="s">
        <v>165</v>
      </c>
      <c r="B453" s="11" t="s">
        <v>134</v>
      </c>
      <c r="C453" s="31">
        <f>SUM(C454)</f>
        <v>17800</v>
      </c>
      <c r="D453" s="21"/>
      <c r="E453" s="21"/>
      <c r="F453" s="539"/>
      <c r="I453" s="280"/>
    </row>
    <row r="454" spans="1:9" s="125" customFormat="1" ht="13.5" customHeight="1">
      <c r="A454" s="257" t="s">
        <v>166</v>
      </c>
      <c r="B454" s="12" t="s">
        <v>51</v>
      </c>
      <c r="C454" s="286">
        <v>17800</v>
      </c>
      <c r="D454" s="259"/>
      <c r="E454" s="258"/>
      <c r="F454" s="624"/>
      <c r="G454" s="119"/>
      <c r="H454" s="309"/>
      <c r="I454" s="260"/>
    </row>
    <row r="455" spans="1:9" s="289" customFormat="1" ht="13.5" customHeight="1" thickBot="1">
      <c r="A455" s="319"/>
      <c r="B455" s="319"/>
      <c r="C455" s="283"/>
      <c r="D455" s="285"/>
      <c r="E455" s="283"/>
      <c r="F455" s="624"/>
      <c r="I455" s="290"/>
    </row>
    <row r="456" spans="1:9" s="289" customFormat="1" ht="13.5" customHeight="1">
      <c r="A456" s="799" t="s">
        <v>675</v>
      </c>
      <c r="B456" s="704"/>
      <c r="C456" s="627" t="s">
        <v>6</v>
      </c>
      <c r="D456" s="786" t="s">
        <v>883</v>
      </c>
      <c r="E456" s="283"/>
      <c r="F456" s="624"/>
      <c r="I456" s="290"/>
    </row>
    <row r="457" spans="1:9" s="289" customFormat="1" ht="13.5" customHeight="1" thickBot="1">
      <c r="A457" s="587"/>
      <c r="B457" s="588" t="s">
        <v>676</v>
      </c>
      <c r="C457" s="630"/>
      <c r="D457" s="629"/>
      <c r="E457" s="283"/>
      <c r="F457" s="624"/>
      <c r="I457" s="290"/>
    </row>
    <row r="458" spans="1:9" s="289" customFormat="1" ht="13.5" customHeight="1">
      <c r="A458" s="522" t="s">
        <v>659</v>
      </c>
      <c r="B458" s="606" t="s">
        <v>677</v>
      </c>
      <c r="C458" s="736"/>
      <c r="D458" s="737"/>
      <c r="E458" s="283"/>
      <c r="F458" s="624"/>
      <c r="I458" s="290"/>
    </row>
    <row r="459" spans="1:9" s="289" customFormat="1" ht="13.5" customHeight="1">
      <c r="A459" s="616" t="s">
        <v>678</v>
      </c>
      <c r="B459" s="607"/>
      <c r="C459" s="732"/>
      <c r="D459" s="617"/>
      <c r="E459" s="283"/>
      <c r="F459" s="624"/>
      <c r="I459" s="290"/>
    </row>
    <row r="460" spans="1:9" s="289" customFormat="1" ht="13.5" customHeight="1" thickBot="1">
      <c r="A460" s="738" t="s">
        <v>679</v>
      </c>
      <c r="B460" s="609"/>
      <c r="C460" s="739"/>
      <c r="D460" s="740"/>
      <c r="E460" s="283"/>
      <c r="F460" s="624"/>
      <c r="I460" s="290"/>
    </row>
    <row r="461" spans="1:9" s="289" customFormat="1" ht="13.5" customHeight="1">
      <c r="A461" s="591" t="s">
        <v>809</v>
      </c>
      <c r="B461" s="592"/>
      <c r="C461" s="733"/>
      <c r="D461" s="611"/>
      <c r="E461" s="283"/>
      <c r="F461" s="624"/>
      <c r="I461" s="290"/>
    </row>
    <row r="462" spans="1:9" s="289" customFormat="1" ht="13.5" customHeight="1">
      <c r="A462" s="252" t="s">
        <v>879</v>
      </c>
      <c r="B462" s="52"/>
      <c r="C462" s="569"/>
      <c r="D462" s="612"/>
      <c r="E462" s="283"/>
      <c r="F462" s="624"/>
      <c r="I462" s="290"/>
    </row>
    <row r="463" spans="1:9" s="289" customFormat="1" ht="13.5" customHeight="1">
      <c r="A463" s="252" t="s">
        <v>884</v>
      </c>
      <c r="B463" s="52"/>
      <c r="C463" s="569"/>
      <c r="D463" s="612"/>
      <c r="E463" s="283"/>
      <c r="F463" s="624"/>
      <c r="I463" s="290"/>
    </row>
    <row r="464" spans="1:9" s="289" customFormat="1" ht="13.5" customHeight="1" thickBot="1">
      <c r="A464" s="304" t="s">
        <v>11</v>
      </c>
      <c r="B464" s="557"/>
      <c r="C464" s="734"/>
      <c r="D464" s="613"/>
      <c r="E464" s="283"/>
      <c r="F464" s="624"/>
      <c r="I464" s="290"/>
    </row>
    <row r="465" spans="1:9" s="289" customFormat="1" ht="13.5" customHeight="1" thickBot="1">
      <c r="A465" s="697" t="s">
        <v>885</v>
      </c>
      <c r="B465" s="698"/>
      <c r="C465" s="720"/>
      <c r="D465" s="706"/>
      <c r="E465" s="283"/>
      <c r="F465" s="624"/>
      <c r="I465" s="290"/>
    </row>
    <row r="466" spans="1:9" s="289" customFormat="1" ht="13.5" customHeight="1" thickBot="1">
      <c r="A466" s="71"/>
      <c r="B466" s="71"/>
      <c r="C466" s="77"/>
      <c r="D466" s="23"/>
      <c r="E466" s="283"/>
      <c r="F466" s="624"/>
      <c r="I466" s="290"/>
    </row>
    <row r="467" spans="1:9" s="289" customFormat="1" ht="13.5" customHeight="1">
      <c r="A467" s="799" t="s">
        <v>680</v>
      </c>
      <c r="B467" s="704"/>
      <c r="C467" s="627" t="s">
        <v>6</v>
      </c>
      <c r="D467" s="786" t="s">
        <v>886</v>
      </c>
      <c r="E467" s="283"/>
      <c r="F467" s="624"/>
      <c r="I467" s="290"/>
    </row>
    <row r="468" spans="1:9" s="289" customFormat="1" ht="13.5" customHeight="1" thickBot="1">
      <c r="A468" s="587" t="s">
        <v>681</v>
      </c>
      <c r="B468" s="588"/>
      <c r="C468" s="630"/>
      <c r="D468" s="629"/>
      <c r="E468" s="283"/>
      <c r="F468" s="624"/>
      <c r="I468" s="290"/>
    </row>
    <row r="469" spans="1:9" s="289" customFormat="1" ht="13.5" customHeight="1">
      <c r="A469" s="524" t="s">
        <v>682</v>
      </c>
      <c r="B469" s="607"/>
      <c r="C469" s="614"/>
      <c r="D469" s="615"/>
      <c r="E469" s="283"/>
      <c r="F469" s="624"/>
      <c r="I469" s="290"/>
    </row>
    <row r="470" spans="1:9" s="289" customFormat="1" ht="13.5" customHeight="1">
      <c r="A470" s="616" t="s">
        <v>683</v>
      </c>
      <c r="B470" s="607"/>
      <c r="C470" s="608"/>
      <c r="D470" s="617"/>
      <c r="E470" s="283"/>
      <c r="F470" s="624"/>
      <c r="I470" s="290"/>
    </row>
    <row r="471" spans="1:9" s="289" customFormat="1" ht="13.5" customHeight="1" thickBot="1">
      <c r="A471" s="618" t="s">
        <v>684</v>
      </c>
      <c r="B471" s="607"/>
      <c r="C471" s="608"/>
      <c r="D471" s="617"/>
      <c r="E471" s="283"/>
      <c r="F471" s="624"/>
      <c r="I471" s="290"/>
    </row>
    <row r="472" spans="1:9" s="289" customFormat="1" ht="13.5" customHeight="1">
      <c r="A472" s="591" t="s">
        <v>809</v>
      </c>
      <c r="B472" s="592"/>
      <c r="C472" s="610"/>
      <c r="D472" s="611"/>
      <c r="E472" s="283"/>
      <c r="F472" s="624"/>
      <c r="I472" s="290"/>
    </row>
    <row r="473" spans="1:9" s="289" customFormat="1" ht="13.5" customHeight="1">
      <c r="A473" s="252" t="s">
        <v>674</v>
      </c>
      <c r="B473" s="52"/>
      <c r="C473" s="286"/>
      <c r="D473" s="612"/>
      <c r="E473" s="283"/>
      <c r="F473" s="624"/>
      <c r="I473" s="290"/>
    </row>
    <row r="474" spans="1:9" s="289" customFormat="1" ht="13.5" customHeight="1">
      <c r="A474" s="252" t="s">
        <v>884</v>
      </c>
      <c r="B474" s="52"/>
      <c r="C474" s="286"/>
      <c r="D474" s="612"/>
      <c r="E474" s="283"/>
      <c r="F474" s="624"/>
      <c r="I474" s="290"/>
    </row>
    <row r="475" spans="1:9" s="289" customFormat="1" ht="13.5" customHeight="1" thickBot="1">
      <c r="A475" s="304" t="s">
        <v>11</v>
      </c>
      <c r="B475" s="557"/>
      <c r="C475" s="313"/>
      <c r="D475" s="613"/>
      <c r="E475" s="283"/>
      <c r="F475" s="624"/>
      <c r="I475" s="290"/>
    </row>
    <row r="476" spans="1:9" s="289" customFormat="1" ht="13.5" customHeight="1" thickBot="1">
      <c r="A476" s="697" t="s">
        <v>885</v>
      </c>
      <c r="B476" s="698"/>
      <c r="C476" s="720"/>
      <c r="D476" s="706"/>
      <c r="E476" s="283"/>
      <c r="F476" s="624"/>
      <c r="I476" s="290"/>
    </row>
    <row r="477" spans="1:9" s="289" customFormat="1" ht="13.5" customHeight="1" thickBot="1">
      <c r="A477" s="71"/>
      <c r="B477" s="71"/>
      <c r="C477" s="23"/>
      <c r="D477" s="23"/>
      <c r="E477" s="283"/>
      <c r="F477" s="624"/>
      <c r="I477" s="290"/>
    </row>
    <row r="478" spans="1:9" s="289" customFormat="1" ht="13.5" customHeight="1">
      <c r="A478" s="799" t="s">
        <v>685</v>
      </c>
      <c r="B478" s="704"/>
      <c r="C478" s="627" t="s">
        <v>6</v>
      </c>
      <c r="D478" s="786" t="s">
        <v>887</v>
      </c>
      <c r="E478" s="283"/>
      <c r="F478" s="624"/>
      <c r="I478" s="290"/>
    </row>
    <row r="479" spans="1:9" s="289" customFormat="1" ht="13.5" customHeight="1" thickBot="1">
      <c r="A479" s="587"/>
      <c r="B479" s="588"/>
      <c r="C479" s="708"/>
      <c r="D479" s="629"/>
      <c r="E479" s="283"/>
      <c r="F479" s="624"/>
      <c r="I479" s="290"/>
    </row>
    <row r="480" spans="1:9" s="289" customFormat="1" ht="13.5" customHeight="1">
      <c r="A480" s="524" t="s">
        <v>686</v>
      </c>
      <c r="B480" s="607"/>
      <c r="C480" s="614"/>
      <c r="D480" s="615"/>
      <c r="E480" s="283"/>
      <c r="F480" s="624"/>
      <c r="I480" s="290"/>
    </row>
    <row r="481" spans="1:9" s="289" customFormat="1" ht="13.5" customHeight="1">
      <c r="A481" s="616" t="s">
        <v>687</v>
      </c>
      <c r="B481" s="607"/>
      <c r="C481" s="608"/>
      <c r="D481" s="617"/>
      <c r="E481" s="283"/>
      <c r="F481" s="624"/>
      <c r="I481" s="290"/>
    </row>
    <row r="482" spans="1:9" s="289" customFormat="1" ht="13.5" customHeight="1" thickBot="1">
      <c r="A482" s="618" t="s">
        <v>688</v>
      </c>
      <c r="B482" s="607"/>
      <c r="C482" s="608"/>
      <c r="D482" s="617"/>
      <c r="E482" s="283"/>
      <c r="F482" s="624"/>
      <c r="I482" s="290"/>
    </row>
    <row r="483" spans="1:9" s="289" customFormat="1" ht="13.5" customHeight="1">
      <c r="A483" s="591" t="s">
        <v>809</v>
      </c>
      <c r="B483" s="592"/>
      <c r="C483" s="610"/>
      <c r="D483" s="611"/>
      <c r="E483" s="283"/>
      <c r="F483" s="624"/>
      <c r="I483" s="290"/>
    </row>
    <row r="484" spans="1:9" s="289" customFormat="1" ht="13.5" customHeight="1">
      <c r="A484" s="252" t="s">
        <v>674</v>
      </c>
      <c r="B484" s="52"/>
      <c r="C484" s="286"/>
      <c r="D484" s="612"/>
      <c r="E484" s="283"/>
      <c r="F484" s="624"/>
      <c r="I484" s="290"/>
    </row>
    <row r="485" spans="1:9" s="289" customFormat="1" ht="13.5" customHeight="1">
      <c r="A485" s="252" t="s">
        <v>884</v>
      </c>
      <c r="B485" s="52"/>
      <c r="C485" s="286"/>
      <c r="D485" s="612"/>
      <c r="E485" s="283"/>
      <c r="F485" s="624"/>
      <c r="I485" s="290"/>
    </row>
    <row r="486" spans="1:9" s="289" customFormat="1" ht="13.5" customHeight="1" thickBot="1">
      <c r="A486" s="304" t="s">
        <v>11</v>
      </c>
      <c r="B486" s="557"/>
      <c r="C486" s="313"/>
      <c r="D486" s="613"/>
      <c r="E486" s="283"/>
      <c r="F486" s="624"/>
      <c r="I486" s="290"/>
    </row>
    <row r="487" spans="1:9" s="289" customFormat="1" ht="13.5" customHeight="1" thickBot="1">
      <c r="A487" s="697" t="s">
        <v>885</v>
      </c>
      <c r="B487" s="698"/>
      <c r="C487" s="720"/>
      <c r="D487" s="706"/>
      <c r="E487" s="283"/>
      <c r="F487" s="624"/>
      <c r="I487" s="290"/>
    </row>
    <row r="488" spans="1:9" s="289" customFormat="1" ht="13.5" customHeight="1">
      <c r="A488" s="319"/>
      <c r="B488" s="319"/>
      <c r="C488" s="283"/>
      <c r="D488" s="285"/>
      <c r="E488" s="283"/>
      <c r="F488" s="624"/>
      <c r="I488" s="290"/>
    </row>
    <row r="489" spans="1:9" s="289" customFormat="1" ht="13.5" customHeight="1" thickBot="1">
      <c r="A489" s="319"/>
      <c r="B489" s="319"/>
      <c r="C489" s="283"/>
      <c r="D489" s="285"/>
      <c r="E489" s="283"/>
      <c r="F489" s="624"/>
      <c r="I489" s="290"/>
    </row>
    <row r="490" spans="1:9" s="289" customFormat="1" ht="13.5" customHeight="1">
      <c r="A490" s="988" t="s">
        <v>888</v>
      </c>
      <c r="B490" s="1009"/>
      <c r="C490" s="989"/>
      <c r="D490" s="626" t="s">
        <v>6</v>
      </c>
      <c r="E490" s="755">
        <v>1309</v>
      </c>
      <c r="F490" s="624"/>
      <c r="I490" s="290"/>
    </row>
    <row r="491" spans="1:9" s="289" customFormat="1" ht="13.5" customHeight="1" thickBot="1">
      <c r="A491" s="990"/>
      <c r="B491" s="1010"/>
      <c r="C491" s="991"/>
      <c r="D491" s="629"/>
      <c r="E491" s="696"/>
      <c r="F491" s="624"/>
      <c r="I491" s="290"/>
    </row>
    <row r="492" spans="1:9" s="289" customFormat="1" ht="13.5" customHeight="1">
      <c r="A492" s="1075" t="s">
        <v>889</v>
      </c>
      <c r="B492" s="1076"/>
      <c r="C492" s="1076"/>
      <c r="D492" s="1076"/>
      <c r="E492" s="1077"/>
      <c r="F492" s="624"/>
      <c r="I492" s="290"/>
    </row>
    <row r="493" spans="1:9" s="289" customFormat="1" ht="13.5" customHeight="1">
      <c r="A493" s="1078"/>
      <c r="B493" s="1079"/>
      <c r="C493" s="1079"/>
      <c r="D493" s="1079"/>
      <c r="E493" s="1080"/>
      <c r="F493" s="624"/>
      <c r="I493" s="290"/>
    </row>
    <row r="494" spans="1:9" s="289" customFormat="1" ht="13.5" customHeight="1">
      <c r="A494" s="1078"/>
      <c r="B494" s="1079"/>
      <c r="C494" s="1079"/>
      <c r="D494" s="1079"/>
      <c r="E494" s="1080"/>
      <c r="F494" s="624"/>
      <c r="I494" s="290"/>
    </row>
    <row r="495" spans="1:9" s="289" customFormat="1" ht="13.5" customHeight="1">
      <c r="A495" s="1078"/>
      <c r="B495" s="1079"/>
      <c r="C495" s="1079"/>
      <c r="D495" s="1079"/>
      <c r="E495" s="1080"/>
      <c r="F495" s="624"/>
      <c r="I495" s="290"/>
    </row>
    <row r="496" spans="1:9" s="289" customFormat="1" ht="13.5" customHeight="1" thickBot="1">
      <c r="A496" s="1081"/>
      <c r="B496" s="1082"/>
      <c r="C496" s="1082"/>
      <c r="D496" s="1082"/>
      <c r="E496" s="1083"/>
      <c r="F496" s="624"/>
      <c r="I496" s="290"/>
    </row>
    <row r="497" spans="1:9" s="289" customFormat="1" ht="13.5" customHeight="1">
      <c r="A497" s="252" t="s">
        <v>809</v>
      </c>
      <c r="B497" s="52"/>
      <c r="C497" s="286"/>
      <c r="D497" s="261"/>
      <c r="E497" s="288"/>
      <c r="F497" s="624"/>
      <c r="I497" s="290"/>
    </row>
    <row r="498" spans="1:9" s="289" customFormat="1" ht="13.5" customHeight="1">
      <c r="A498" s="252" t="s">
        <v>890</v>
      </c>
      <c r="B498" s="52"/>
      <c r="C498" s="286"/>
      <c r="D498" s="261"/>
      <c r="E498" s="288"/>
      <c r="F498" s="624"/>
      <c r="I498" s="290"/>
    </row>
    <row r="499" spans="1:9" s="289" customFormat="1" ht="13.5" customHeight="1">
      <c r="A499" s="252" t="s">
        <v>891</v>
      </c>
      <c r="B499" s="52"/>
      <c r="C499" s="286"/>
      <c r="D499" s="261"/>
      <c r="E499" s="288"/>
      <c r="F499" s="624"/>
      <c r="I499" s="290"/>
    </row>
    <row r="500" spans="1:9" s="289" customFormat="1" ht="13.5" customHeight="1" thickBot="1">
      <c r="A500" s="252" t="s">
        <v>11</v>
      </c>
      <c r="B500" s="52"/>
      <c r="C500" s="286"/>
      <c r="D500" s="261"/>
      <c r="E500" s="288"/>
      <c r="F500" s="624"/>
      <c r="I500" s="290"/>
    </row>
    <row r="501" spans="1:9" s="289" customFormat="1" ht="13.5" customHeight="1" thickBot="1">
      <c r="A501" s="697" t="s">
        <v>0</v>
      </c>
      <c r="B501" s="698"/>
      <c r="C501" s="699"/>
      <c r="D501" s="700"/>
      <c r="E501" s="701">
        <f>(C503+C530+C555)</f>
        <v>285036920</v>
      </c>
      <c r="F501" s="624"/>
      <c r="I501" s="290"/>
    </row>
    <row r="502" spans="1:9" s="289" customFormat="1" ht="13.5" customHeight="1" thickBot="1">
      <c r="A502" s="319"/>
      <c r="B502" s="319"/>
      <c r="C502" s="283"/>
      <c r="D502" s="285"/>
      <c r="E502" s="283"/>
      <c r="F502" s="624"/>
      <c r="I502" s="290"/>
    </row>
    <row r="503" spans="1:9" s="289" customFormat="1" ht="13.5" customHeight="1" thickBot="1">
      <c r="A503" s="992" t="s">
        <v>2</v>
      </c>
      <c r="B503" s="993"/>
      <c r="C503" s="602">
        <f>(C504+C506+C508+C510+C514+C519+C526)</f>
        <v>21806160</v>
      </c>
      <c r="D503" s="285"/>
      <c r="E503" s="283"/>
      <c r="F503" s="624"/>
      <c r="I503" s="290"/>
    </row>
    <row r="504" spans="1:9" s="289" customFormat="1" ht="13.5" customHeight="1">
      <c r="A504" s="11" t="s">
        <v>103</v>
      </c>
      <c r="B504" s="510" t="s">
        <v>104</v>
      </c>
      <c r="C504" s="32">
        <f>SUM(C505:C505)</f>
        <v>903780</v>
      </c>
      <c r="D504" s="285"/>
      <c r="E504" s="283"/>
      <c r="F504" s="624"/>
      <c r="I504" s="290"/>
    </row>
    <row r="505" spans="1:9" s="289" customFormat="1" ht="13.5" customHeight="1">
      <c r="A505" s="12" t="s">
        <v>46</v>
      </c>
      <c r="B505" s="71" t="s">
        <v>45</v>
      </c>
      <c r="C505" s="22">
        <v>903780</v>
      </c>
      <c r="D505" s="285"/>
      <c r="E505" s="283"/>
      <c r="F505" s="624"/>
      <c r="I505" s="290"/>
    </row>
    <row r="506" spans="1:9" s="289" customFormat="1" ht="13.5" customHeight="1">
      <c r="A506" s="11" t="s">
        <v>382</v>
      </c>
      <c r="B506" s="249" t="s">
        <v>220</v>
      </c>
      <c r="C506" s="32">
        <f>SUM(C507)</f>
        <v>178500</v>
      </c>
      <c r="D506" s="285"/>
      <c r="E506" s="283"/>
      <c r="F506" s="624"/>
      <c r="I506" s="290"/>
    </row>
    <row r="507" spans="1:9" s="289" customFormat="1" ht="13.5" customHeight="1">
      <c r="A507" s="12" t="s">
        <v>219</v>
      </c>
      <c r="B507" s="71" t="s">
        <v>218</v>
      </c>
      <c r="C507" s="22">
        <v>178500</v>
      </c>
      <c r="D507" s="285"/>
      <c r="E507" s="283"/>
      <c r="F507" s="624"/>
      <c r="I507" s="290"/>
    </row>
    <row r="508" spans="1:9" s="289" customFormat="1" ht="13.5" customHeight="1">
      <c r="A508" s="11" t="s">
        <v>107</v>
      </c>
      <c r="B508" s="249" t="s">
        <v>108</v>
      </c>
      <c r="C508" s="31">
        <f>SUM(C509:C509)</f>
        <v>30720</v>
      </c>
      <c r="D508" s="285"/>
      <c r="E508" s="283"/>
      <c r="F508" s="624"/>
      <c r="I508" s="290"/>
    </row>
    <row r="509" spans="1:9" s="289" customFormat="1" ht="13.5" customHeight="1">
      <c r="A509" s="12" t="s">
        <v>47</v>
      </c>
      <c r="B509" s="24" t="s">
        <v>48</v>
      </c>
      <c r="C509" s="24">
        <v>30720</v>
      </c>
      <c r="D509" s="285"/>
      <c r="E509" s="283"/>
      <c r="F509" s="624"/>
      <c r="I509" s="290"/>
    </row>
    <row r="510" spans="1:9" s="289" customFormat="1" ht="13.5" customHeight="1">
      <c r="A510" s="11" t="s">
        <v>689</v>
      </c>
      <c r="B510" s="31" t="s">
        <v>195</v>
      </c>
      <c r="C510" s="31">
        <f>SUM(C511:C513)</f>
        <v>9626880</v>
      </c>
      <c r="D510" s="285"/>
      <c r="E510" s="283"/>
      <c r="F510" s="624"/>
      <c r="I510" s="290"/>
    </row>
    <row r="511" spans="1:9" s="289" customFormat="1" ht="13.5" customHeight="1">
      <c r="A511" s="12" t="s">
        <v>194</v>
      </c>
      <c r="B511" s="24" t="s">
        <v>216</v>
      </c>
      <c r="C511" s="24">
        <v>8481250</v>
      </c>
      <c r="D511" s="285"/>
      <c r="E511" s="283"/>
      <c r="F511" s="624"/>
      <c r="I511" s="290"/>
    </row>
    <row r="512" spans="1:9" s="289" customFormat="1" ht="13.5" customHeight="1">
      <c r="A512" s="12" t="s">
        <v>215</v>
      </c>
      <c r="B512" s="24" t="s">
        <v>214</v>
      </c>
      <c r="C512" s="24">
        <v>478500</v>
      </c>
      <c r="D512" s="285"/>
      <c r="E512" s="283"/>
      <c r="F512" s="624"/>
      <c r="I512" s="290"/>
    </row>
    <row r="513" spans="1:9" s="289" customFormat="1" ht="13.5" customHeight="1">
      <c r="A513" s="12" t="s">
        <v>260</v>
      </c>
      <c r="B513" s="24" t="s">
        <v>261</v>
      </c>
      <c r="C513" s="24">
        <v>667130</v>
      </c>
      <c r="D513" s="285"/>
      <c r="E513" s="283"/>
      <c r="F513" s="624"/>
      <c r="I513" s="290"/>
    </row>
    <row r="514" spans="1:9" s="289" customFormat="1" ht="13.5" customHeight="1">
      <c r="A514" s="11" t="s">
        <v>690</v>
      </c>
      <c r="B514" s="31" t="s">
        <v>691</v>
      </c>
      <c r="C514" s="31">
        <f>SUM(C515:C518)</f>
        <v>3490000</v>
      </c>
      <c r="D514" s="285"/>
      <c r="E514" s="283"/>
      <c r="F514" s="624"/>
      <c r="I514" s="290"/>
    </row>
    <row r="515" spans="1:9" s="289" customFormat="1" ht="13.5" customHeight="1">
      <c r="A515" s="12" t="s">
        <v>191</v>
      </c>
      <c r="B515" s="24" t="s">
        <v>190</v>
      </c>
      <c r="C515" s="24">
        <v>1095000</v>
      </c>
      <c r="D515" s="285"/>
      <c r="E515" s="283"/>
      <c r="F515" s="624"/>
      <c r="I515" s="290"/>
    </row>
    <row r="516" spans="1:9" s="289" customFormat="1" ht="13.5" customHeight="1">
      <c r="A516" s="12" t="s">
        <v>189</v>
      </c>
      <c r="B516" s="24" t="s">
        <v>188</v>
      </c>
      <c r="C516" s="24">
        <v>1250000</v>
      </c>
      <c r="D516" s="285"/>
      <c r="E516" s="283"/>
      <c r="F516" s="624"/>
      <c r="I516" s="290"/>
    </row>
    <row r="517" spans="1:9" s="289" customFormat="1" ht="13.5" customHeight="1">
      <c r="A517" s="12" t="s">
        <v>213</v>
      </c>
      <c r="B517" s="24" t="s">
        <v>782</v>
      </c>
      <c r="C517" s="24">
        <v>987000</v>
      </c>
      <c r="D517" s="285"/>
      <c r="E517" s="283"/>
      <c r="F517" s="624"/>
      <c r="I517" s="290"/>
    </row>
    <row r="518" spans="1:9" s="289" customFormat="1" ht="13.5" customHeight="1">
      <c r="A518" s="12" t="s">
        <v>187</v>
      </c>
      <c r="B518" s="24" t="s">
        <v>186</v>
      </c>
      <c r="C518" s="24">
        <v>158000</v>
      </c>
      <c r="D518" s="285"/>
      <c r="E518" s="283"/>
      <c r="F518" s="624"/>
      <c r="I518" s="290"/>
    </row>
    <row r="519" spans="1:9" s="289" customFormat="1" ht="13.5" customHeight="1">
      <c r="A519" s="249" t="s">
        <v>124</v>
      </c>
      <c r="B519" s="25" t="s">
        <v>123</v>
      </c>
      <c r="C519" s="31">
        <f>SUM(C520:C525)</f>
        <v>7286680</v>
      </c>
      <c r="D519" s="285"/>
      <c r="E519" s="283"/>
      <c r="F519" s="624"/>
      <c r="I519" s="290"/>
    </row>
    <row r="520" spans="1:9" s="289" customFormat="1" ht="13.5" customHeight="1">
      <c r="A520" s="71" t="s">
        <v>231</v>
      </c>
      <c r="B520" s="23" t="s">
        <v>692</v>
      </c>
      <c r="C520" s="24">
        <v>28450</v>
      </c>
      <c r="D520" s="285"/>
      <c r="E520" s="283"/>
      <c r="F520" s="624"/>
      <c r="I520" s="290"/>
    </row>
    <row r="521" spans="1:9" s="289" customFormat="1" ht="13.5" customHeight="1">
      <c r="A521" s="71" t="s">
        <v>264</v>
      </c>
      <c r="B521" s="23" t="s">
        <v>265</v>
      </c>
      <c r="C521" s="24">
        <v>295600</v>
      </c>
      <c r="D521" s="285"/>
      <c r="E521" s="283"/>
      <c r="F521" s="624"/>
      <c r="I521" s="290"/>
    </row>
    <row r="522" spans="1:9" s="289" customFormat="1" ht="13.5" customHeight="1">
      <c r="A522" s="71" t="s">
        <v>241</v>
      </c>
      <c r="B522" s="23" t="s">
        <v>242</v>
      </c>
      <c r="C522" s="24">
        <v>3603440</v>
      </c>
      <c r="D522" s="285"/>
      <c r="E522" s="283"/>
      <c r="F522" s="624"/>
      <c r="I522" s="290"/>
    </row>
    <row r="523" spans="1:9" s="289" customFormat="1" ht="13.5" customHeight="1">
      <c r="A523" s="71" t="s">
        <v>266</v>
      </c>
      <c r="B523" s="23" t="s">
        <v>267</v>
      </c>
      <c r="C523" s="24">
        <v>1460690</v>
      </c>
      <c r="D523" s="285"/>
      <c r="E523" s="283"/>
      <c r="F523" s="624"/>
      <c r="I523" s="290"/>
    </row>
    <row r="524" spans="1:9" s="289" customFormat="1" ht="13.5" customHeight="1">
      <c r="A524" s="71" t="s">
        <v>93</v>
      </c>
      <c r="B524" s="23" t="s">
        <v>72</v>
      </c>
      <c r="C524" s="24">
        <v>648500</v>
      </c>
      <c r="D524" s="285"/>
      <c r="E524" s="283"/>
      <c r="F524" s="624"/>
      <c r="I524" s="290"/>
    </row>
    <row r="525" spans="1:9" s="289" customFormat="1" ht="13.5" customHeight="1">
      <c r="A525" s="71" t="s">
        <v>555</v>
      </c>
      <c r="B525" s="23" t="s">
        <v>556</v>
      </c>
      <c r="C525" s="24">
        <v>1250000</v>
      </c>
      <c r="D525" s="285"/>
      <c r="E525" s="283"/>
      <c r="F525" s="624"/>
      <c r="I525" s="290"/>
    </row>
    <row r="526" spans="1:9" s="289" customFormat="1" ht="13.5" customHeight="1">
      <c r="A526" s="249" t="s">
        <v>296</v>
      </c>
      <c r="B526" s="25" t="s">
        <v>133</v>
      </c>
      <c r="C526" s="31">
        <f>SUM(C527:C528)</f>
        <v>289600</v>
      </c>
      <c r="D526" s="285"/>
      <c r="E526" s="283"/>
      <c r="F526" s="624"/>
      <c r="I526" s="290"/>
    </row>
    <row r="527" spans="1:9" s="289" customFormat="1" ht="13.5" customHeight="1">
      <c r="A527" s="12" t="s">
        <v>151</v>
      </c>
      <c r="B527" s="24" t="s">
        <v>65</v>
      </c>
      <c r="C527" s="24">
        <v>201600</v>
      </c>
      <c r="D527" s="285"/>
      <c r="E527" s="283"/>
      <c r="F527" s="624"/>
      <c r="I527" s="290"/>
    </row>
    <row r="528" spans="1:9" s="289" customFormat="1" ht="13.5" customHeight="1">
      <c r="A528" s="71" t="s">
        <v>154</v>
      </c>
      <c r="B528" s="23" t="s">
        <v>133</v>
      </c>
      <c r="C528" s="24">
        <v>88000</v>
      </c>
      <c r="D528" s="285"/>
      <c r="E528" s="283"/>
      <c r="F528" s="624"/>
      <c r="I528" s="290"/>
    </row>
    <row r="529" spans="1:9" s="289" customFormat="1" ht="13.5" customHeight="1" thickBot="1">
      <c r="A529" s="71"/>
      <c r="B529" s="23"/>
      <c r="C529" s="24"/>
      <c r="D529" s="285"/>
      <c r="E529" s="283"/>
      <c r="F529" s="624"/>
      <c r="I529" s="290"/>
    </row>
    <row r="530" spans="1:9" s="289" customFormat="1" ht="13.5" customHeight="1" thickBot="1">
      <c r="A530" s="994" t="s">
        <v>3</v>
      </c>
      <c r="B530" s="995"/>
      <c r="C530" s="603">
        <f>(C531+C535+C541+C547+C550)</f>
        <v>257528960</v>
      </c>
      <c r="D530" s="285"/>
      <c r="E530" s="283"/>
      <c r="F530" s="624"/>
      <c r="I530" s="290"/>
    </row>
    <row r="531" spans="1:9" s="289" customFormat="1" ht="13.5" customHeight="1">
      <c r="A531" s="619" t="s">
        <v>693</v>
      </c>
      <c r="B531" s="619" t="s">
        <v>111</v>
      </c>
      <c r="C531" s="620">
        <f>SUM(C532:C534)</f>
        <v>1782000</v>
      </c>
      <c r="D531" s="285"/>
      <c r="E531" s="283"/>
      <c r="F531" s="624"/>
      <c r="I531" s="290"/>
    </row>
    <row r="532" spans="1:9" s="289" customFormat="1" ht="13.5" customHeight="1">
      <c r="A532" s="621" t="s">
        <v>268</v>
      </c>
      <c r="B532" s="621" t="s">
        <v>501</v>
      </c>
      <c r="C532" s="622">
        <v>837000</v>
      </c>
      <c r="D532" s="285"/>
      <c r="E532" s="283"/>
      <c r="F532" s="624"/>
      <c r="I532" s="290"/>
    </row>
    <row r="533" spans="1:9" s="289" customFormat="1" ht="13.5" customHeight="1">
      <c r="A533" s="621" t="s">
        <v>270</v>
      </c>
      <c r="B533" s="621" t="s">
        <v>694</v>
      </c>
      <c r="C533" s="622">
        <v>780000</v>
      </c>
      <c r="D533" s="285"/>
      <c r="E533" s="283"/>
      <c r="F533" s="624"/>
      <c r="I533" s="290"/>
    </row>
    <row r="534" spans="1:9" s="289" customFormat="1" ht="13.5" customHeight="1">
      <c r="A534" s="621" t="s">
        <v>52</v>
      </c>
      <c r="B534" s="621" t="s">
        <v>15</v>
      </c>
      <c r="C534" s="622">
        <v>165000</v>
      </c>
      <c r="D534" s="285"/>
      <c r="E534" s="283"/>
      <c r="F534" s="624"/>
      <c r="I534" s="290"/>
    </row>
    <row r="535" spans="1:9" s="289" customFormat="1" ht="13.5" customHeight="1">
      <c r="A535" s="11" t="s">
        <v>120</v>
      </c>
      <c r="B535" s="11" t="s">
        <v>121</v>
      </c>
      <c r="C535" s="31">
        <f>SUM(C536:C540)</f>
        <v>2698750</v>
      </c>
      <c r="D535" s="285"/>
      <c r="E535" s="283"/>
      <c r="F535" s="624"/>
      <c r="I535" s="290"/>
    </row>
    <row r="536" spans="1:9" s="289" customFormat="1" ht="13.5" customHeight="1">
      <c r="A536" s="12" t="s">
        <v>245</v>
      </c>
      <c r="B536" s="12" t="s">
        <v>695</v>
      </c>
      <c r="C536" s="24">
        <v>12500</v>
      </c>
      <c r="D536" s="285"/>
      <c r="E536" s="283"/>
      <c r="F536" s="624"/>
      <c r="I536" s="290"/>
    </row>
    <row r="537" spans="1:9" s="289" customFormat="1" ht="13.5" customHeight="1">
      <c r="A537" s="12" t="s">
        <v>184</v>
      </c>
      <c r="B537" s="12" t="s">
        <v>272</v>
      </c>
      <c r="C537" s="24">
        <v>531250</v>
      </c>
      <c r="D537" s="285"/>
      <c r="E537" s="283"/>
      <c r="F537" s="624"/>
      <c r="I537" s="290"/>
    </row>
    <row r="538" spans="1:9" s="289" customFormat="1" ht="13.5" customHeight="1">
      <c r="A538" s="12" t="s">
        <v>209</v>
      </c>
      <c r="B538" s="12" t="s">
        <v>208</v>
      </c>
      <c r="C538" s="24">
        <v>470000</v>
      </c>
      <c r="D538" s="285"/>
      <c r="E538" s="283"/>
      <c r="F538" s="624"/>
      <c r="I538" s="290"/>
    </row>
    <row r="539" spans="1:9" s="289" customFormat="1" ht="13.5" customHeight="1">
      <c r="A539" s="12" t="s">
        <v>140</v>
      </c>
      <c r="B539" s="12" t="s">
        <v>141</v>
      </c>
      <c r="C539" s="24">
        <v>1450000</v>
      </c>
      <c r="D539" s="285"/>
      <c r="E539" s="283"/>
      <c r="F539" s="624"/>
      <c r="I539" s="290"/>
    </row>
    <row r="540" spans="1:9" s="289" customFormat="1" ht="13.5" customHeight="1">
      <c r="A540" s="12" t="s">
        <v>136</v>
      </c>
      <c r="B540" s="12" t="s">
        <v>71</v>
      </c>
      <c r="C540" s="24">
        <v>235000</v>
      </c>
      <c r="D540" s="285"/>
      <c r="E540" s="283"/>
      <c r="F540" s="624"/>
      <c r="I540" s="290"/>
    </row>
    <row r="541" spans="1:9" s="289" customFormat="1" ht="13.5" customHeight="1">
      <c r="A541" s="11" t="s">
        <v>696</v>
      </c>
      <c r="B541" s="11" t="s">
        <v>274</v>
      </c>
      <c r="C541" s="31">
        <f>SUM(C542:C546)</f>
        <v>252275750</v>
      </c>
      <c r="D541" s="285"/>
      <c r="E541" s="283"/>
      <c r="F541" s="624"/>
      <c r="I541" s="290"/>
    </row>
    <row r="542" spans="1:9" s="289" customFormat="1" ht="13.5" customHeight="1">
      <c r="A542" s="12" t="s">
        <v>275</v>
      </c>
      <c r="B542" s="12" t="s">
        <v>276</v>
      </c>
      <c r="C542" s="24">
        <v>35425000</v>
      </c>
      <c r="D542" s="285"/>
      <c r="E542" s="283"/>
      <c r="F542" s="624"/>
      <c r="I542" s="290"/>
    </row>
    <row r="543" spans="1:9" s="289" customFormat="1" ht="13.5" customHeight="1">
      <c r="A543" s="12" t="s">
        <v>277</v>
      </c>
      <c r="B543" s="12" t="s">
        <v>278</v>
      </c>
      <c r="C543" s="24">
        <v>67659030</v>
      </c>
      <c r="D543" s="285"/>
      <c r="E543" s="283"/>
      <c r="F543" s="624"/>
      <c r="I543" s="290"/>
    </row>
    <row r="544" spans="1:9" s="289" customFormat="1" ht="13.5" customHeight="1">
      <c r="A544" s="12" t="s">
        <v>279</v>
      </c>
      <c r="B544" s="12" t="s">
        <v>280</v>
      </c>
      <c r="C544" s="24">
        <f>148437720-35000000</f>
        <v>113437720</v>
      </c>
      <c r="D544" s="285"/>
      <c r="E544" s="283"/>
      <c r="F544" s="624"/>
      <c r="I544" s="290"/>
    </row>
    <row r="545" spans="1:9" s="289" customFormat="1" ht="13.5" customHeight="1">
      <c r="A545" s="12" t="s">
        <v>281</v>
      </c>
      <c r="B545" s="12" t="s">
        <v>697</v>
      </c>
      <c r="C545" s="24">
        <v>35400000</v>
      </c>
      <c r="D545" s="285"/>
      <c r="E545" s="283"/>
      <c r="F545" s="624"/>
      <c r="I545" s="290"/>
    </row>
    <row r="546" spans="1:9" s="289" customFormat="1" ht="13.5" customHeight="1">
      <c r="A546" s="12" t="s">
        <v>282</v>
      </c>
      <c r="B546" s="12" t="s">
        <v>283</v>
      </c>
      <c r="C546" s="24">
        <v>354000</v>
      </c>
      <c r="D546" s="285"/>
      <c r="E546" s="283"/>
      <c r="F546" s="624"/>
      <c r="I546" s="290"/>
    </row>
    <row r="547" spans="1:9" s="289" customFormat="1" ht="13.5" customHeight="1">
      <c r="A547" s="11" t="s">
        <v>112</v>
      </c>
      <c r="B547" s="11" t="s">
        <v>156</v>
      </c>
      <c r="C547" s="31">
        <f>SUM(C548:C549)</f>
        <v>124900</v>
      </c>
      <c r="D547" s="285"/>
      <c r="E547" s="283"/>
      <c r="F547" s="624"/>
      <c r="I547" s="290"/>
    </row>
    <row r="548" spans="1:9" s="289" customFormat="1" ht="13.5" customHeight="1">
      <c r="A548" s="12" t="s">
        <v>138</v>
      </c>
      <c r="B548" s="58" t="s">
        <v>810</v>
      </c>
      <c r="C548" s="24">
        <v>6700</v>
      </c>
      <c r="D548" s="285"/>
      <c r="E548" s="283"/>
      <c r="F548" s="624"/>
      <c r="I548" s="290"/>
    </row>
    <row r="549" spans="1:9" s="289" customFormat="1" ht="13.5" customHeight="1">
      <c r="A549" s="12" t="s">
        <v>49</v>
      </c>
      <c r="B549" s="24" t="s">
        <v>87</v>
      </c>
      <c r="C549" s="24">
        <v>118200</v>
      </c>
      <c r="D549" s="285"/>
      <c r="E549" s="283"/>
      <c r="F549" s="624"/>
      <c r="I549" s="290"/>
    </row>
    <row r="550" spans="1:9" s="289" customFormat="1" ht="13.5" customHeight="1">
      <c r="A550" s="11" t="s">
        <v>115</v>
      </c>
      <c r="B550" s="31" t="s">
        <v>8</v>
      </c>
      <c r="C550" s="31">
        <f>SUM(C551:C553)</f>
        <v>647560</v>
      </c>
      <c r="D550" s="285"/>
      <c r="E550" s="283"/>
      <c r="F550" s="624"/>
      <c r="I550" s="290"/>
    </row>
    <row r="551" spans="1:9" s="289" customFormat="1" ht="13.5" customHeight="1">
      <c r="A551" s="12" t="s">
        <v>92</v>
      </c>
      <c r="B551" s="24" t="s">
        <v>8</v>
      </c>
      <c r="C551" s="24">
        <v>18000</v>
      </c>
      <c r="D551" s="285"/>
      <c r="E551" s="283"/>
      <c r="F551" s="624"/>
      <c r="I551" s="290"/>
    </row>
    <row r="552" spans="1:9" s="289" customFormat="1" ht="13.5" customHeight="1">
      <c r="A552" s="12" t="s">
        <v>182</v>
      </c>
      <c r="B552" s="24" t="s">
        <v>50</v>
      </c>
      <c r="C552" s="24">
        <v>4560</v>
      </c>
      <c r="D552" s="285"/>
      <c r="E552" s="283"/>
      <c r="F552" s="624"/>
      <c r="I552" s="290"/>
    </row>
    <row r="553" spans="1:9" s="289" customFormat="1" ht="13.5" customHeight="1">
      <c r="A553" s="12" t="s">
        <v>90</v>
      </c>
      <c r="B553" s="24" t="s">
        <v>7</v>
      </c>
      <c r="C553" s="24">
        <v>625000</v>
      </c>
      <c r="D553" s="285"/>
      <c r="E553" s="283"/>
      <c r="F553" s="624"/>
      <c r="I553" s="290"/>
    </row>
    <row r="554" spans="1:9" s="289" customFormat="1" ht="13.5" customHeight="1" thickBot="1">
      <c r="A554" s="12"/>
      <c r="B554" s="24"/>
      <c r="C554" s="24"/>
      <c r="D554" s="285"/>
      <c r="E554" s="283"/>
      <c r="F554" s="624"/>
      <c r="I554" s="290"/>
    </row>
    <row r="555" spans="1:9" s="289" customFormat="1" ht="13.5" customHeight="1" thickBot="1">
      <c r="A555" s="996" t="s">
        <v>4</v>
      </c>
      <c r="B555" s="997"/>
      <c r="C555" s="605">
        <f>(C556+C560+C562+C564)</f>
        <v>5701800</v>
      </c>
      <c r="D555" s="285"/>
      <c r="E555" s="283"/>
      <c r="F555" s="624"/>
      <c r="I555" s="290"/>
    </row>
    <row r="556" spans="1:9" s="289" customFormat="1" ht="13.5" customHeight="1">
      <c r="A556" s="619" t="s">
        <v>673</v>
      </c>
      <c r="B556" s="619" t="s">
        <v>177</v>
      </c>
      <c r="C556" s="620">
        <f>SUM(C557:C559)</f>
        <v>4760000</v>
      </c>
      <c r="D556" s="285"/>
      <c r="E556" s="283"/>
      <c r="F556" s="624"/>
      <c r="I556" s="290"/>
    </row>
    <row r="557" spans="1:9" s="289" customFormat="1" ht="13.5" customHeight="1">
      <c r="A557" s="621" t="s">
        <v>176</v>
      </c>
      <c r="B557" s="621" t="s">
        <v>376</v>
      </c>
      <c r="C557" s="622">
        <v>1425000</v>
      </c>
      <c r="D557" s="285"/>
      <c r="E557" s="283"/>
      <c r="F557" s="624"/>
      <c r="I557" s="290"/>
    </row>
    <row r="558" spans="1:9" s="289" customFormat="1" ht="13.5" customHeight="1">
      <c r="A558" s="621" t="s">
        <v>174</v>
      </c>
      <c r="B558" s="621" t="s">
        <v>698</v>
      </c>
      <c r="C558" s="622">
        <v>2500000</v>
      </c>
      <c r="D558" s="285"/>
      <c r="E558" s="283"/>
      <c r="F558" s="624"/>
      <c r="I558" s="290"/>
    </row>
    <row r="559" spans="1:9" s="289" customFormat="1" ht="13.5" customHeight="1">
      <c r="A559" s="621" t="s">
        <v>172</v>
      </c>
      <c r="B559" s="621" t="s">
        <v>699</v>
      </c>
      <c r="C559" s="622">
        <v>835000</v>
      </c>
      <c r="D559" s="285"/>
      <c r="E559" s="283"/>
      <c r="F559" s="624"/>
      <c r="I559" s="290"/>
    </row>
    <row r="560" spans="1:9" s="289" customFormat="1" ht="13.5" customHeight="1">
      <c r="A560" s="619" t="s">
        <v>700</v>
      </c>
      <c r="B560" s="619" t="s">
        <v>169</v>
      </c>
      <c r="C560" s="620">
        <f>SUM(C561)</f>
        <v>750000</v>
      </c>
      <c r="D560" s="285"/>
      <c r="E560" s="283"/>
      <c r="F560" s="624"/>
      <c r="I560" s="290"/>
    </row>
    <row r="561" spans="1:9" s="289" customFormat="1" ht="13.5" customHeight="1">
      <c r="A561" s="621" t="s">
        <v>168</v>
      </c>
      <c r="B561" s="621" t="s">
        <v>167</v>
      </c>
      <c r="C561" s="622">
        <v>750000</v>
      </c>
      <c r="D561" s="285"/>
      <c r="E561" s="283"/>
      <c r="F561" s="624"/>
      <c r="I561" s="290"/>
    </row>
    <row r="562" spans="1:9" s="289" customFormat="1" ht="13.5" customHeight="1">
      <c r="A562" s="249" t="s">
        <v>116</v>
      </c>
      <c r="B562" s="510" t="s">
        <v>117</v>
      </c>
      <c r="C562" s="273">
        <f>SUM(C563)</f>
        <v>26800</v>
      </c>
      <c r="D562" s="285"/>
      <c r="E562" s="283"/>
      <c r="F562" s="624"/>
      <c r="I562" s="290"/>
    </row>
    <row r="563" spans="1:9" s="289" customFormat="1" ht="13.5" customHeight="1">
      <c r="A563" s="71" t="s">
        <v>91</v>
      </c>
      <c r="B563" s="71" t="s">
        <v>139</v>
      </c>
      <c r="C563" s="24">
        <v>26800</v>
      </c>
      <c r="D563" s="285"/>
      <c r="E563" s="283"/>
      <c r="F563" s="624"/>
      <c r="I563" s="290"/>
    </row>
    <row r="564" spans="1:9" s="289" customFormat="1" ht="13.5" customHeight="1">
      <c r="A564" s="246" t="s">
        <v>165</v>
      </c>
      <c r="B564" s="11" t="s">
        <v>134</v>
      </c>
      <c r="C564" s="31">
        <f>SUM(C565)</f>
        <v>165000</v>
      </c>
      <c r="D564" s="285"/>
      <c r="E564" s="283"/>
      <c r="F564" s="624"/>
      <c r="I564" s="290"/>
    </row>
    <row r="565" spans="1:9" s="289" customFormat="1" ht="13.5" customHeight="1">
      <c r="A565" s="257" t="s">
        <v>166</v>
      </c>
      <c r="B565" s="12" t="s">
        <v>51</v>
      </c>
      <c r="C565" s="286">
        <v>165000</v>
      </c>
      <c r="D565" s="285"/>
      <c r="E565" s="283"/>
      <c r="F565" s="624"/>
      <c r="I565" s="290"/>
    </row>
    <row r="566" spans="1:9" s="289" customFormat="1" ht="13.5" customHeight="1">
      <c r="A566" s="319"/>
      <c r="B566" s="319"/>
      <c r="C566" s="283"/>
      <c r="D566" s="285"/>
      <c r="E566" s="283"/>
      <c r="F566" s="624"/>
      <c r="I566" s="290"/>
    </row>
    <row r="567" spans="1:9" s="289" customFormat="1" ht="13.5" customHeight="1">
      <c r="A567" s="319"/>
      <c r="B567" s="319"/>
      <c r="C567" s="283"/>
      <c r="D567" s="285"/>
      <c r="E567" s="283"/>
      <c r="F567" s="624"/>
      <c r="I567" s="290"/>
    </row>
    <row r="568" spans="1:9" s="125" customFormat="1" ht="13.5" customHeight="1">
      <c r="A568" s="623" t="s">
        <v>298</v>
      </c>
      <c r="B568" s="623"/>
      <c r="C568" s="24"/>
      <c r="D568" s="23"/>
      <c r="E568" s="258"/>
      <c r="F568" s="624"/>
      <c r="I568" s="260"/>
    </row>
    <row r="569" spans="1:9" s="119" customFormat="1" ht="13.5" customHeight="1" thickBot="1">
      <c r="A569" s="52"/>
      <c r="B569" s="52"/>
      <c r="C569" s="286"/>
      <c r="D569" s="261"/>
      <c r="E569" s="286"/>
      <c r="F569" s="763"/>
      <c r="I569" s="301"/>
    </row>
    <row r="570" spans="1:9" s="311" customFormat="1" ht="13.5" customHeight="1">
      <c r="A570" s="583" t="s">
        <v>701</v>
      </c>
      <c r="B570" s="584"/>
      <c r="C570" s="625"/>
      <c r="D570" s="627" t="s">
        <v>6</v>
      </c>
      <c r="E570" s="816">
        <v>1310</v>
      </c>
      <c r="F570" s="624"/>
      <c r="I570" s="312"/>
    </row>
    <row r="571" spans="1:9" s="311" customFormat="1" ht="13.5" customHeight="1" thickBot="1">
      <c r="A571" s="709"/>
      <c r="B571" s="588"/>
      <c r="C571" s="628"/>
      <c r="D571" s="630"/>
      <c r="E571" s="832"/>
      <c r="F571" s="624"/>
      <c r="I571" s="312"/>
    </row>
    <row r="572" spans="1:9" s="311" customFormat="1" ht="13.5" customHeight="1">
      <c r="A572" s="252" t="s">
        <v>798</v>
      </c>
      <c r="B572" s="52"/>
      <c r="C572" s="286"/>
      <c r="D572" s="261"/>
      <c r="E572" s="288"/>
      <c r="F572" s="624"/>
      <c r="I572" s="312"/>
    </row>
    <row r="573" spans="1:9" s="311" customFormat="1" ht="13.5" customHeight="1">
      <c r="A573" s="252" t="s">
        <v>702</v>
      </c>
      <c r="B573" s="52"/>
      <c r="C573" s="286"/>
      <c r="D573" s="261"/>
      <c r="E573" s="288"/>
      <c r="F573" s="624"/>
      <c r="I573" s="312"/>
    </row>
    <row r="574" spans="1:9" s="311" customFormat="1" ht="13.5" customHeight="1">
      <c r="A574" s="252" t="s">
        <v>670</v>
      </c>
      <c r="B574" s="52"/>
      <c r="C574" s="286"/>
      <c r="D574" s="261"/>
      <c r="E574" s="288"/>
      <c r="F574" s="624"/>
      <c r="I574" s="312"/>
    </row>
    <row r="575" spans="1:9" s="311" customFormat="1" ht="13.5" customHeight="1" thickBot="1">
      <c r="A575" s="252" t="s">
        <v>11</v>
      </c>
      <c r="B575" s="52"/>
      <c r="C575" s="313"/>
      <c r="D575" s="261"/>
      <c r="E575" s="288"/>
      <c r="F575" s="624"/>
      <c r="I575" s="312"/>
    </row>
    <row r="576" spans="1:9" s="311" customFormat="1" ht="13.5" customHeight="1" thickBot="1">
      <c r="A576" s="697" t="s">
        <v>300</v>
      </c>
      <c r="B576" s="698"/>
      <c r="C576" s="699"/>
      <c r="D576" s="700"/>
      <c r="E576" s="701">
        <f>(D611+D625+D638)</f>
        <v>104225000</v>
      </c>
      <c r="F576" s="778"/>
      <c r="I576" s="312"/>
    </row>
    <row r="577" spans="1:9" s="311" customFormat="1" ht="13.5" customHeight="1" thickBot="1">
      <c r="A577" s="254"/>
      <c r="B577" s="255"/>
      <c r="C577" s="256"/>
      <c r="D577" s="285"/>
      <c r="E577" s="283"/>
      <c r="F577" s="624"/>
      <c r="I577" s="312"/>
    </row>
    <row r="578" spans="1:9" s="125" customFormat="1" ht="13.5" customHeight="1" hidden="1">
      <c r="A578" s="1064" t="s">
        <v>2</v>
      </c>
      <c r="B578" s="1065"/>
      <c r="C578" s="271">
        <f>C579+C586</f>
        <v>0</v>
      </c>
      <c r="D578" s="261"/>
      <c r="E578" s="286"/>
      <c r="F578" s="624"/>
      <c r="I578" s="260"/>
    </row>
    <row r="579" spans="1:9" s="12" customFormat="1" ht="13.5" customHeight="1" hidden="1">
      <c r="A579" s="249" t="s">
        <v>124</v>
      </c>
      <c r="B579" s="25" t="s">
        <v>123</v>
      </c>
      <c r="C579" s="25">
        <f>SUM(C580:C585)</f>
        <v>0</v>
      </c>
      <c r="D579" s="22"/>
      <c r="E579" s="31"/>
      <c r="F579" s="768"/>
      <c r="G579" s="24"/>
      <c r="I579" s="279"/>
    </row>
    <row r="580" spans="1:9" s="12" customFormat="1" ht="13.5" customHeight="1" hidden="1">
      <c r="A580" s="71" t="s">
        <v>231</v>
      </c>
      <c r="B580" s="23" t="s">
        <v>230</v>
      </c>
      <c r="C580" s="503"/>
      <c r="D580" s="22"/>
      <c r="E580" s="31"/>
      <c r="F580" s="768"/>
      <c r="G580" s="24"/>
      <c r="I580" s="279"/>
    </row>
    <row r="581" spans="1:9" s="12" customFormat="1" ht="13.5" customHeight="1" hidden="1">
      <c r="A581" s="12" t="s">
        <v>264</v>
      </c>
      <c r="B581" s="24" t="s">
        <v>265</v>
      </c>
      <c r="C581" s="503"/>
      <c r="D581" s="95"/>
      <c r="E581" s="31"/>
      <c r="F581" s="768"/>
      <c r="G581" s="24"/>
      <c r="I581" s="279"/>
    </row>
    <row r="582" spans="1:9" s="12" customFormat="1" ht="13.5" customHeight="1" hidden="1">
      <c r="A582" s="12" t="s">
        <v>241</v>
      </c>
      <c r="B582" s="24" t="s">
        <v>242</v>
      </c>
      <c r="C582" s="503"/>
      <c r="D582" s="78"/>
      <c r="E582" s="31"/>
      <c r="F582" s="768"/>
      <c r="G582" s="24"/>
      <c r="I582" s="279"/>
    </row>
    <row r="583" spans="1:9" s="12" customFormat="1" ht="13.5" customHeight="1" hidden="1">
      <c r="A583" s="71" t="s">
        <v>266</v>
      </c>
      <c r="B583" s="12" t="s">
        <v>267</v>
      </c>
      <c r="C583" s="503"/>
      <c r="D583" s="95"/>
      <c r="E583" s="31"/>
      <c r="F583" s="768"/>
      <c r="G583" s="24"/>
      <c r="I583" s="279"/>
    </row>
    <row r="584" spans="1:9" s="5" customFormat="1" ht="14.25" hidden="1" thickBot="1">
      <c r="A584" s="71" t="s">
        <v>93</v>
      </c>
      <c r="B584" s="23" t="s">
        <v>72</v>
      </c>
      <c r="C584" s="503"/>
      <c r="D584" s="21"/>
      <c r="E584" s="21"/>
      <c r="F584" s="539"/>
      <c r="I584" s="280"/>
    </row>
    <row r="585" spans="1:9" s="5" customFormat="1" ht="14.25" hidden="1" thickBot="1">
      <c r="A585" s="71" t="s">
        <v>555</v>
      </c>
      <c r="B585" s="42" t="s">
        <v>556</v>
      </c>
      <c r="C585" s="503"/>
      <c r="D585" s="21"/>
      <c r="E585" s="21"/>
      <c r="F585" s="539"/>
      <c r="I585" s="280"/>
    </row>
    <row r="586" spans="1:9" s="5" customFormat="1" ht="14.25" hidden="1" thickBot="1">
      <c r="A586" s="249" t="s">
        <v>150</v>
      </c>
      <c r="B586" s="25" t="s">
        <v>133</v>
      </c>
      <c r="C586" s="31">
        <f>SUM(C587:C588)</f>
        <v>0</v>
      </c>
      <c r="D586" s="21"/>
      <c r="E586" s="21"/>
      <c r="F586" s="539"/>
      <c r="I586" s="280"/>
    </row>
    <row r="587" spans="1:9" s="5" customFormat="1" ht="14.25" hidden="1" thickBot="1">
      <c r="A587" s="71" t="s">
        <v>151</v>
      </c>
      <c r="B587" s="23" t="s">
        <v>65</v>
      </c>
      <c r="C587" s="503"/>
      <c r="D587" s="21"/>
      <c r="E587" s="21"/>
      <c r="F587" s="539"/>
      <c r="I587" s="280"/>
    </row>
    <row r="588" spans="1:9" s="12" customFormat="1" ht="13.5" customHeight="1" hidden="1">
      <c r="A588" s="71" t="s">
        <v>154</v>
      </c>
      <c r="B588" s="23" t="s">
        <v>133</v>
      </c>
      <c r="C588" s="503"/>
      <c r="D588" s="22"/>
      <c r="E588" s="31"/>
      <c r="F588" s="768"/>
      <c r="G588" s="24"/>
      <c r="I588" s="279"/>
    </row>
    <row r="589" spans="1:9" s="125" customFormat="1" ht="13.5" customHeight="1" hidden="1">
      <c r="A589" s="257"/>
      <c r="B589" s="257"/>
      <c r="C589" s="258"/>
      <c r="D589" s="261"/>
      <c r="E589" s="286"/>
      <c r="F589" s="624"/>
      <c r="I589" s="260"/>
    </row>
    <row r="590" spans="1:9" s="125" customFormat="1" ht="13.5" customHeight="1" hidden="1">
      <c r="A590" s="1084" t="s">
        <v>3</v>
      </c>
      <c r="B590" s="1085"/>
      <c r="C590" s="282">
        <f>C591+C594+C599+C601</f>
        <v>0</v>
      </c>
      <c r="D590" s="23"/>
      <c r="E590" s="23"/>
      <c r="F590" s="624"/>
      <c r="I590" s="260"/>
    </row>
    <row r="591" spans="1:9" s="121" customFormat="1" ht="13.5" customHeight="1" hidden="1">
      <c r="A591" s="11" t="s">
        <v>110</v>
      </c>
      <c r="B591" s="510" t="s">
        <v>111</v>
      </c>
      <c r="C591" s="318">
        <f>SUM(C592:C593)</f>
        <v>0</v>
      </c>
      <c r="D591" s="95"/>
      <c r="E591" s="95"/>
      <c r="F591" s="536"/>
      <c r="I591" s="291"/>
    </row>
    <row r="592" spans="1:9" s="71" customFormat="1" ht="13.5" customHeight="1" hidden="1">
      <c r="A592" s="12" t="s">
        <v>268</v>
      </c>
      <c r="B592" s="12" t="s">
        <v>269</v>
      </c>
      <c r="C592" s="503"/>
      <c r="D592" s="78"/>
      <c r="E592" s="25"/>
      <c r="F592" s="536"/>
      <c r="G592" s="24"/>
      <c r="H592" s="12"/>
      <c r="I592" s="265"/>
    </row>
    <row r="593" spans="1:9" s="71" customFormat="1" ht="13.5" customHeight="1" hidden="1">
      <c r="A593" s="12" t="s">
        <v>52</v>
      </c>
      <c r="B593" s="12" t="s">
        <v>15</v>
      </c>
      <c r="C593" s="503"/>
      <c r="D593" s="78"/>
      <c r="E593" s="25"/>
      <c r="F593" s="536"/>
      <c r="G593" s="24"/>
      <c r="H593" s="12"/>
      <c r="I593" s="265"/>
    </row>
    <row r="594" spans="1:9" s="71" customFormat="1" ht="13.5" customHeight="1" hidden="1">
      <c r="A594" s="11" t="s">
        <v>120</v>
      </c>
      <c r="B594" s="11" t="s">
        <v>121</v>
      </c>
      <c r="C594" s="31">
        <f>SUM(C595:C598)</f>
        <v>0</v>
      </c>
      <c r="D594" s="78"/>
      <c r="E594" s="25"/>
      <c r="F594" s="536"/>
      <c r="G594" s="24"/>
      <c r="H594" s="12"/>
      <c r="I594" s="265"/>
    </row>
    <row r="595" spans="1:9" s="71" customFormat="1" ht="13.5" customHeight="1" hidden="1">
      <c r="A595" s="12" t="s">
        <v>245</v>
      </c>
      <c r="B595" s="12" t="s">
        <v>246</v>
      </c>
      <c r="C595" s="511"/>
      <c r="D595" s="78"/>
      <c r="E595" s="25"/>
      <c r="F595" s="536"/>
      <c r="G595" s="24"/>
      <c r="H595" s="12"/>
      <c r="I595" s="265"/>
    </row>
    <row r="596" spans="1:9" s="125" customFormat="1" ht="13.5" customHeight="1" hidden="1">
      <c r="A596" s="12" t="s">
        <v>209</v>
      </c>
      <c r="B596" s="12" t="s">
        <v>208</v>
      </c>
      <c r="C596" s="511"/>
      <c r="D596" s="276"/>
      <c r="E596" s="286"/>
      <c r="F596" s="624"/>
      <c r="I596" s="260"/>
    </row>
    <row r="597" spans="1:9" s="125" customFormat="1" ht="13.5" customHeight="1" hidden="1">
      <c r="A597" s="12" t="s">
        <v>140</v>
      </c>
      <c r="B597" s="12" t="s">
        <v>540</v>
      </c>
      <c r="C597" s="511"/>
      <c r="D597" s="276"/>
      <c r="E597" s="286"/>
      <c r="F597" s="624"/>
      <c r="I597" s="260"/>
    </row>
    <row r="598" spans="1:9" s="142" customFormat="1" ht="14.25" hidden="1" thickBot="1">
      <c r="A598" s="12" t="s">
        <v>136</v>
      </c>
      <c r="B598" s="12" t="s">
        <v>71</v>
      </c>
      <c r="C598" s="503"/>
      <c r="D598" s="31"/>
      <c r="E598" s="117"/>
      <c r="F598" s="768"/>
      <c r="I598" s="284"/>
    </row>
    <row r="599" spans="1:9" s="142" customFormat="1" ht="14.25" hidden="1" thickBot="1">
      <c r="A599" s="11" t="s">
        <v>112</v>
      </c>
      <c r="B599" s="11" t="s">
        <v>156</v>
      </c>
      <c r="C599" s="31">
        <f>SUM(C600:C600)</f>
        <v>0</v>
      </c>
      <c r="F599" s="535"/>
      <c r="I599" s="284"/>
    </row>
    <row r="600" spans="1:9" s="142" customFormat="1" ht="14.25" hidden="1" thickBot="1">
      <c r="A600" s="12" t="s">
        <v>49</v>
      </c>
      <c r="B600" s="24" t="s">
        <v>87</v>
      </c>
      <c r="C600" s="503"/>
      <c r="F600" s="768"/>
      <c r="I600" s="284"/>
    </row>
    <row r="601" spans="1:9" s="142" customFormat="1" ht="14.25" hidden="1" thickBot="1">
      <c r="A601" s="11" t="s">
        <v>115</v>
      </c>
      <c r="B601" s="11" t="s">
        <v>7</v>
      </c>
      <c r="C601" s="31">
        <f>SUM(C602:C603)</f>
        <v>0</v>
      </c>
      <c r="D601" s="25"/>
      <c r="E601" s="38"/>
      <c r="F601" s="768"/>
      <c r="I601" s="284"/>
    </row>
    <row r="602" spans="1:11" s="5" customFormat="1" ht="14.25" hidden="1" thickBot="1">
      <c r="A602" s="12" t="s">
        <v>89</v>
      </c>
      <c r="B602" s="24" t="s">
        <v>8</v>
      </c>
      <c r="C602" s="503"/>
      <c r="D602" s="25"/>
      <c r="F602" s="767"/>
      <c r="G602" s="24"/>
      <c r="H602" s="24"/>
      <c r="I602" s="265"/>
      <c r="J602" s="71"/>
      <c r="K602" s="71"/>
    </row>
    <row r="603" spans="1:11" s="71" customFormat="1" ht="13.5" customHeight="1" hidden="1">
      <c r="A603" s="12" t="s">
        <v>90</v>
      </c>
      <c r="B603" s="24" t="s">
        <v>7</v>
      </c>
      <c r="C603" s="503"/>
      <c r="D603" s="24"/>
      <c r="E603" s="117"/>
      <c r="F603" s="768"/>
      <c r="G603" s="5"/>
      <c r="H603" s="5"/>
      <c r="I603" s="280"/>
      <c r="J603" s="5"/>
      <c r="K603" s="5"/>
    </row>
    <row r="604" spans="1:9" s="311" customFormat="1" ht="13.5" customHeight="1" hidden="1">
      <c r="A604" s="314"/>
      <c r="B604" s="314"/>
      <c r="C604" s="315"/>
      <c r="D604" s="316"/>
      <c r="E604" s="283"/>
      <c r="F604" s="624"/>
      <c r="I604" s="312"/>
    </row>
    <row r="605" spans="1:9" s="311" customFormat="1" ht="13.5" customHeight="1">
      <c r="A605" s="781" t="s">
        <v>712</v>
      </c>
      <c r="B605" s="704"/>
      <c r="C605" s="627" t="s">
        <v>744</v>
      </c>
      <c r="D605" s="833" t="s">
        <v>1020</v>
      </c>
      <c r="E605" s="283"/>
      <c r="F605" s="624"/>
      <c r="I605" s="312"/>
    </row>
    <row r="606" spans="1:9" s="311" customFormat="1" ht="13.5" customHeight="1" thickBot="1">
      <c r="A606" s="642"/>
      <c r="B606" s="663"/>
      <c r="C606" s="705"/>
      <c r="D606" s="834"/>
      <c r="E606" s="283"/>
      <c r="F606" s="624"/>
      <c r="I606" s="312"/>
    </row>
    <row r="607" spans="1:9" s="126" customFormat="1" ht="13.5" customHeight="1">
      <c r="A607" s="591" t="s">
        <v>798</v>
      </c>
      <c r="B607" s="592"/>
      <c r="C607" s="610"/>
      <c r="D607" s="611"/>
      <c r="E607" s="286"/>
      <c r="F607" s="539"/>
      <c r="I607" s="269"/>
    </row>
    <row r="608" spans="1:9" s="126" customFormat="1" ht="13.5" customHeight="1">
      <c r="A608" s="252" t="s">
        <v>713</v>
      </c>
      <c r="B608" s="52"/>
      <c r="C608" s="286"/>
      <c r="D608" s="612"/>
      <c r="E608" s="286"/>
      <c r="F608" s="539"/>
      <c r="I608" s="269"/>
    </row>
    <row r="609" spans="1:9" s="126" customFormat="1" ht="13.5" customHeight="1">
      <c r="A609" s="252" t="s">
        <v>799</v>
      </c>
      <c r="B609" s="52"/>
      <c r="C609" s="286"/>
      <c r="D609" s="612"/>
      <c r="E609" s="286"/>
      <c r="F609" s="539"/>
      <c r="I609" s="269"/>
    </row>
    <row r="610" spans="1:9" s="126" customFormat="1" ht="13.5" customHeight="1" thickBot="1">
      <c r="A610" s="304" t="s">
        <v>11</v>
      </c>
      <c r="B610" s="557"/>
      <c r="C610" s="313"/>
      <c r="D610" s="613"/>
      <c r="E610" s="286"/>
      <c r="F610" s="539"/>
      <c r="I610" s="269"/>
    </row>
    <row r="611" spans="1:9" s="311" customFormat="1" ht="13.5" customHeight="1" thickBot="1">
      <c r="A611" s="697" t="s">
        <v>715</v>
      </c>
      <c r="B611" s="698"/>
      <c r="C611" s="699"/>
      <c r="D611" s="706">
        <f>(C613)</f>
        <v>7275000</v>
      </c>
      <c r="E611" s="283"/>
      <c r="F611" s="624"/>
      <c r="I611" s="312"/>
    </row>
    <row r="612" spans="1:9" s="311" customFormat="1" ht="13.5" customHeight="1" thickBot="1">
      <c r="A612" s="314"/>
      <c r="B612" s="314"/>
      <c r="C612" s="315"/>
      <c r="D612" s="316"/>
      <c r="E612" s="283"/>
      <c r="F612" s="624"/>
      <c r="I612" s="312"/>
    </row>
    <row r="613" spans="1:9" s="311" customFormat="1" ht="13.5" customHeight="1" thickBot="1">
      <c r="A613" s="1011" t="s">
        <v>301</v>
      </c>
      <c r="B613" s="1012"/>
      <c r="C613" s="710">
        <f>(C615)</f>
        <v>7275000</v>
      </c>
      <c r="D613" s="316"/>
      <c r="E613" s="283"/>
      <c r="F613" s="624"/>
      <c r="I613" s="312"/>
    </row>
    <row r="614" spans="1:9" s="311" customFormat="1" ht="13.5" customHeight="1">
      <c r="A614" s="319" t="s">
        <v>315</v>
      </c>
      <c r="B614" s="510" t="s">
        <v>316</v>
      </c>
      <c r="C614" s="315"/>
      <c r="D614" s="316"/>
      <c r="E614" s="283"/>
      <c r="F614" s="624"/>
      <c r="I614" s="312"/>
    </row>
    <row r="615" spans="1:9" s="311" customFormat="1" ht="13.5" customHeight="1">
      <c r="A615" s="52" t="s">
        <v>324</v>
      </c>
      <c r="B615" s="12" t="s">
        <v>325</v>
      </c>
      <c r="C615" s="622">
        <v>7275000</v>
      </c>
      <c r="D615" s="316"/>
      <c r="E615" s="283"/>
      <c r="F615" s="624"/>
      <c r="I615" s="312"/>
    </row>
    <row r="616" spans="1:9" s="311" customFormat="1" ht="13.5" customHeight="1" thickBot="1">
      <c r="A616" s="52"/>
      <c r="B616" s="12"/>
      <c r="C616" s="286"/>
      <c r="D616" s="316"/>
      <c r="E616" s="283"/>
      <c r="F616" s="624"/>
      <c r="I616" s="312"/>
    </row>
    <row r="617" spans="1:9" s="311" customFormat="1" ht="13.5" customHeight="1">
      <c r="A617" s="781" t="s">
        <v>783</v>
      </c>
      <c r="B617" s="704"/>
      <c r="C617" s="810" t="s">
        <v>744</v>
      </c>
      <c r="D617" s="838" t="s">
        <v>1021</v>
      </c>
      <c r="E617" s="283"/>
      <c r="F617" s="624"/>
      <c r="I617" s="312"/>
    </row>
    <row r="618" spans="1:9" s="311" customFormat="1" ht="13.5" customHeight="1">
      <c r="A618" s="642" t="s">
        <v>784</v>
      </c>
      <c r="B618" s="663"/>
      <c r="C618" s="835"/>
      <c r="D618" s="839"/>
      <c r="E618" s="283"/>
      <c r="F618" s="624"/>
      <c r="I618" s="312"/>
    </row>
    <row r="619" spans="1:9" s="311" customFormat="1" ht="13.5" customHeight="1">
      <c r="A619" s="642" t="s">
        <v>785</v>
      </c>
      <c r="B619" s="663"/>
      <c r="C619" s="835"/>
      <c r="D619" s="839"/>
      <c r="E619" s="283"/>
      <c r="F619" s="624"/>
      <c r="I619" s="312"/>
    </row>
    <row r="620" spans="1:9" s="311" customFormat="1" ht="13.5" customHeight="1" thickBot="1">
      <c r="A620" s="587"/>
      <c r="B620" s="588"/>
      <c r="C620" s="836"/>
      <c r="D620" s="840"/>
      <c r="E620" s="283"/>
      <c r="F620" s="624"/>
      <c r="I620" s="312"/>
    </row>
    <row r="621" spans="1:9" s="311" customFormat="1" ht="13.5" customHeight="1">
      <c r="A621" s="252" t="s">
        <v>798</v>
      </c>
      <c r="B621" s="52"/>
      <c r="C621" s="286"/>
      <c r="D621" s="612"/>
      <c r="E621" s="283"/>
      <c r="F621" s="624"/>
      <c r="I621" s="312"/>
    </row>
    <row r="622" spans="1:9" s="311" customFormat="1" ht="13.5" customHeight="1">
      <c r="A622" s="252" t="s">
        <v>716</v>
      </c>
      <c r="B622" s="52"/>
      <c r="C622" s="286"/>
      <c r="D622" s="612"/>
      <c r="E622" s="283"/>
      <c r="F622" s="624"/>
      <c r="I622" s="312"/>
    </row>
    <row r="623" spans="1:9" s="311" customFormat="1" ht="13.5" customHeight="1">
      <c r="A623" s="252" t="s">
        <v>714</v>
      </c>
      <c r="B623" s="52"/>
      <c r="C623" s="286"/>
      <c r="D623" s="612"/>
      <c r="E623" s="283"/>
      <c r="F623" s="624"/>
      <c r="I623" s="312"/>
    </row>
    <row r="624" spans="1:9" s="311" customFormat="1" ht="13.5" customHeight="1" thickBot="1">
      <c r="A624" s="304" t="s">
        <v>11</v>
      </c>
      <c r="B624" s="557"/>
      <c r="C624" s="313"/>
      <c r="D624" s="613"/>
      <c r="E624" s="283"/>
      <c r="F624" s="624"/>
      <c r="I624" s="312"/>
    </row>
    <row r="625" spans="1:9" s="311" customFormat="1" ht="13.5" customHeight="1" thickBot="1">
      <c r="A625" s="697" t="s">
        <v>715</v>
      </c>
      <c r="B625" s="698"/>
      <c r="C625" s="699"/>
      <c r="D625" s="706">
        <f>(C627)</f>
        <v>55600000</v>
      </c>
      <c r="E625" s="283"/>
      <c r="F625" s="624"/>
      <c r="I625" s="312"/>
    </row>
    <row r="626" spans="1:9" s="311" customFormat="1" ht="13.5" customHeight="1" thickBot="1">
      <c r="A626" s="52"/>
      <c r="B626" s="12"/>
      <c r="C626" s="286"/>
      <c r="D626" s="316"/>
      <c r="E626" s="283"/>
      <c r="F626" s="624"/>
      <c r="I626" s="312"/>
    </row>
    <row r="627" spans="1:9" s="311" customFormat="1" ht="13.5" customHeight="1" thickBot="1">
      <c r="A627" s="1011" t="s">
        <v>301</v>
      </c>
      <c r="B627" s="1012"/>
      <c r="C627" s="710">
        <f>SUM(C629:C630)</f>
        <v>55600000</v>
      </c>
      <c r="D627" s="316"/>
      <c r="E627" s="283"/>
      <c r="F627" s="624"/>
      <c r="I627" s="312"/>
    </row>
    <row r="628" spans="1:9" s="311" customFormat="1" ht="13.5" customHeight="1">
      <c r="A628" s="319" t="s">
        <v>315</v>
      </c>
      <c r="B628" s="510" t="s">
        <v>316</v>
      </c>
      <c r="C628" s="286"/>
      <c r="D628" s="316"/>
      <c r="E628" s="283"/>
      <c r="F628" s="624"/>
      <c r="I628" s="312"/>
    </row>
    <row r="629" spans="1:9" s="311" customFormat="1" ht="13.5" customHeight="1">
      <c r="A629" s="52" t="s">
        <v>330</v>
      </c>
      <c r="B629" s="52" t="s">
        <v>331</v>
      </c>
      <c r="C629" s="317">
        <v>38600000</v>
      </c>
      <c r="D629" s="316"/>
      <c r="E629" s="283"/>
      <c r="F629" s="624"/>
      <c r="I629" s="312"/>
    </row>
    <row r="630" spans="1:9" s="311" customFormat="1" ht="13.5" customHeight="1">
      <c r="A630" s="52" t="s">
        <v>332</v>
      </c>
      <c r="B630" s="12" t="s">
        <v>333</v>
      </c>
      <c r="C630" s="286">
        <v>17000000</v>
      </c>
      <c r="D630" s="316"/>
      <c r="E630" s="283"/>
      <c r="F630" s="624"/>
      <c r="I630" s="312"/>
    </row>
    <row r="631" spans="1:9" s="311" customFormat="1" ht="13.5" customHeight="1" thickBot="1">
      <c r="A631" s="52"/>
      <c r="B631" s="12"/>
      <c r="C631" s="286"/>
      <c r="D631" s="316"/>
      <c r="E631" s="283"/>
      <c r="F631" s="624"/>
      <c r="I631" s="312"/>
    </row>
    <row r="632" spans="1:9" s="311" customFormat="1" ht="13.5" customHeight="1">
      <c r="A632" s="781" t="s">
        <v>717</v>
      </c>
      <c r="B632" s="704"/>
      <c r="C632" s="810" t="s">
        <v>744</v>
      </c>
      <c r="D632" s="838" t="s">
        <v>1022</v>
      </c>
      <c r="E632" s="283"/>
      <c r="F632" s="624"/>
      <c r="I632" s="312"/>
    </row>
    <row r="633" spans="1:9" s="311" customFormat="1" ht="13.5" customHeight="1" thickBot="1">
      <c r="A633" s="587"/>
      <c r="B633" s="588"/>
      <c r="C633" s="836"/>
      <c r="D633" s="840"/>
      <c r="E633" s="283"/>
      <c r="F633" s="624"/>
      <c r="I633" s="312"/>
    </row>
    <row r="634" spans="1:9" s="126" customFormat="1" ht="13.5" customHeight="1">
      <c r="A634" s="252" t="s">
        <v>798</v>
      </c>
      <c r="B634" s="52"/>
      <c r="C634" s="286"/>
      <c r="D634" s="612"/>
      <c r="E634" s="286"/>
      <c r="F634" s="539"/>
      <c r="I634" s="269"/>
    </row>
    <row r="635" spans="1:9" s="126" customFormat="1" ht="13.5" customHeight="1">
      <c r="A635" s="252" t="s">
        <v>716</v>
      </c>
      <c r="B635" s="52"/>
      <c r="C635" s="286"/>
      <c r="D635" s="612"/>
      <c r="E635" s="286"/>
      <c r="F635" s="539"/>
      <c r="I635" s="269"/>
    </row>
    <row r="636" spans="1:9" s="126" customFormat="1" ht="13.5" customHeight="1">
      <c r="A636" s="252" t="s">
        <v>714</v>
      </c>
      <c r="B636" s="52"/>
      <c r="C636" s="286"/>
      <c r="D636" s="612"/>
      <c r="E636" s="286"/>
      <c r="F636" s="539"/>
      <c r="I636" s="269"/>
    </row>
    <row r="637" spans="1:9" s="126" customFormat="1" ht="13.5" customHeight="1" thickBot="1">
      <c r="A637" s="304" t="s">
        <v>11</v>
      </c>
      <c r="B637" s="557"/>
      <c r="C637" s="313"/>
      <c r="D637" s="613"/>
      <c r="E637" s="286"/>
      <c r="F637" s="539"/>
      <c r="I637" s="269"/>
    </row>
    <row r="638" spans="1:9" s="311" customFormat="1" ht="13.5" customHeight="1" thickBot="1">
      <c r="A638" s="697" t="s">
        <v>715</v>
      </c>
      <c r="B638" s="698"/>
      <c r="C638" s="699"/>
      <c r="D638" s="706">
        <f>(C640)</f>
        <v>41350000</v>
      </c>
      <c r="E638" s="283"/>
      <c r="F638" s="624"/>
      <c r="I638" s="312"/>
    </row>
    <row r="639" spans="1:9" s="311" customFormat="1" ht="13.5" customHeight="1" thickBot="1">
      <c r="A639" s="52"/>
      <c r="B639" s="12"/>
      <c r="C639" s="286"/>
      <c r="D639" s="316"/>
      <c r="E639" s="283"/>
      <c r="F639" s="624"/>
      <c r="I639" s="312"/>
    </row>
    <row r="640" spans="1:9" s="311" customFormat="1" ht="13.5" customHeight="1" thickBot="1">
      <c r="A640" s="1011" t="s">
        <v>301</v>
      </c>
      <c r="B640" s="1012"/>
      <c r="C640" s="710">
        <f>(C642+C643+C644+C645)</f>
        <v>41350000</v>
      </c>
      <c r="D640" s="316"/>
      <c r="E640" s="283"/>
      <c r="F640" s="624"/>
      <c r="I640" s="312"/>
    </row>
    <row r="641" spans="1:9" s="311" customFormat="1" ht="13.5" customHeight="1">
      <c r="A641" s="319" t="s">
        <v>315</v>
      </c>
      <c r="B641" s="510" t="s">
        <v>316</v>
      </c>
      <c r="C641" s="286"/>
      <c r="D641" s="316"/>
      <c r="E641" s="283"/>
      <c r="F641" s="624"/>
      <c r="I641" s="312"/>
    </row>
    <row r="642" spans="1:9" s="311" customFormat="1" ht="13.5" customHeight="1">
      <c r="A642" s="52" t="s">
        <v>326</v>
      </c>
      <c r="B642" s="12" t="s">
        <v>327</v>
      </c>
      <c r="C642" s="286">
        <v>10650000</v>
      </c>
      <c r="D642" s="316"/>
      <c r="E642" s="283"/>
      <c r="F642" s="624"/>
      <c r="I642" s="312"/>
    </row>
    <row r="643" spans="1:9" s="311" customFormat="1" ht="13.5" customHeight="1">
      <c r="A643" s="52" t="s">
        <v>328</v>
      </c>
      <c r="B643" s="52" t="s">
        <v>329</v>
      </c>
      <c r="C643" s="317">
        <v>21000000</v>
      </c>
      <c r="D643" s="316"/>
      <c r="E643" s="283"/>
      <c r="F643" s="624"/>
      <c r="I643" s="312"/>
    </row>
    <row r="644" spans="1:9" s="311" customFormat="1" ht="13.5" customHeight="1">
      <c r="A644" s="52" t="s">
        <v>335</v>
      </c>
      <c r="B644" s="52" t="s">
        <v>336</v>
      </c>
      <c r="C644" s="317">
        <v>3450000</v>
      </c>
      <c r="D644" s="316"/>
      <c r="E644" s="283"/>
      <c r="F644" s="624"/>
      <c r="I644" s="312"/>
    </row>
    <row r="645" spans="1:9" s="311" customFormat="1" ht="13.5" customHeight="1">
      <c r="A645" s="52" t="s">
        <v>560</v>
      </c>
      <c r="B645" s="12" t="s">
        <v>559</v>
      </c>
      <c r="C645" s="317">
        <v>6250000</v>
      </c>
      <c r="D645" s="316"/>
      <c r="E645" s="283"/>
      <c r="F645" s="624"/>
      <c r="I645" s="312"/>
    </row>
    <row r="646" spans="1:9" s="311" customFormat="1" ht="13.5" customHeight="1">
      <c r="A646" s="314"/>
      <c r="B646" s="314"/>
      <c r="C646" s="315"/>
      <c r="D646" s="316"/>
      <c r="E646" s="283"/>
      <c r="F646" s="624"/>
      <c r="I646" s="312"/>
    </row>
    <row r="647" spans="1:9" s="293" customFormat="1" ht="13.5" customHeight="1" thickBot="1">
      <c r="A647" s="12"/>
      <c r="B647" s="12"/>
      <c r="C647" s="286"/>
      <c r="D647" s="276"/>
      <c r="E647" s="286"/>
      <c r="F647" s="624"/>
      <c r="I647" s="294"/>
    </row>
    <row r="648" spans="1:9" s="293" customFormat="1" ht="13.5" customHeight="1">
      <c r="A648" s="583" t="s">
        <v>718</v>
      </c>
      <c r="B648" s="584" t="s">
        <v>800</v>
      </c>
      <c r="C648" s="625"/>
      <c r="D648" s="627" t="s">
        <v>6</v>
      </c>
      <c r="E648" s="816">
        <v>1311</v>
      </c>
      <c r="F648" s="624"/>
      <c r="I648" s="294"/>
    </row>
    <row r="649" spans="1:9" s="293" customFormat="1" ht="13.5" customHeight="1" thickBot="1">
      <c r="A649" s="709"/>
      <c r="B649" s="588"/>
      <c r="C649" s="628"/>
      <c r="D649" s="630"/>
      <c r="E649" s="817"/>
      <c r="F649" s="624"/>
      <c r="I649" s="294"/>
    </row>
    <row r="650" spans="1:9" s="293" customFormat="1" ht="13.5" customHeight="1">
      <c r="A650" s="252" t="s">
        <v>798</v>
      </c>
      <c r="B650" s="52"/>
      <c r="C650" s="286"/>
      <c r="D650" s="261"/>
      <c r="E650" s="288"/>
      <c r="F650" s="624"/>
      <c r="I650" s="294"/>
    </row>
    <row r="651" spans="1:9" s="293" customFormat="1" ht="13.5" customHeight="1">
      <c r="A651" s="252" t="s">
        <v>702</v>
      </c>
      <c r="B651" s="52"/>
      <c r="C651" s="286"/>
      <c r="D651" s="261"/>
      <c r="E651" s="288"/>
      <c r="F651" s="624"/>
      <c r="I651" s="294"/>
    </row>
    <row r="652" spans="1:9" s="293" customFormat="1" ht="13.5" customHeight="1">
      <c r="A652" s="252" t="s">
        <v>617</v>
      </c>
      <c r="B652" s="52"/>
      <c r="C652" s="286"/>
      <c r="D652" s="261"/>
      <c r="E652" s="288"/>
      <c r="F652" s="624"/>
      <c r="I652" s="294"/>
    </row>
    <row r="653" spans="1:9" s="293" customFormat="1" ht="13.5" customHeight="1" thickBot="1">
      <c r="A653" s="252" t="s">
        <v>11</v>
      </c>
      <c r="B653" s="52"/>
      <c r="C653" s="313"/>
      <c r="D653" s="261"/>
      <c r="E653" s="288"/>
      <c r="F653" s="624"/>
      <c r="I653" s="294"/>
    </row>
    <row r="654" spans="1:9" s="293" customFormat="1" ht="13.5" customHeight="1" thickBot="1">
      <c r="A654" s="697" t="s">
        <v>300</v>
      </c>
      <c r="B654" s="698"/>
      <c r="C654" s="699"/>
      <c r="D654" s="700"/>
      <c r="E654" s="701">
        <f>(C656)</f>
        <v>3775000</v>
      </c>
      <c r="F654" s="624"/>
      <c r="I654" s="294"/>
    </row>
    <row r="655" spans="1:9" s="293" customFormat="1" ht="13.5" customHeight="1" thickBot="1">
      <c r="A655" s="12"/>
      <c r="B655" s="12"/>
      <c r="C655" s="286"/>
      <c r="D655" s="276"/>
      <c r="E655" s="286"/>
      <c r="F655" s="624"/>
      <c r="I655" s="294"/>
    </row>
    <row r="656" spans="1:9" s="293" customFormat="1" ht="13.5" customHeight="1" thickBot="1">
      <c r="A656" s="1011" t="s">
        <v>301</v>
      </c>
      <c r="B656" s="1012"/>
      <c r="C656" s="710">
        <f>(C657)</f>
        <v>3775000</v>
      </c>
      <c r="D656" s="316"/>
      <c r="E656" s="286"/>
      <c r="F656" s="624"/>
      <c r="I656" s="294"/>
    </row>
    <row r="657" spans="1:9" s="293" customFormat="1" ht="13.5" customHeight="1">
      <c r="A657" s="319" t="s">
        <v>302</v>
      </c>
      <c r="B657" s="510" t="s">
        <v>323</v>
      </c>
      <c r="C657" s="283">
        <f>SUM(C658)</f>
        <v>3775000</v>
      </c>
      <c r="D657" s="276"/>
      <c r="E657" s="286"/>
      <c r="F657" s="624"/>
      <c r="I657" s="294"/>
    </row>
    <row r="658" spans="1:9" s="792" customFormat="1" ht="13.5" customHeight="1">
      <c r="A658" s="12" t="s">
        <v>740</v>
      </c>
      <c r="B658" s="12" t="s">
        <v>892</v>
      </c>
      <c r="C658" s="622">
        <v>3775000</v>
      </c>
      <c r="D658" s="276"/>
      <c r="E658" s="286"/>
      <c r="F658" s="763"/>
      <c r="I658" s="841"/>
    </row>
    <row r="659" spans="1:9" s="293" customFormat="1" ht="13.5" customHeight="1">
      <c r="A659" s="12"/>
      <c r="B659" s="12"/>
      <c r="C659" s="286"/>
      <c r="D659" s="276"/>
      <c r="E659" s="286"/>
      <c r="F659" s="624"/>
      <c r="I659" s="294"/>
    </row>
    <row r="660" spans="1:9" s="293" customFormat="1" ht="13.5" customHeight="1" thickBot="1">
      <c r="A660" s="12"/>
      <c r="B660" s="12"/>
      <c r="C660" s="286"/>
      <c r="D660" s="276"/>
      <c r="E660" s="286"/>
      <c r="F660" s="624"/>
      <c r="I660" s="294"/>
    </row>
    <row r="661" spans="1:9" s="293" customFormat="1" ht="13.5" customHeight="1">
      <c r="A661" s="583" t="s">
        <v>718</v>
      </c>
      <c r="B661" s="584" t="s">
        <v>786</v>
      </c>
      <c r="C661" s="625"/>
      <c r="D661" s="627" t="s">
        <v>6</v>
      </c>
      <c r="E661" s="816">
        <v>1312</v>
      </c>
      <c r="F661" s="624"/>
      <c r="I661" s="294"/>
    </row>
    <row r="662" spans="1:9" s="293" customFormat="1" ht="13.5" customHeight="1" thickBot="1">
      <c r="A662" s="709"/>
      <c r="B662" s="588" t="s">
        <v>787</v>
      </c>
      <c r="C662" s="628"/>
      <c r="D662" s="630"/>
      <c r="E662" s="817"/>
      <c r="F662" s="624"/>
      <c r="I662" s="294"/>
    </row>
    <row r="663" spans="1:9" s="293" customFormat="1" ht="13.5" customHeight="1">
      <c r="A663" s="252" t="s">
        <v>798</v>
      </c>
      <c r="B663" s="52"/>
      <c r="C663" s="286"/>
      <c r="D663" s="261"/>
      <c r="E663" s="288"/>
      <c r="F663" s="624"/>
      <c r="I663" s="294"/>
    </row>
    <row r="664" spans="1:9" s="293" customFormat="1" ht="13.5" customHeight="1">
      <c r="A664" s="252" t="s">
        <v>702</v>
      </c>
      <c r="B664" s="52"/>
      <c r="C664" s="286"/>
      <c r="D664" s="261"/>
      <c r="E664" s="288"/>
      <c r="F664" s="624"/>
      <c r="I664" s="294"/>
    </row>
    <row r="665" spans="1:9" s="293" customFormat="1" ht="13.5" customHeight="1">
      <c r="A665" s="252" t="s">
        <v>617</v>
      </c>
      <c r="B665" s="52"/>
      <c r="C665" s="286"/>
      <c r="D665" s="261"/>
      <c r="E665" s="288"/>
      <c r="F665" s="624"/>
      <c r="I665" s="294"/>
    </row>
    <row r="666" spans="1:9" s="293" customFormat="1" ht="13.5" customHeight="1" thickBot="1">
      <c r="A666" s="252" t="s">
        <v>11</v>
      </c>
      <c r="B666" s="52"/>
      <c r="C666" s="313"/>
      <c r="D666" s="261"/>
      <c r="E666" s="288"/>
      <c r="F666" s="624"/>
      <c r="I666" s="294"/>
    </row>
    <row r="667" spans="1:9" s="293" customFormat="1" ht="13.5" customHeight="1" thickBot="1">
      <c r="A667" s="697" t="s">
        <v>300</v>
      </c>
      <c r="B667" s="698"/>
      <c r="C667" s="699"/>
      <c r="D667" s="700"/>
      <c r="E667" s="701">
        <f>(C669)</f>
        <v>7080000</v>
      </c>
      <c r="F667" s="624"/>
      <c r="I667" s="294"/>
    </row>
    <row r="668" spans="1:9" s="293" customFormat="1" ht="13.5" customHeight="1" thickBot="1">
      <c r="A668" s="12"/>
      <c r="B668" s="12"/>
      <c r="C668" s="286"/>
      <c r="D668" s="276"/>
      <c r="E668" s="286"/>
      <c r="F668" s="624"/>
      <c r="I668" s="294"/>
    </row>
    <row r="669" spans="1:9" s="293" customFormat="1" ht="13.5" customHeight="1" thickBot="1">
      <c r="A669" s="1011" t="s">
        <v>301</v>
      </c>
      <c r="B669" s="1012"/>
      <c r="C669" s="710">
        <f>(C670+C672)</f>
        <v>7080000</v>
      </c>
      <c r="D669" s="316"/>
      <c r="E669" s="286"/>
      <c r="F669" s="624"/>
      <c r="I669" s="294"/>
    </row>
    <row r="670" spans="1:9" s="293" customFormat="1" ht="13.5" customHeight="1">
      <c r="A670" s="319" t="s">
        <v>302</v>
      </c>
      <c r="B670" s="510" t="s">
        <v>323</v>
      </c>
      <c r="C670" s="283">
        <f>SUM(C671)</f>
        <v>3220000</v>
      </c>
      <c r="D670" s="276"/>
      <c r="E670" s="286"/>
      <c r="F670" s="624"/>
      <c r="I670" s="294"/>
    </row>
    <row r="671" spans="1:9" s="293" customFormat="1" ht="13.5" customHeight="1">
      <c r="A671" s="12" t="s">
        <v>721</v>
      </c>
      <c r="B671" s="12" t="s">
        <v>722</v>
      </c>
      <c r="C671" s="622">
        <v>3220000</v>
      </c>
      <c r="D671" s="276"/>
      <c r="E671" s="286"/>
      <c r="F671" s="624"/>
      <c r="I671" s="294"/>
    </row>
    <row r="672" spans="1:9" s="293" customFormat="1" ht="13.5" customHeight="1">
      <c r="A672" s="319" t="s">
        <v>315</v>
      </c>
      <c r="B672" s="510" t="s">
        <v>316</v>
      </c>
      <c r="C672" s="283">
        <f>SUM(C673)</f>
        <v>3860000</v>
      </c>
      <c r="D672" s="276"/>
      <c r="E672" s="286"/>
      <c r="F672" s="624"/>
      <c r="I672" s="294"/>
    </row>
    <row r="673" spans="1:9" s="293" customFormat="1" ht="13.5" customHeight="1">
      <c r="A673" s="257" t="s">
        <v>317</v>
      </c>
      <c r="B673" s="52" t="s">
        <v>318</v>
      </c>
      <c r="C673" s="622">
        <v>3860000</v>
      </c>
      <c r="D673" s="276"/>
      <c r="E673" s="286"/>
      <c r="F673" s="624"/>
      <c r="I673" s="294"/>
    </row>
    <row r="674" spans="1:9" s="293" customFormat="1" ht="13.5" customHeight="1">
      <c r="A674" s="12"/>
      <c r="B674" s="12"/>
      <c r="C674" s="286"/>
      <c r="D674" s="276"/>
      <c r="E674" s="286"/>
      <c r="F674" s="624"/>
      <c r="I674" s="294"/>
    </row>
    <row r="675" spans="1:9" s="293" customFormat="1" ht="13.5" customHeight="1" thickBot="1">
      <c r="A675" s="257"/>
      <c r="B675" s="52"/>
      <c r="C675" s="286"/>
      <c r="D675" s="276"/>
      <c r="E675" s="286"/>
      <c r="F675" s="624"/>
      <c r="I675" s="294"/>
    </row>
    <row r="676" spans="1:9" s="293" customFormat="1" ht="13.5" customHeight="1" thickBot="1">
      <c r="A676" s="583" t="s">
        <v>718</v>
      </c>
      <c r="B676" s="584" t="s">
        <v>724</v>
      </c>
      <c r="C676" s="625"/>
      <c r="D676" s="808" t="s">
        <v>299</v>
      </c>
      <c r="E676" s="809">
        <v>1313</v>
      </c>
      <c r="F676" s="624"/>
      <c r="I676" s="294"/>
    </row>
    <row r="677" spans="1:9" s="293" customFormat="1" ht="13.5" customHeight="1">
      <c r="A677" s="642" t="s">
        <v>725</v>
      </c>
      <c r="B677" s="663"/>
      <c r="C677" s="668"/>
      <c r="D677" s="711"/>
      <c r="E677" s="673"/>
      <c r="F677" s="624"/>
      <c r="I677" s="294"/>
    </row>
    <row r="678" spans="1:9" s="293" customFormat="1" ht="13.5" customHeight="1" thickBot="1">
      <c r="A678" s="587" t="s">
        <v>726</v>
      </c>
      <c r="B678" s="588"/>
      <c r="C678" s="628"/>
      <c r="D678" s="712"/>
      <c r="E678" s="631"/>
      <c r="F678" s="624"/>
      <c r="I678" s="294"/>
    </row>
    <row r="679" spans="1:9" s="293" customFormat="1" ht="13.5" customHeight="1">
      <c r="A679" s="252" t="s">
        <v>798</v>
      </c>
      <c r="B679" s="52"/>
      <c r="C679" s="286"/>
      <c r="D679" s="261"/>
      <c r="E679" s="288"/>
      <c r="F679" s="624"/>
      <c r="I679" s="294"/>
    </row>
    <row r="680" spans="1:9" s="293" customFormat="1" ht="13.5" customHeight="1">
      <c r="A680" s="252" t="s">
        <v>702</v>
      </c>
      <c r="B680" s="52"/>
      <c r="C680" s="286"/>
      <c r="D680" s="261"/>
      <c r="E680" s="288"/>
      <c r="F680" s="624"/>
      <c r="I680" s="294"/>
    </row>
    <row r="681" spans="1:9" s="293" customFormat="1" ht="13.5" customHeight="1">
      <c r="A681" s="252" t="s">
        <v>617</v>
      </c>
      <c r="B681" s="52"/>
      <c r="C681" s="286"/>
      <c r="D681" s="261"/>
      <c r="E681" s="288"/>
      <c r="F681" s="624"/>
      <c r="I681" s="294"/>
    </row>
    <row r="682" spans="1:9" s="293" customFormat="1" ht="13.5" customHeight="1" thickBot="1">
      <c r="A682" s="252" t="s">
        <v>11</v>
      </c>
      <c r="B682" s="52"/>
      <c r="C682" s="313"/>
      <c r="D682" s="261"/>
      <c r="E682" s="288"/>
      <c r="F682" s="624"/>
      <c r="I682" s="294"/>
    </row>
    <row r="683" spans="1:9" s="293" customFormat="1" ht="13.5" customHeight="1" thickBot="1">
      <c r="A683" s="697" t="s">
        <v>300</v>
      </c>
      <c r="B683" s="698"/>
      <c r="C683" s="699"/>
      <c r="D683" s="700"/>
      <c r="E683" s="701">
        <f>(C685)</f>
        <v>4500000</v>
      </c>
      <c r="F683" s="763"/>
      <c r="I683" s="294"/>
    </row>
    <row r="684" spans="1:9" s="293" customFormat="1" ht="13.5" customHeight="1" thickBot="1">
      <c r="A684" s="12"/>
      <c r="B684" s="12"/>
      <c r="C684" s="286"/>
      <c r="D684" s="276"/>
      <c r="E684" s="286"/>
      <c r="F684" s="624"/>
      <c r="I684" s="294"/>
    </row>
    <row r="685" spans="1:9" s="293" customFormat="1" ht="13.5" customHeight="1" thickBot="1">
      <c r="A685" s="1011" t="s">
        <v>301</v>
      </c>
      <c r="B685" s="1012"/>
      <c r="C685" s="710">
        <f>(C687)</f>
        <v>4500000</v>
      </c>
      <c r="D685" s="316"/>
      <c r="E685" s="286"/>
      <c r="F685" s="624"/>
      <c r="I685" s="294"/>
    </row>
    <row r="686" spans="1:9" s="293" customFormat="1" ht="13.5" customHeight="1">
      <c r="A686" s="319" t="s">
        <v>315</v>
      </c>
      <c r="B686" s="510" t="s">
        <v>316</v>
      </c>
      <c r="C686" s="286"/>
      <c r="D686" s="276"/>
      <c r="E686" s="286"/>
      <c r="F686" s="624"/>
      <c r="I686" s="294"/>
    </row>
    <row r="687" spans="1:9" s="293" customFormat="1" ht="13.5" customHeight="1">
      <c r="A687" s="52" t="s">
        <v>334</v>
      </c>
      <c r="B687" s="12" t="s">
        <v>727</v>
      </c>
      <c r="C687" s="286">
        <v>4500000</v>
      </c>
      <c r="D687" s="276"/>
      <c r="E687" s="286"/>
      <c r="F687" s="624"/>
      <c r="I687" s="294"/>
    </row>
    <row r="688" spans="1:9" s="293" customFormat="1" ht="13.5" customHeight="1">
      <c r="A688" s="257"/>
      <c r="B688" s="12"/>
      <c r="C688" s="286"/>
      <c r="D688" s="276"/>
      <c r="E688" s="286"/>
      <c r="F688" s="624"/>
      <c r="I688" s="294"/>
    </row>
    <row r="689" spans="1:9" s="293" customFormat="1" ht="13.5" customHeight="1" thickBot="1">
      <c r="A689" s="257"/>
      <c r="B689" s="52"/>
      <c r="C689" s="286"/>
      <c r="D689" s="276"/>
      <c r="E689" s="286"/>
      <c r="F689" s="624"/>
      <c r="I689" s="294"/>
    </row>
    <row r="690" spans="1:9" s="293" customFormat="1" ht="13.5" customHeight="1">
      <c r="A690" s="583" t="s">
        <v>718</v>
      </c>
      <c r="B690" s="584" t="s">
        <v>788</v>
      </c>
      <c r="C690" s="625"/>
      <c r="D690" s="810" t="s">
        <v>6</v>
      </c>
      <c r="E690" s="814">
        <v>1314</v>
      </c>
      <c r="F690" s="624"/>
      <c r="I690" s="294"/>
    </row>
    <row r="691" spans="1:9" s="293" customFormat="1" ht="13.5" customHeight="1">
      <c r="A691" s="713" t="s">
        <v>789</v>
      </c>
      <c r="B691" s="646"/>
      <c r="C691" s="668"/>
      <c r="D691" s="837"/>
      <c r="E691" s="842"/>
      <c r="F691" s="624"/>
      <c r="I691" s="294"/>
    </row>
    <row r="692" spans="1:9" s="293" customFormat="1" ht="13.5" customHeight="1" thickBot="1">
      <c r="A692" s="587"/>
      <c r="B692" s="588"/>
      <c r="C692" s="628"/>
      <c r="D692" s="825"/>
      <c r="E692" s="826"/>
      <c r="F692" s="624"/>
      <c r="I692" s="294"/>
    </row>
    <row r="693" spans="1:9" s="293" customFormat="1" ht="13.5" customHeight="1">
      <c r="A693" s="252" t="s">
        <v>798</v>
      </c>
      <c r="B693" s="52"/>
      <c r="C693" s="286"/>
      <c r="D693" s="261"/>
      <c r="E693" s="288"/>
      <c r="F693" s="624"/>
      <c r="I693" s="294"/>
    </row>
    <row r="694" spans="1:9" s="293" customFormat="1" ht="13.5" customHeight="1">
      <c r="A694" s="252" t="s">
        <v>702</v>
      </c>
      <c r="B694" s="52"/>
      <c r="C694" s="286"/>
      <c r="D694" s="261"/>
      <c r="E694" s="288"/>
      <c r="F694" s="624"/>
      <c r="I694" s="294"/>
    </row>
    <row r="695" spans="1:9" s="293" customFormat="1" ht="13.5" customHeight="1">
      <c r="A695" s="252" t="s">
        <v>790</v>
      </c>
      <c r="B695" s="52"/>
      <c r="C695" s="286"/>
      <c r="D695" s="261"/>
      <c r="E695" s="288"/>
      <c r="F695" s="624"/>
      <c r="I695" s="294"/>
    </row>
    <row r="696" spans="1:9" s="293" customFormat="1" ht="13.5" customHeight="1" thickBot="1">
      <c r="A696" s="252" t="s">
        <v>11</v>
      </c>
      <c r="B696" s="52"/>
      <c r="C696" s="313"/>
      <c r="D696" s="261"/>
      <c r="E696" s="288"/>
      <c r="F696" s="624"/>
      <c r="I696" s="294"/>
    </row>
    <row r="697" spans="1:9" s="293" customFormat="1" ht="13.5" customHeight="1" thickBot="1">
      <c r="A697" s="697" t="s">
        <v>300</v>
      </c>
      <c r="B697" s="698"/>
      <c r="C697" s="699"/>
      <c r="D697" s="700"/>
      <c r="E697" s="701">
        <f>(C699)</f>
        <v>18500000</v>
      </c>
      <c r="F697" s="624"/>
      <c r="I697" s="294"/>
    </row>
    <row r="698" spans="1:9" s="293" customFormat="1" ht="13.5" customHeight="1" thickBot="1">
      <c r="A698" s="12"/>
      <c r="B698" s="12"/>
      <c r="C698" s="286"/>
      <c r="D698" s="276"/>
      <c r="E698" s="286"/>
      <c r="F698" s="624"/>
      <c r="I698" s="294"/>
    </row>
    <row r="699" spans="1:9" s="293" customFormat="1" ht="13.5" customHeight="1" thickBot="1">
      <c r="A699" s="1011" t="s">
        <v>301</v>
      </c>
      <c r="B699" s="1012"/>
      <c r="C699" s="710">
        <f>(C701)</f>
        <v>18500000</v>
      </c>
      <c r="D699" s="316"/>
      <c r="E699" s="286"/>
      <c r="F699" s="624"/>
      <c r="I699" s="294"/>
    </row>
    <row r="700" spans="1:9" s="293" customFormat="1" ht="13.5" customHeight="1">
      <c r="A700" s="319" t="s">
        <v>315</v>
      </c>
      <c r="B700" s="510" t="s">
        <v>316</v>
      </c>
      <c r="C700" s="286"/>
      <c r="D700" s="276"/>
      <c r="E700" s="286"/>
      <c r="F700" s="624"/>
      <c r="I700" s="294"/>
    </row>
    <row r="701" spans="1:9" s="293" customFormat="1" ht="13.5" customHeight="1">
      <c r="A701" s="257" t="s">
        <v>319</v>
      </c>
      <c r="B701" s="12" t="s">
        <v>320</v>
      </c>
      <c r="C701" s="286">
        <v>18500000</v>
      </c>
      <c r="D701" s="276"/>
      <c r="E701" s="286"/>
      <c r="F701" s="624"/>
      <c r="I701" s="294"/>
    </row>
    <row r="702" spans="1:9" s="293" customFormat="1" ht="13.5" customHeight="1">
      <c r="A702" s="257"/>
      <c r="B702" s="52"/>
      <c r="C702" s="286"/>
      <c r="D702" s="276"/>
      <c r="E702" s="286"/>
      <c r="F702" s="624"/>
      <c r="I702" s="294"/>
    </row>
    <row r="703" spans="1:9" s="293" customFormat="1" ht="13.5" customHeight="1" thickBot="1">
      <c r="A703" s="257"/>
      <c r="B703" s="52"/>
      <c r="C703" s="286"/>
      <c r="D703" s="276"/>
      <c r="E703" s="286"/>
      <c r="F703" s="624"/>
      <c r="I703" s="294"/>
    </row>
    <row r="704" spans="1:9" s="293" customFormat="1" ht="13.5" customHeight="1">
      <c r="A704" s="583" t="s">
        <v>718</v>
      </c>
      <c r="B704" s="584" t="s">
        <v>728</v>
      </c>
      <c r="C704" s="625"/>
      <c r="D704" s="811" t="s">
        <v>6</v>
      </c>
      <c r="E704" s="814">
        <v>1315</v>
      </c>
      <c r="F704" s="624"/>
      <c r="I704" s="294"/>
    </row>
    <row r="705" spans="1:9" s="293" customFormat="1" ht="13.5" customHeight="1">
      <c r="A705" s="713" t="s">
        <v>752</v>
      </c>
      <c r="B705" s="646"/>
      <c r="C705" s="668"/>
      <c r="D705" s="843"/>
      <c r="E705" s="842"/>
      <c r="F705" s="624"/>
      <c r="I705" s="294"/>
    </row>
    <row r="706" spans="1:9" s="293" customFormat="1" ht="13.5" customHeight="1" thickBot="1">
      <c r="A706" s="587"/>
      <c r="B706" s="588"/>
      <c r="C706" s="628"/>
      <c r="D706" s="844"/>
      <c r="E706" s="826"/>
      <c r="F706" s="624"/>
      <c r="I706" s="294"/>
    </row>
    <row r="707" spans="1:9" s="293" customFormat="1" ht="13.5" customHeight="1">
      <c r="A707" s="252" t="s">
        <v>798</v>
      </c>
      <c r="B707" s="52"/>
      <c r="C707" s="286"/>
      <c r="D707" s="261"/>
      <c r="E707" s="288"/>
      <c r="F707" s="624"/>
      <c r="I707" s="294"/>
    </row>
    <row r="708" spans="1:9" s="293" customFormat="1" ht="13.5" customHeight="1">
      <c r="A708" s="252" t="s">
        <v>702</v>
      </c>
      <c r="B708" s="52"/>
      <c r="C708" s="286"/>
      <c r="D708" s="261"/>
      <c r="E708" s="288"/>
      <c r="F708" s="624"/>
      <c r="I708" s="294"/>
    </row>
    <row r="709" spans="1:9" s="293" customFormat="1" ht="13.5" customHeight="1">
      <c r="A709" s="252" t="s">
        <v>617</v>
      </c>
      <c r="B709" s="52"/>
      <c r="C709" s="286"/>
      <c r="D709" s="261"/>
      <c r="E709" s="288"/>
      <c r="F709" s="624"/>
      <c r="I709" s="294"/>
    </row>
    <row r="710" spans="1:9" s="293" customFormat="1" ht="13.5" customHeight="1" thickBot="1">
      <c r="A710" s="252" t="s">
        <v>791</v>
      </c>
      <c r="B710" s="52"/>
      <c r="C710" s="313"/>
      <c r="D710" s="261"/>
      <c r="E710" s="288"/>
      <c r="F710" s="624"/>
      <c r="I710" s="294"/>
    </row>
    <row r="711" spans="1:9" s="293" customFormat="1" ht="13.5" customHeight="1" thickBot="1">
      <c r="A711" s="697" t="s">
        <v>300</v>
      </c>
      <c r="B711" s="698"/>
      <c r="C711" s="699"/>
      <c r="D711" s="700"/>
      <c r="E711" s="701">
        <f>(C713)</f>
        <v>37850000</v>
      </c>
      <c r="F711" s="624"/>
      <c r="I711" s="294"/>
    </row>
    <row r="712" spans="1:9" s="293" customFormat="1" ht="13.5" customHeight="1" thickBot="1">
      <c r="A712" s="12"/>
      <c r="B712" s="12"/>
      <c r="C712" s="286"/>
      <c r="D712" s="276"/>
      <c r="E712" s="286"/>
      <c r="F712" s="624"/>
      <c r="I712" s="294"/>
    </row>
    <row r="713" spans="1:9" s="293" customFormat="1" ht="13.5" customHeight="1" thickBot="1">
      <c r="A713" s="1011" t="s">
        <v>301</v>
      </c>
      <c r="B713" s="1012"/>
      <c r="C713" s="710">
        <f>(C715)</f>
        <v>37850000</v>
      </c>
      <c r="D713" s="316"/>
      <c r="E713" s="286"/>
      <c r="F713" s="624"/>
      <c r="I713" s="294"/>
    </row>
    <row r="714" spans="1:9" s="293" customFormat="1" ht="13.5" customHeight="1">
      <c r="A714" s="319" t="s">
        <v>315</v>
      </c>
      <c r="B714" s="510" t="s">
        <v>316</v>
      </c>
      <c r="C714" s="286"/>
      <c r="D714" s="276"/>
      <c r="E714" s="286"/>
      <c r="F714" s="624"/>
      <c r="I714" s="294"/>
    </row>
    <row r="715" spans="1:9" s="293" customFormat="1" ht="13.5" customHeight="1">
      <c r="A715" s="257" t="s">
        <v>319</v>
      </c>
      <c r="B715" s="12" t="s">
        <v>320</v>
      </c>
      <c r="C715" s="286">
        <v>37850000</v>
      </c>
      <c r="D715" s="276"/>
      <c r="E715" s="286"/>
      <c r="F715" s="624"/>
      <c r="I715" s="294"/>
    </row>
    <row r="716" spans="1:9" s="293" customFormat="1" ht="13.5" customHeight="1">
      <c r="A716" s="257"/>
      <c r="B716" s="52"/>
      <c r="C716" s="286"/>
      <c r="D716" s="276"/>
      <c r="E716" s="286"/>
      <c r="F716" s="624"/>
      <c r="I716" s="294"/>
    </row>
    <row r="717" spans="1:9" s="293" customFormat="1" ht="13.5" customHeight="1" thickBot="1">
      <c r="A717" s="257"/>
      <c r="B717" s="52"/>
      <c r="C717" s="286"/>
      <c r="D717" s="276"/>
      <c r="E717" s="286"/>
      <c r="F717" s="624"/>
      <c r="I717" s="294"/>
    </row>
    <row r="718" spans="1:9" s="293" customFormat="1" ht="13.5" customHeight="1">
      <c r="A718" s="583" t="s">
        <v>718</v>
      </c>
      <c r="B718" s="584" t="s">
        <v>729</v>
      </c>
      <c r="C718" s="625"/>
      <c r="D718" s="811" t="s">
        <v>299</v>
      </c>
      <c r="E718" s="814">
        <v>1316</v>
      </c>
      <c r="F718" s="624"/>
      <c r="I718" s="294"/>
    </row>
    <row r="719" spans="1:9" s="293" customFormat="1" ht="13.5" customHeight="1">
      <c r="A719" s="713" t="s">
        <v>730</v>
      </c>
      <c r="B719" s="646"/>
      <c r="C719" s="668"/>
      <c r="D719" s="843"/>
      <c r="E719" s="842"/>
      <c r="F719" s="624"/>
      <c r="I719" s="294"/>
    </row>
    <row r="720" spans="1:9" s="293" customFormat="1" ht="13.5" customHeight="1" thickBot="1">
      <c r="A720" s="587"/>
      <c r="B720" s="588"/>
      <c r="C720" s="628"/>
      <c r="D720" s="844"/>
      <c r="E720" s="826"/>
      <c r="F720" s="624"/>
      <c r="I720" s="294"/>
    </row>
    <row r="721" spans="1:9" s="293" customFormat="1" ht="13.5" customHeight="1">
      <c r="A721" s="252" t="s">
        <v>798</v>
      </c>
      <c r="B721" s="52"/>
      <c r="C721" s="286"/>
      <c r="D721" s="261"/>
      <c r="E721" s="288"/>
      <c r="F721" s="624"/>
      <c r="I721" s="294"/>
    </row>
    <row r="722" spans="1:9" s="293" customFormat="1" ht="13.5" customHeight="1">
      <c r="A722" s="252" t="s">
        <v>702</v>
      </c>
      <c r="B722" s="52"/>
      <c r="C722" s="286"/>
      <c r="D722" s="261"/>
      <c r="E722" s="288"/>
      <c r="F722" s="624"/>
      <c r="I722" s="294"/>
    </row>
    <row r="723" spans="1:9" s="293" customFormat="1" ht="13.5" customHeight="1">
      <c r="A723" s="252" t="s">
        <v>617</v>
      </c>
      <c r="B723" s="52"/>
      <c r="C723" s="286"/>
      <c r="D723" s="261"/>
      <c r="E723" s="288"/>
      <c r="F723" s="624"/>
      <c r="I723" s="294"/>
    </row>
    <row r="724" spans="1:9" s="293" customFormat="1" ht="13.5" customHeight="1" thickBot="1">
      <c r="A724" s="252" t="s">
        <v>11</v>
      </c>
      <c r="B724" s="52"/>
      <c r="C724" s="313"/>
      <c r="D724" s="261"/>
      <c r="E724" s="288"/>
      <c r="F724" s="624"/>
      <c r="I724" s="294"/>
    </row>
    <row r="725" spans="1:9" s="293" customFormat="1" ht="13.5" customHeight="1" thickBot="1">
      <c r="A725" s="697" t="s">
        <v>300</v>
      </c>
      <c r="B725" s="698"/>
      <c r="C725" s="699"/>
      <c r="D725" s="700"/>
      <c r="E725" s="701">
        <f>(C727)</f>
        <v>12500000</v>
      </c>
      <c r="F725" s="624"/>
      <c r="I725" s="294"/>
    </row>
    <row r="726" spans="1:9" s="293" customFormat="1" ht="13.5" customHeight="1" thickBot="1">
      <c r="A726" s="12"/>
      <c r="B726" s="12"/>
      <c r="C726" s="286"/>
      <c r="D726" s="276"/>
      <c r="E726" s="286"/>
      <c r="F726" s="624"/>
      <c r="I726" s="294"/>
    </row>
    <row r="727" spans="1:9" s="293" customFormat="1" ht="13.5" customHeight="1" thickBot="1">
      <c r="A727" s="1011" t="s">
        <v>301</v>
      </c>
      <c r="B727" s="1012"/>
      <c r="C727" s="710">
        <f>(C729)</f>
        <v>12500000</v>
      </c>
      <c r="D727" s="316"/>
      <c r="E727" s="286"/>
      <c r="F727" s="624"/>
      <c r="I727" s="294"/>
    </row>
    <row r="728" spans="1:9" s="293" customFormat="1" ht="13.5" customHeight="1">
      <c r="A728" s="319" t="s">
        <v>315</v>
      </c>
      <c r="B728" s="510" t="s">
        <v>316</v>
      </c>
      <c r="C728" s="286"/>
      <c r="D728" s="276"/>
      <c r="E728" s="286"/>
      <c r="F728" s="624"/>
      <c r="I728" s="294"/>
    </row>
    <row r="729" spans="1:9" s="293" customFormat="1" ht="13.5" customHeight="1">
      <c r="A729" s="257" t="s">
        <v>321</v>
      </c>
      <c r="B729" s="52" t="s">
        <v>322</v>
      </c>
      <c r="C729" s="286">
        <v>12500000</v>
      </c>
      <c r="D729" s="276"/>
      <c r="E729" s="286"/>
      <c r="F729" s="624"/>
      <c r="I729" s="294"/>
    </row>
    <row r="730" spans="1:9" s="293" customFormat="1" ht="13.5" customHeight="1">
      <c r="A730" s="257"/>
      <c r="B730" s="52"/>
      <c r="C730" s="286"/>
      <c r="D730" s="276"/>
      <c r="E730" s="286"/>
      <c r="F730" s="624"/>
      <c r="I730" s="294"/>
    </row>
    <row r="731" spans="1:9" s="293" customFormat="1" ht="13.5" customHeight="1" thickBot="1">
      <c r="A731" s="257"/>
      <c r="B731" s="52"/>
      <c r="C731" s="286"/>
      <c r="D731" s="276"/>
      <c r="E731" s="286"/>
      <c r="F731" s="624"/>
      <c r="I731" s="294"/>
    </row>
    <row r="732" spans="1:9" s="293" customFormat="1" ht="13.5" customHeight="1">
      <c r="A732" s="583" t="s">
        <v>718</v>
      </c>
      <c r="B732" s="584" t="s">
        <v>792</v>
      </c>
      <c r="C732" s="625"/>
      <c r="D732" s="811" t="s">
        <v>6</v>
      </c>
      <c r="E732" s="814">
        <v>1317</v>
      </c>
      <c r="F732" s="624"/>
      <c r="I732" s="294"/>
    </row>
    <row r="733" spans="1:9" s="293" customFormat="1" ht="13.5" customHeight="1" thickBot="1">
      <c r="A733" s="587"/>
      <c r="B733" s="588"/>
      <c r="C733" s="628"/>
      <c r="D733" s="844"/>
      <c r="E733" s="826"/>
      <c r="F733" s="624"/>
      <c r="I733" s="294"/>
    </row>
    <row r="734" spans="1:9" s="293" customFormat="1" ht="13.5" customHeight="1">
      <c r="A734" s="252" t="s">
        <v>798</v>
      </c>
      <c r="B734" s="52"/>
      <c r="C734" s="286"/>
      <c r="D734" s="261"/>
      <c r="E734" s="288"/>
      <c r="F734" s="624"/>
      <c r="I734" s="294"/>
    </row>
    <row r="735" spans="1:9" s="293" customFormat="1" ht="13.5" customHeight="1">
      <c r="A735" s="252" t="s">
        <v>793</v>
      </c>
      <c r="B735" s="52"/>
      <c r="C735" s="286"/>
      <c r="D735" s="261"/>
      <c r="E735" s="288"/>
      <c r="F735" s="624"/>
      <c r="I735" s="294"/>
    </row>
    <row r="736" spans="1:9" s="293" customFormat="1" ht="13.5" customHeight="1">
      <c r="A736" s="252" t="s">
        <v>670</v>
      </c>
      <c r="B736" s="52"/>
      <c r="C736" s="286"/>
      <c r="D736" s="261"/>
      <c r="E736" s="288"/>
      <c r="F736" s="624"/>
      <c r="I736" s="294"/>
    </row>
    <row r="737" spans="1:9" s="293" customFormat="1" ht="13.5" customHeight="1" thickBot="1">
      <c r="A737" s="252" t="s">
        <v>11</v>
      </c>
      <c r="B737" s="52"/>
      <c r="C737" s="313"/>
      <c r="D737" s="261"/>
      <c r="E737" s="288"/>
      <c r="F737" s="624"/>
      <c r="I737" s="294"/>
    </row>
    <row r="738" spans="1:9" s="293" customFormat="1" ht="13.5" customHeight="1" thickBot="1">
      <c r="A738" s="697" t="s">
        <v>300</v>
      </c>
      <c r="B738" s="698"/>
      <c r="C738" s="699"/>
      <c r="D738" s="700"/>
      <c r="E738" s="701">
        <f>(C740)</f>
        <v>3648000</v>
      </c>
      <c r="F738" s="624"/>
      <c r="I738" s="294"/>
    </row>
    <row r="739" spans="1:9" s="293" customFormat="1" ht="13.5" customHeight="1" thickBot="1">
      <c r="A739" s="12"/>
      <c r="B739" s="12"/>
      <c r="C739" s="286"/>
      <c r="D739" s="276"/>
      <c r="E739" s="286"/>
      <c r="F739" s="624"/>
      <c r="I739" s="294"/>
    </row>
    <row r="740" spans="1:9" s="293" customFormat="1" ht="13.5" customHeight="1" thickBot="1">
      <c r="A740" s="1011" t="s">
        <v>301</v>
      </c>
      <c r="B740" s="1012"/>
      <c r="C740" s="710">
        <f>(C742)</f>
        <v>3648000</v>
      </c>
      <c r="D740" s="316"/>
      <c r="E740" s="286"/>
      <c r="F740" s="624"/>
      <c r="I740" s="294"/>
    </row>
    <row r="741" spans="1:9" s="293" customFormat="1" ht="13.5" customHeight="1">
      <c r="A741" s="319" t="s">
        <v>315</v>
      </c>
      <c r="B741" s="510" t="s">
        <v>316</v>
      </c>
      <c r="C741" s="286"/>
      <c r="D741" s="276"/>
      <c r="E741" s="286"/>
      <c r="F741" s="624"/>
      <c r="I741" s="294"/>
    </row>
    <row r="742" spans="1:9" s="293" customFormat="1" ht="13.5" customHeight="1">
      <c r="A742" s="12" t="s">
        <v>794</v>
      </c>
      <c r="B742" s="12" t="s">
        <v>795</v>
      </c>
      <c r="C742" s="779">
        <v>3648000</v>
      </c>
      <c r="D742" s="276"/>
      <c r="E742" s="286"/>
      <c r="F742" s="624"/>
      <c r="I742" s="294"/>
    </row>
    <row r="743" spans="1:9" s="293" customFormat="1" ht="13.5" customHeight="1">
      <c r="A743" s="257"/>
      <c r="B743" s="52"/>
      <c r="C743" s="286"/>
      <c r="D743" s="276"/>
      <c r="E743" s="286"/>
      <c r="F743" s="624"/>
      <c r="I743" s="294"/>
    </row>
    <row r="744" spans="1:9" s="293" customFormat="1" ht="13.5" customHeight="1" thickBot="1">
      <c r="A744" s="257"/>
      <c r="B744" s="52"/>
      <c r="C744" s="286"/>
      <c r="D744" s="276"/>
      <c r="E744" s="286"/>
      <c r="F744" s="624"/>
      <c r="I744" s="294"/>
    </row>
    <row r="745" spans="1:9" s="293" customFormat="1" ht="13.5" customHeight="1">
      <c r="A745" s="583" t="s">
        <v>718</v>
      </c>
      <c r="B745" s="584" t="s">
        <v>742</v>
      </c>
      <c r="C745" s="625"/>
      <c r="D745" s="627" t="s">
        <v>6</v>
      </c>
      <c r="E745" s="814">
        <v>1318</v>
      </c>
      <c r="F745" s="624"/>
      <c r="I745" s="294"/>
    </row>
    <row r="746" spans="1:9" s="293" customFormat="1" ht="13.5" customHeight="1" thickBot="1">
      <c r="A746" s="587"/>
      <c r="B746" s="588"/>
      <c r="C746" s="628"/>
      <c r="D746" s="630"/>
      <c r="E746" s="826"/>
      <c r="F746" s="624"/>
      <c r="I746" s="294"/>
    </row>
    <row r="747" spans="1:9" s="293" customFormat="1" ht="13.5" customHeight="1">
      <c r="A747" s="252" t="s">
        <v>773</v>
      </c>
      <c r="B747" s="52"/>
      <c r="C747" s="286"/>
      <c r="D747" s="261"/>
      <c r="E747" s="288"/>
      <c r="F747" s="624"/>
      <c r="I747" s="294"/>
    </row>
    <row r="748" spans="1:9" s="293" customFormat="1" ht="13.5" customHeight="1">
      <c r="A748" s="252" t="s">
        <v>702</v>
      </c>
      <c r="B748" s="52"/>
      <c r="C748" s="286"/>
      <c r="D748" s="261"/>
      <c r="E748" s="288"/>
      <c r="F748" s="624"/>
      <c r="I748" s="294"/>
    </row>
    <row r="749" spans="1:9" s="293" customFormat="1" ht="13.5" customHeight="1">
      <c r="A749" s="252" t="s">
        <v>617</v>
      </c>
      <c r="B749" s="52"/>
      <c r="C749" s="286"/>
      <c r="D749" s="261"/>
      <c r="E749" s="288"/>
      <c r="F749" s="624"/>
      <c r="I749" s="294"/>
    </row>
    <row r="750" spans="1:9" s="293" customFormat="1" ht="13.5" customHeight="1" thickBot="1">
      <c r="A750" s="252" t="s">
        <v>11</v>
      </c>
      <c r="B750" s="52"/>
      <c r="C750" s="313"/>
      <c r="D750" s="261"/>
      <c r="E750" s="288"/>
      <c r="F750" s="624"/>
      <c r="I750" s="294"/>
    </row>
    <row r="751" spans="1:9" s="293" customFormat="1" ht="13.5" customHeight="1" thickBot="1">
      <c r="A751" s="697" t="s">
        <v>300</v>
      </c>
      <c r="B751" s="698"/>
      <c r="C751" s="699"/>
      <c r="D751" s="700"/>
      <c r="E751" s="701">
        <f>(C753)</f>
        <v>2535000</v>
      </c>
      <c r="F751" s="624"/>
      <c r="I751" s="294"/>
    </row>
    <row r="752" spans="1:9" s="293" customFormat="1" ht="13.5" customHeight="1" thickBot="1">
      <c r="A752" s="12"/>
      <c r="B752" s="12"/>
      <c r="C752" s="286"/>
      <c r="D752" s="276"/>
      <c r="E752" s="286"/>
      <c r="F752" s="624"/>
      <c r="I752" s="294"/>
    </row>
    <row r="753" spans="1:9" s="293" customFormat="1" ht="13.5" customHeight="1" thickBot="1">
      <c r="A753" s="1011" t="s">
        <v>301</v>
      </c>
      <c r="B753" s="1012"/>
      <c r="C753" s="710">
        <f>(C755)</f>
        <v>2535000</v>
      </c>
      <c r="D753" s="316"/>
      <c r="E753" s="286"/>
      <c r="F753" s="624"/>
      <c r="I753" s="294"/>
    </row>
    <row r="754" spans="1:9" s="293" customFormat="1" ht="13.5" customHeight="1">
      <c r="A754" s="319" t="s">
        <v>302</v>
      </c>
      <c r="B754" s="510" t="s">
        <v>323</v>
      </c>
      <c r="C754" s="286"/>
      <c r="D754" s="276"/>
      <c r="E754" s="286"/>
      <c r="F754" s="624"/>
      <c r="I754" s="294"/>
    </row>
    <row r="755" spans="1:9" s="293" customFormat="1" ht="13.5" customHeight="1">
      <c r="A755" s="12" t="s">
        <v>303</v>
      </c>
      <c r="B755" s="12" t="s">
        <v>304</v>
      </c>
      <c r="C755" s="286">
        <v>2535000</v>
      </c>
      <c r="D755" s="276"/>
      <c r="E755" s="286"/>
      <c r="F755" s="624"/>
      <c r="I755" s="294"/>
    </row>
    <row r="756" spans="1:9" s="293" customFormat="1" ht="13.5" customHeight="1">
      <c r="A756" s="257"/>
      <c r="B756" s="52"/>
      <c r="C756" s="286"/>
      <c r="D756" s="276"/>
      <c r="E756" s="286"/>
      <c r="F756" s="624"/>
      <c r="I756" s="294"/>
    </row>
    <row r="757" ht="14.25" thickBot="1"/>
    <row r="758" spans="1:5" ht="13.5">
      <c r="A758" s="583" t="s">
        <v>718</v>
      </c>
      <c r="B758" s="584" t="s">
        <v>801</v>
      </c>
      <c r="C758" s="625"/>
      <c r="D758" s="627" t="s">
        <v>6</v>
      </c>
      <c r="E758" s="814">
        <v>1319</v>
      </c>
    </row>
    <row r="759" spans="1:5" ht="14.25" thickBot="1">
      <c r="A759" s="587"/>
      <c r="B759" s="588"/>
      <c r="C759" s="628"/>
      <c r="D759" s="630"/>
      <c r="E759" s="753"/>
    </row>
    <row r="760" spans="1:5" ht="13.5">
      <c r="A760" s="252" t="s">
        <v>798</v>
      </c>
      <c r="B760" s="52"/>
      <c r="C760" s="286"/>
      <c r="D760" s="261"/>
      <c r="E760" s="288"/>
    </row>
    <row r="761" spans="1:5" ht="13.5">
      <c r="A761" s="252" t="s">
        <v>702</v>
      </c>
      <c r="B761" s="52"/>
      <c r="C761" s="286"/>
      <c r="D761" s="261"/>
      <c r="E761" s="288"/>
    </row>
    <row r="762" spans="1:5" ht="13.5">
      <c r="A762" s="252" t="s">
        <v>617</v>
      </c>
      <c r="B762" s="52"/>
      <c r="C762" s="286"/>
      <c r="D762" s="261"/>
      <c r="E762" s="288"/>
    </row>
    <row r="763" spans="1:5" ht="14.25" thickBot="1">
      <c r="A763" s="252" t="s">
        <v>11</v>
      </c>
      <c r="B763" s="52"/>
      <c r="C763" s="313"/>
      <c r="D763" s="261"/>
      <c r="E763" s="288"/>
    </row>
    <row r="764" spans="1:5" ht="14.25" thickBot="1">
      <c r="A764" s="697" t="s">
        <v>300</v>
      </c>
      <c r="B764" s="698"/>
      <c r="C764" s="699"/>
      <c r="D764" s="700"/>
      <c r="E764" s="701">
        <f>(C766)</f>
        <v>3345000</v>
      </c>
    </row>
    <row r="765" spans="1:5" ht="14.25" thickBot="1">
      <c r="A765" s="12"/>
      <c r="B765" s="12"/>
      <c r="C765" s="286"/>
      <c r="D765" s="276"/>
      <c r="E765" s="286"/>
    </row>
    <row r="766" spans="1:5" ht="14.25" thickBot="1">
      <c r="A766" s="1011" t="s">
        <v>301</v>
      </c>
      <c r="B766" s="1012"/>
      <c r="C766" s="710">
        <f>(C768)</f>
        <v>3345000</v>
      </c>
      <c r="D766" s="316"/>
      <c r="E766" s="286"/>
    </row>
    <row r="767" spans="1:5" ht="13.5">
      <c r="A767" s="319" t="s">
        <v>315</v>
      </c>
      <c r="B767" s="510" t="s">
        <v>316</v>
      </c>
      <c r="C767" s="286"/>
      <c r="D767" s="276"/>
      <c r="E767" s="286"/>
    </row>
    <row r="768" spans="1:5" ht="13.5">
      <c r="A768" s="12" t="s">
        <v>802</v>
      </c>
      <c r="B768" s="12" t="s">
        <v>803</v>
      </c>
      <c r="C768" s="286">
        <v>3345000</v>
      </c>
      <c r="D768" s="276"/>
      <c r="E768" s="286"/>
    </row>
    <row r="770" ht="14.25" thickBot="1"/>
    <row r="771" spans="1:5" ht="13.5">
      <c r="A771" s="583" t="s">
        <v>718</v>
      </c>
      <c r="B771" s="584" t="s">
        <v>804</v>
      </c>
      <c r="C771" s="625"/>
      <c r="D771" s="627" t="s">
        <v>6</v>
      </c>
      <c r="E771" s="814">
        <v>1320</v>
      </c>
    </row>
    <row r="772" spans="1:5" ht="14.25" thickBot="1">
      <c r="A772" s="587"/>
      <c r="B772" s="588"/>
      <c r="C772" s="628"/>
      <c r="D772" s="630"/>
      <c r="E772" s="753"/>
    </row>
    <row r="773" spans="1:5" ht="13.5">
      <c r="A773" s="252" t="s">
        <v>798</v>
      </c>
      <c r="B773" s="52"/>
      <c r="C773" s="286"/>
      <c r="D773" s="261"/>
      <c r="E773" s="288"/>
    </row>
    <row r="774" spans="1:5" ht="13.5">
      <c r="A774" s="252" t="s">
        <v>702</v>
      </c>
      <c r="B774" s="52"/>
      <c r="C774" s="286"/>
      <c r="D774" s="261"/>
      <c r="E774" s="288"/>
    </row>
    <row r="775" spans="1:5" ht="13.5">
      <c r="A775" s="252" t="s">
        <v>617</v>
      </c>
      <c r="B775" s="52"/>
      <c r="C775" s="286"/>
      <c r="D775" s="261"/>
      <c r="E775" s="288"/>
    </row>
    <row r="776" spans="1:5" ht="14.25" thickBot="1">
      <c r="A776" s="252" t="s">
        <v>11</v>
      </c>
      <c r="B776" s="52"/>
      <c r="C776" s="313"/>
      <c r="D776" s="261"/>
      <c r="E776" s="288"/>
    </row>
    <row r="777" spans="1:5" ht="14.25" thickBot="1">
      <c r="A777" s="697" t="s">
        <v>300</v>
      </c>
      <c r="B777" s="698"/>
      <c r="C777" s="699"/>
      <c r="D777" s="700"/>
      <c r="E777" s="701">
        <f>(C779)</f>
        <v>20000000</v>
      </c>
    </row>
    <row r="778" spans="1:5" ht="14.25" thickBot="1">
      <c r="A778" s="12"/>
      <c r="B778" s="12"/>
      <c r="C778" s="286"/>
      <c r="D778" s="276"/>
      <c r="E778" s="286"/>
    </row>
    <row r="779" spans="1:5" ht="14.25" thickBot="1">
      <c r="A779" s="1011" t="s">
        <v>301</v>
      </c>
      <c r="B779" s="1012"/>
      <c r="C779" s="710">
        <f>(C781)</f>
        <v>20000000</v>
      </c>
      <c r="D779" s="316"/>
      <c r="E779" s="286"/>
    </row>
    <row r="780" spans="1:5" ht="13.5">
      <c r="A780" s="319" t="s">
        <v>315</v>
      </c>
      <c r="B780" s="510" t="s">
        <v>316</v>
      </c>
      <c r="C780" s="286"/>
      <c r="D780" s="276"/>
      <c r="E780" s="286"/>
    </row>
    <row r="781" spans="1:5" ht="13.5">
      <c r="A781" s="12" t="s">
        <v>805</v>
      </c>
      <c r="B781" s="12" t="s">
        <v>806</v>
      </c>
      <c r="C781" s="286">
        <v>20000000</v>
      </c>
      <c r="D781" s="276"/>
      <c r="E781" s="286"/>
    </row>
  </sheetData>
  <sheetProtection sheet="1" objects="1" scenarios="1" sort="0" autoFilter="0"/>
  <mergeCells count="63">
    <mergeCell ref="A490:C491"/>
    <mergeCell ref="A492:E496"/>
    <mergeCell ref="A503:B503"/>
    <mergeCell ref="A530:B530"/>
    <mergeCell ref="A555:B555"/>
    <mergeCell ref="A360:C361"/>
    <mergeCell ref="A362:E375"/>
    <mergeCell ref="A382:B382"/>
    <mergeCell ref="A415:B415"/>
    <mergeCell ref="A443:B443"/>
    <mergeCell ref="A447:B447"/>
    <mergeCell ref="A277:C278"/>
    <mergeCell ref="A279:E282"/>
    <mergeCell ref="A289:B289"/>
    <mergeCell ref="A300:B300"/>
    <mergeCell ref="A311:B311"/>
    <mergeCell ref="A318:C319"/>
    <mergeCell ref="A179:B179"/>
    <mergeCell ref="A187:C188"/>
    <mergeCell ref="A189:E191"/>
    <mergeCell ref="A198:B198"/>
    <mergeCell ref="A211:B211"/>
    <mergeCell ref="A224:B224"/>
    <mergeCell ref="A685:B685"/>
    <mergeCell ref="A699:B699"/>
    <mergeCell ref="A4:C5"/>
    <mergeCell ref="A6:E12"/>
    <mergeCell ref="A19:B19"/>
    <mergeCell ref="A42:B42"/>
    <mergeCell ref="A60:B60"/>
    <mergeCell ref="A80:B80"/>
    <mergeCell ref="A86:B86"/>
    <mergeCell ref="A95:C96"/>
    <mergeCell ref="A590:B590"/>
    <mergeCell ref="A613:B613"/>
    <mergeCell ref="A627:B627"/>
    <mergeCell ref="A640:B640"/>
    <mergeCell ref="A740:B740"/>
    <mergeCell ref="A753:B753"/>
    <mergeCell ref="A713:B713"/>
    <mergeCell ref="A727:B727"/>
    <mergeCell ref="A656:B656"/>
    <mergeCell ref="A669:B669"/>
    <mergeCell ref="A142:C143"/>
    <mergeCell ref="A144:E145"/>
    <mergeCell ref="A152:B152"/>
    <mergeCell ref="A165:B165"/>
    <mergeCell ref="A578:B578"/>
    <mergeCell ref="A97:E100"/>
    <mergeCell ref="A107:B107"/>
    <mergeCell ref="A120:B120"/>
    <mergeCell ref="A134:B134"/>
    <mergeCell ref="A320:E322"/>
    <mergeCell ref="A766:B766"/>
    <mergeCell ref="A779:B779"/>
    <mergeCell ref="A231:C232"/>
    <mergeCell ref="A233:E236"/>
    <mergeCell ref="A243:B243"/>
    <mergeCell ref="A270:B270"/>
    <mergeCell ref="A329:B329"/>
    <mergeCell ref="A340:B340"/>
    <mergeCell ref="A351:B351"/>
    <mergeCell ref="A254:B254"/>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50"/>
  </sheetPr>
  <dimension ref="A1:IV921"/>
  <sheetViews>
    <sheetView zoomScale="110" zoomScaleNormal="110" zoomScalePageLayoutView="0" workbookViewId="0" topLeftCell="A913">
      <selection activeCell="K913" sqref="K913"/>
    </sheetView>
  </sheetViews>
  <sheetFormatPr defaultColWidth="11.421875" defaultRowHeight="12.75"/>
  <cols>
    <col min="1" max="1" width="9.7109375" style="10" customWidth="1"/>
    <col min="2" max="2" width="44.8515625" style="10" customWidth="1"/>
    <col min="3" max="3" width="14.8515625" style="28" customWidth="1"/>
    <col min="4" max="4" width="12.28125" style="26" customWidth="1"/>
    <col min="5" max="5" width="13.7109375" style="28" customWidth="1"/>
    <col min="6" max="6" width="16.7109375" style="219" customWidth="1"/>
    <col min="7" max="7" width="11.28125" style="398" customWidth="1"/>
    <col min="8" max="8" width="12.57421875" style="10" customWidth="1"/>
    <col min="9" max="16384" width="11.421875" style="10" customWidth="1"/>
  </cols>
  <sheetData>
    <row r="1" spans="1:7" s="369" customFormat="1" ht="13.5" customHeight="1">
      <c r="A1" s="787" t="s">
        <v>1019</v>
      </c>
      <c r="C1" s="370"/>
      <c r="D1" s="371"/>
      <c r="E1" s="370"/>
      <c r="F1" s="795"/>
      <c r="G1" s="373"/>
    </row>
    <row r="2" spans="3:7" s="369" customFormat="1" ht="13.5" customHeight="1">
      <c r="C2" s="370"/>
      <c r="D2" s="371"/>
      <c r="E2" s="370"/>
      <c r="F2" s="372"/>
      <c r="G2" s="373"/>
    </row>
    <row r="3" spans="3:7" s="12" customFormat="1" ht="13.5" customHeight="1" thickBot="1">
      <c r="C3" s="24"/>
      <c r="D3" s="22"/>
      <c r="E3" s="24"/>
      <c r="F3" s="215"/>
      <c r="G3" s="344"/>
    </row>
    <row r="4" spans="1:7" s="142" customFormat="1" ht="13.5" customHeight="1">
      <c r="A4" s="988" t="s">
        <v>893</v>
      </c>
      <c r="B4" s="1009"/>
      <c r="C4" s="989"/>
      <c r="D4" s="627" t="s">
        <v>6</v>
      </c>
      <c r="E4" s="755">
        <v>1401</v>
      </c>
      <c r="F4" s="143"/>
      <c r="G4" s="374"/>
    </row>
    <row r="5" spans="1:7" s="142" customFormat="1" ht="13.5" customHeight="1" thickBot="1">
      <c r="A5" s="990"/>
      <c r="B5" s="1010"/>
      <c r="C5" s="991"/>
      <c r="D5" s="669"/>
      <c r="E5" s="673"/>
      <c r="F5" s="143"/>
      <c r="G5" s="374"/>
    </row>
    <row r="6" spans="1:7" s="142" customFormat="1" ht="13.5" customHeight="1">
      <c r="A6" s="979" t="s">
        <v>894</v>
      </c>
      <c r="B6" s="980"/>
      <c r="C6" s="980"/>
      <c r="D6" s="980"/>
      <c r="E6" s="981"/>
      <c r="F6" s="143"/>
      <c r="G6" s="374"/>
    </row>
    <row r="7" spans="1:7" s="142" customFormat="1" ht="13.5" customHeight="1">
      <c r="A7" s="982"/>
      <c r="B7" s="983"/>
      <c r="C7" s="983"/>
      <c r="D7" s="983"/>
      <c r="E7" s="984"/>
      <c r="F7" s="143"/>
      <c r="G7" s="374"/>
    </row>
    <row r="8" spans="1:7" s="142" customFormat="1" ht="13.5" customHeight="1">
      <c r="A8" s="982"/>
      <c r="B8" s="983"/>
      <c r="C8" s="983"/>
      <c r="D8" s="983"/>
      <c r="E8" s="984"/>
      <c r="F8" s="143"/>
      <c r="G8" s="374"/>
    </row>
    <row r="9" spans="1:7" s="142" customFormat="1" ht="13.5" customHeight="1">
      <c r="A9" s="982"/>
      <c r="B9" s="983"/>
      <c r="C9" s="983"/>
      <c r="D9" s="983"/>
      <c r="E9" s="984"/>
      <c r="F9" s="143"/>
      <c r="G9" s="374"/>
    </row>
    <row r="10" spans="1:7" s="142" customFormat="1" ht="13.5" customHeight="1">
      <c r="A10" s="982"/>
      <c r="B10" s="983"/>
      <c r="C10" s="983"/>
      <c r="D10" s="983"/>
      <c r="E10" s="984"/>
      <c r="F10" s="143"/>
      <c r="G10" s="374"/>
    </row>
    <row r="11" spans="1:7" s="142" customFormat="1" ht="13.5" customHeight="1">
      <c r="A11" s="982"/>
      <c r="B11" s="983"/>
      <c r="C11" s="983"/>
      <c r="D11" s="983"/>
      <c r="E11" s="984"/>
      <c r="F11" s="143"/>
      <c r="G11" s="374"/>
    </row>
    <row r="12" spans="1:7" s="12" customFormat="1" ht="13.5" customHeight="1">
      <c r="A12" s="982"/>
      <c r="B12" s="983"/>
      <c r="C12" s="983"/>
      <c r="D12" s="983"/>
      <c r="E12" s="984"/>
      <c r="F12" s="143"/>
      <c r="G12" s="374"/>
    </row>
    <row r="13" spans="1:7" s="12" customFormat="1" ht="13.5" customHeight="1">
      <c r="A13" s="982"/>
      <c r="B13" s="983"/>
      <c r="C13" s="983"/>
      <c r="D13" s="983"/>
      <c r="E13" s="984"/>
      <c r="F13" s="143"/>
      <c r="G13" s="374"/>
    </row>
    <row r="14" spans="1:7" s="12" customFormat="1" ht="13.5" customHeight="1">
      <c r="A14" s="982"/>
      <c r="B14" s="983"/>
      <c r="C14" s="983"/>
      <c r="D14" s="983"/>
      <c r="E14" s="984"/>
      <c r="F14" s="143"/>
      <c r="G14" s="374"/>
    </row>
    <row r="15" spans="1:7" s="12" customFormat="1" ht="48" customHeight="1" thickBot="1">
      <c r="A15" s="985"/>
      <c r="B15" s="986"/>
      <c r="C15" s="986"/>
      <c r="D15" s="986"/>
      <c r="E15" s="987"/>
      <c r="F15" s="143"/>
      <c r="G15" s="374"/>
    </row>
    <row r="16" spans="1:7" s="12" customFormat="1" ht="13.5" customHeight="1">
      <c r="A16" s="40" t="s">
        <v>809</v>
      </c>
      <c r="B16" s="40"/>
      <c r="C16" s="24"/>
      <c r="D16" s="22"/>
      <c r="E16" s="303"/>
      <c r="F16" s="215"/>
      <c r="G16" s="344"/>
    </row>
    <row r="17" spans="1:7" s="12" customFormat="1" ht="13.5" customHeight="1">
      <c r="A17" s="40" t="s">
        <v>571</v>
      </c>
      <c r="B17" s="40"/>
      <c r="C17" s="24"/>
      <c r="D17" s="22"/>
      <c r="E17" s="303"/>
      <c r="F17" s="215"/>
      <c r="G17" s="344"/>
    </row>
    <row r="18" spans="1:7" s="12" customFormat="1" ht="13.5" customHeight="1">
      <c r="A18" s="40" t="s">
        <v>572</v>
      </c>
      <c r="B18" s="40"/>
      <c r="C18" s="24"/>
      <c r="D18" s="22"/>
      <c r="E18" s="303"/>
      <c r="F18" s="215"/>
      <c r="G18" s="344"/>
    </row>
    <row r="19" spans="1:7" s="12" customFormat="1" ht="13.5" customHeight="1" thickBot="1">
      <c r="A19" s="75" t="s">
        <v>11</v>
      </c>
      <c r="B19" s="75"/>
      <c r="C19" s="360"/>
      <c r="D19" s="376"/>
      <c r="E19" s="361"/>
      <c r="F19" s="215"/>
      <c r="G19" s="344"/>
    </row>
    <row r="20" spans="1:7" s="249" customFormat="1" ht="13.5" customHeight="1" thickBot="1">
      <c r="A20" s="596" t="s">
        <v>0</v>
      </c>
      <c r="B20" s="596"/>
      <c r="C20" s="735"/>
      <c r="D20" s="690"/>
      <c r="E20" s="600">
        <f>+C22+C45+C67+C85+C90</f>
        <v>26040440</v>
      </c>
      <c r="F20" s="377"/>
      <c r="G20" s="344"/>
    </row>
    <row r="21" spans="1:7" s="71" customFormat="1" ht="12.75" customHeight="1" thickBot="1">
      <c r="A21" s="12"/>
      <c r="B21" s="12"/>
      <c r="C21" s="24"/>
      <c r="D21" s="378"/>
      <c r="E21" s="12"/>
      <c r="F21" s="327"/>
      <c r="G21" s="344"/>
    </row>
    <row r="22" spans="1:7" s="71" customFormat="1" ht="12.75" customHeight="1" thickBot="1">
      <c r="A22" s="1095" t="s">
        <v>1</v>
      </c>
      <c r="B22" s="1096"/>
      <c r="C22" s="674">
        <f>C23+C30+C37</f>
        <v>22339580</v>
      </c>
      <c r="D22" s="379"/>
      <c r="E22" s="249"/>
      <c r="F22" s="327"/>
      <c r="G22" s="338"/>
    </row>
    <row r="23" spans="1:7" s="127" customFormat="1" ht="12.75" customHeight="1">
      <c r="A23" s="11" t="s">
        <v>97</v>
      </c>
      <c r="B23" s="281" t="s">
        <v>98</v>
      </c>
      <c r="C23" s="31">
        <f>SUM(C24:C29)</f>
        <v>8137290</v>
      </c>
      <c r="D23" s="378"/>
      <c r="E23" s="71"/>
      <c r="F23" s="329"/>
      <c r="G23" s="346"/>
    </row>
    <row r="24" spans="1:7" s="127" customFormat="1" ht="12.75" customHeight="1">
      <c r="A24" s="12" t="s">
        <v>23</v>
      </c>
      <c r="B24" s="24" t="s">
        <v>20</v>
      </c>
      <c r="C24" s="24">
        <f>944005+335460+5067358</f>
        <v>6346823</v>
      </c>
      <c r="D24" s="378"/>
      <c r="E24" s="380"/>
      <c r="F24" s="381"/>
      <c r="G24" s="346"/>
    </row>
    <row r="25" spans="1:7" s="127" customFormat="1" ht="12.75" customHeight="1">
      <c r="A25" s="12" t="s">
        <v>24</v>
      </c>
      <c r="B25" s="24" t="s">
        <v>22</v>
      </c>
      <c r="C25" s="24">
        <f>2541+236001+851968</f>
        <v>1090510</v>
      </c>
      <c r="D25" s="378"/>
      <c r="E25" s="380"/>
      <c r="F25" s="381"/>
      <c r="G25" s="346"/>
    </row>
    <row r="26" spans="1:7" s="127" customFormat="1" ht="12.75" customHeight="1">
      <c r="A26" s="12" t="s">
        <v>25</v>
      </c>
      <c r="B26" s="24" t="s">
        <v>76</v>
      </c>
      <c r="C26" s="24">
        <f>131958+55000</f>
        <v>186958</v>
      </c>
      <c r="D26" s="378"/>
      <c r="E26" s="380"/>
      <c r="F26" s="381"/>
      <c r="G26" s="346"/>
    </row>
    <row r="27" spans="1:7" s="127" customFormat="1" ht="12.75" customHeight="1">
      <c r="A27" s="12" t="s">
        <v>26</v>
      </c>
      <c r="B27" s="24" t="s">
        <v>77</v>
      </c>
      <c r="C27" s="24">
        <v>1</v>
      </c>
      <c r="D27" s="378"/>
      <c r="E27" s="380"/>
      <c r="F27" s="381"/>
      <c r="G27" s="346"/>
    </row>
    <row r="28" spans="1:7" s="127" customFormat="1" ht="12.75" customHeight="1">
      <c r="A28" s="12" t="s">
        <v>27</v>
      </c>
      <c r="B28" s="24" t="s">
        <v>21</v>
      </c>
      <c r="C28" s="24">
        <f>8466+108048</f>
        <v>116514</v>
      </c>
      <c r="D28" s="378"/>
      <c r="E28" s="380"/>
      <c r="F28" s="381"/>
      <c r="G28" s="346"/>
    </row>
    <row r="29" spans="1:7" s="127" customFormat="1" ht="12.75" customHeight="1">
      <c r="A29" s="12" t="s">
        <v>28</v>
      </c>
      <c r="B29" s="24" t="s">
        <v>19</v>
      </c>
      <c r="C29" s="24">
        <v>396484</v>
      </c>
      <c r="D29" s="378"/>
      <c r="E29" s="380"/>
      <c r="F29" s="381"/>
      <c r="G29" s="346"/>
    </row>
    <row r="30" spans="1:7" s="127" customFormat="1" ht="12.75" customHeight="1">
      <c r="A30" s="11" t="s">
        <v>99</v>
      </c>
      <c r="B30" s="31" t="s">
        <v>100</v>
      </c>
      <c r="C30" s="31">
        <f>SUM(C31:C36)</f>
        <v>11464337</v>
      </c>
      <c r="D30" s="378"/>
      <c r="E30" s="380"/>
      <c r="F30" s="381"/>
      <c r="G30" s="346"/>
    </row>
    <row r="31" spans="1:8" s="71" customFormat="1" ht="12.75" customHeight="1">
      <c r="A31" s="12" t="s">
        <v>30</v>
      </c>
      <c r="B31" s="24" t="s">
        <v>78</v>
      </c>
      <c r="C31" s="24">
        <f>1768550+501725+9851283-3000000</f>
        <v>9121558</v>
      </c>
      <c r="D31" s="378"/>
      <c r="E31" s="380"/>
      <c r="F31" s="381"/>
      <c r="G31" s="346"/>
      <c r="H31" s="12"/>
    </row>
    <row r="32" spans="1:7" s="71" customFormat="1" ht="12.75" customHeight="1">
      <c r="A32" s="12" t="s">
        <v>31</v>
      </c>
      <c r="B32" s="24" t="s">
        <v>79</v>
      </c>
      <c r="C32" s="24">
        <f>442138+1578305</f>
        <v>2020443</v>
      </c>
      <c r="D32" s="378"/>
      <c r="E32" s="380"/>
      <c r="F32" s="381"/>
      <c r="G32" s="346"/>
    </row>
    <row r="33" spans="1:7" s="127" customFormat="1" ht="12.75" customHeight="1">
      <c r="A33" s="12" t="s">
        <v>32</v>
      </c>
      <c r="B33" s="24" t="s">
        <v>80</v>
      </c>
      <c r="C33" s="24">
        <v>292296</v>
      </c>
      <c r="D33" s="378"/>
      <c r="E33" s="380"/>
      <c r="F33" s="378"/>
      <c r="G33" s="344"/>
    </row>
    <row r="34" spans="1:7" s="127" customFormat="1" ht="12.75" customHeight="1">
      <c r="A34" s="12" t="s">
        <v>33</v>
      </c>
      <c r="B34" s="24" t="s">
        <v>81</v>
      </c>
      <c r="C34" s="24">
        <v>1</v>
      </c>
      <c r="D34" s="378"/>
      <c r="E34" s="380"/>
      <c r="F34" s="381"/>
      <c r="G34" s="346"/>
    </row>
    <row r="35" spans="1:7" s="127" customFormat="1" ht="12.75" customHeight="1">
      <c r="A35" s="12" t="s">
        <v>34</v>
      </c>
      <c r="B35" s="24" t="s">
        <v>258</v>
      </c>
      <c r="C35" s="24">
        <f>2822+27216</f>
        <v>30038</v>
      </c>
      <c r="D35" s="378"/>
      <c r="E35" s="380"/>
      <c r="F35" s="381"/>
      <c r="G35" s="346"/>
    </row>
    <row r="36" spans="1:7" s="71" customFormat="1" ht="12.75" customHeight="1">
      <c r="A36" s="12" t="s">
        <v>83</v>
      </c>
      <c r="B36" s="24" t="s">
        <v>82</v>
      </c>
      <c r="C36" s="24">
        <v>1</v>
      </c>
      <c r="D36" s="378"/>
      <c r="E36" s="380"/>
      <c r="F36" s="381"/>
      <c r="G36" s="346"/>
    </row>
    <row r="37" spans="1:7" s="71" customFormat="1" ht="12.75" customHeight="1">
      <c r="A37" s="11" t="s">
        <v>101</v>
      </c>
      <c r="B37" s="31" t="s">
        <v>102</v>
      </c>
      <c r="C37" s="31">
        <f>SUM(C38:C43)</f>
        <v>2737953</v>
      </c>
      <c r="D37" s="378"/>
      <c r="E37" s="380"/>
      <c r="F37" s="381"/>
      <c r="G37" s="346"/>
    </row>
    <row r="38" spans="1:7" s="127" customFormat="1" ht="12.75" customHeight="1">
      <c r="A38" s="12" t="s">
        <v>39</v>
      </c>
      <c r="B38" s="24" t="s">
        <v>35</v>
      </c>
      <c r="C38" s="24">
        <f>88329+1845027+332105</f>
        <v>2265461</v>
      </c>
      <c r="D38" s="378"/>
      <c r="E38" s="380"/>
      <c r="F38" s="71"/>
      <c r="G38" s="381"/>
    </row>
    <row r="39" spans="1:7" s="127" customFormat="1" ht="12.75" customHeight="1">
      <c r="A39" s="12" t="s">
        <v>40</v>
      </c>
      <c r="B39" s="24" t="s">
        <v>37</v>
      </c>
      <c r="C39" s="24">
        <f>300362+83026</f>
        <v>383388</v>
      </c>
      <c r="D39" s="378"/>
      <c r="E39" s="380"/>
      <c r="F39" s="71"/>
      <c r="G39" s="381"/>
    </row>
    <row r="40" spans="1:7" s="127" customFormat="1" ht="12.75" customHeight="1">
      <c r="A40" s="12" t="s">
        <v>41</v>
      </c>
      <c r="B40" s="24" t="s">
        <v>84</v>
      </c>
      <c r="C40" s="24">
        <v>34642</v>
      </c>
      <c r="D40" s="378"/>
      <c r="E40" s="380"/>
      <c r="G40" s="381"/>
    </row>
    <row r="41" spans="1:7" s="127" customFormat="1" ht="12.75" customHeight="1">
      <c r="A41" s="12" t="s">
        <v>42</v>
      </c>
      <c r="B41" s="24" t="s">
        <v>85</v>
      </c>
      <c r="C41" s="24">
        <v>1</v>
      </c>
      <c r="D41" s="378"/>
      <c r="E41" s="380"/>
      <c r="G41" s="381"/>
    </row>
    <row r="42" spans="1:8" s="127" customFormat="1" ht="12.75" customHeight="1">
      <c r="A42" s="12" t="s">
        <v>43</v>
      </c>
      <c r="B42" s="24" t="s">
        <v>36</v>
      </c>
      <c r="C42" s="24">
        <f>48816+5644</f>
        <v>54460</v>
      </c>
      <c r="D42" s="378"/>
      <c r="E42" s="380"/>
      <c r="G42" s="381"/>
      <c r="H42" s="70"/>
    </row>
    <row r="43" spans="1:8" s="249" customFormat="1" ht="13.5" customHeight="1">
      <c r="A43" s="12" t="s">
        <v>44</v>
      </c>
      <c r="B43" s="24" t="s">
        <v>38</v>
      </c>
      <c r="C43" s="24">
        <v>1</v>
      </c>
      <c r="D43" s="378"/>
      <c r="E43" s="380"/>
      <c r="F43" s="127"/>
      <c r="G43" s="381"/>
      <c r="H43" s="379"/>
    </row>
    <row r="44" spans="1:7" s="100" customFormat="1" ht="13.5" customHeight="1" thickBot="1">
      <c r="A44" s="12"/>
      <c r="B44" s="24"/>
      <c r="C44" s="24"/>
      <c r="D44" s="378"/>
      <c r="E44" s="379"/>
      <c r="F44" s="127"/>
      <c r="G44" s="378"/>
    </row>
    <row r="45" spans="1:7" s="12" customFormat="1" ht="13.5" customHeight="1" thickBot="1">
      <c r="A45" s="992" t="s">
        <v>2</v>
      </c>
      <c r="B45" s="993"/>
      <c r="C45" s="602">
        <f>C46+C48+C50+C58+C61+C52</f>
        <v>698120</v>
      </c>
      <c r="D45" s="382"/>
      <c r="E45" s="249"/>
      <c r="F45" s="249"/>
      <c r="G45" s="379"/>
    </row>
    <row r="46" spans="1:7" s="12" customFormat="1" ht="13.5" customHeight="1">
      <c r="A46" s="11" t="s">
        <v>103</v>
      </c>
      <c r="B46" s="281" t="s">
        <v>104</v>
      </c>
      <c r="C46" s="32">
        <f>SUM(C47)</f>
        <v>133900</v>
      </c>
      <c r="D46" s="340"/>
      <c r="E46" s="383"/>
      <c r="F46" s="383"/>
      <c r="G46" s="341"/>
    </row>
    <row r="47" spans="1:7" s="12" customFormat="1" ht="13.5" customHeight="1">
      <c r="A47" s="12" t="s">
        <v>46</v>
      </c>
      <c r="B47" s="12" t="s">
        <v>45</v>
      </c>
      <c r="C47" s="24">
        <v>133900</v>
      </c>
      <c r="D47" s="340"/>
      <c r="E47" s="336"/>
      <c r="F47" s="336"/>
      <c r="G47" s="374"/>
    </row>
    <row r="48" spans="1:8" s="3" customFormat="1" ht="13.5">
      <c r="A48" s="11" t="s">
        <v>105</v>
      </c>
      <c r="B48" s="11" t="s">
        <v>106</v>
      </c>
      <c r="C48" s="31">
        <f>SUM(C49:C49)</f>
        <v>47710</v>
      </c>
      <c r="D48" s="336"/>
      <c r="E48" s="336"/>
      <c r="F48" s="336"/>
      <c r="G48" s="374"/>
      <c r="H48" s="1"/>
    </row>
    <row r="49" spans="1:8" s="3" customFormat="1" ht="13.5">
      <c r="A49" s="12" t="s">
        <v>86</v>
      </c>
      <c r="B49" s="71" t="s">
        <v>66</v>
      </c>
      <c r="C49" s="24">
        <v>47710</v>
      </c>
      <c r="D49" s="384"/>
      <c r="E49" s="336"/>
      <c r="F49" s="336"/>
      <c r="G49" s="1"/>
      <c r="H49" s="1"/>
    </row>
    <row r="50" spans="1:8" s="3" customFormat="1" ht="13.5">
      <c r="A50" s="11" t="s">
        <v>107</v>
      </c>
      <c r="B50" s="249" t="s">
        <v>108</v>
      </c>
      <c r="C50" s="31">
        <f>SUM(C51:C51)</f>
        <v>147600</v>
      </c>
      <c r="D50" s="384"/>
      <c r="E50" s="336"/>
      <c r="F50" s="336"/>
      <c r="G50" s="1"/>
      <c r="H50" s="1"/>
    </row>
    <row r="51" spans="1:8" s="5" customFormat="1" ht="13.5">
      <c r="A51" s="12" t="s">
        <v>47</v>
      </c>
      <c r="B51" s="23" t="s">
        <v>48</v>
      </c>
      <c r="C51" s="24">
        <v>147600</v>
      </c>
      <c r="D51" s="384"/>
      <c r="E51" s="336"/>
      <c r="F51" s="336"/>
      <c r="G51" s="385"/>
      <c r="H51" s="142"/>
    </row>
    <row r="52" spans="1:8" s="5" customFormat="1" ht="13.5">
      <c r="A52" s="11" t="s">
        <v>119</v>
      </c>
      <c r="B52" s="505" t="s">
        <v>192</v>
      </c>
      <c r="C52" s="31">
        <f>SUM(C53:C57)</f>
        <v>154000</v>
      </c>
      <c r="D52" s="384"/>
      <c r="E52" s="336"/>
      <c r="F52" s="336"/>
      <c r="G52" s="385"/>
      <c r="H52" s="142"/>
    </row>
    <row r="53" spans="1:8" s="5" customFormat="1" ht="13.5">
      <c r="A53" s="12" t="s">
        <v>149</v>
      </c>
      <c r="B53" s="42" t="s">
        <v>639</v>
      </c>
      <c r="C53" s="24">
        <v>10500</v>
      </c>
      <c r="D53" s="384"/>
      <c r="E53" s="336"/>
      <c r="F53" s="336"/>
      <c r="G53" s="385"/>
      <c r="H53" s="142"/>
    </row>
    <row r="54" spans="1:8" s="5" customFormat="1" ht="13.5">
      <c r="A54" s="12" t="s">
        <v>641</v>
      </c>
      <c r="B54" s="42" t="s">
        <v>640</v>
      </c>
      <c r="C54" s="24">
        <v>19000</v>
      </c>
      <c r="D54" s="384"/>
      <c r="E54" s="336"/>
      <c r="F54" s="336"/>
      <c r="G54" s="385"/>
      <c r="H54" s="142"/>
    </row>
    <row r="55" spans="1:5" s="65" customFormat="1" ht="13.5">
      <c r="A55" s="71" t="s">
        <v>758</v>
      </c>
      <c r="B55" s="24" t="s">
        <v>753</v>
      </c>
      <c r="C55" s="24">
        <v>53000</v>
      </c>
      <c r="D55" s="77"/>
      <c r="E55" s="25"/>
    </row>
    <row r="56" spans="1:5" s="65" customFormat="1" ht="13.5">
      <c r="A56" s="71" t="s">
        <v>762</v>
      </c>
      <c r="B56" s="24" t="s">
        <v>763</v>
      </c>
      <c r="C56" s="24">
        <v>55000</v>
      </c>
      <c r="D56" s="77"/>
      <c r="E56" s="25"/>
    </row>
    <row r="57" spans="1:5" s="65" customFormat="1" ht="13.5">
      <c r="A57" s="71" t="s">
        <v>754</v>
      </c>
      <c r="B57" s="24" t="s">
        <v>755</v>
      </c>
      <c r="C57" s="24">
        <v>16500</v>
      </c>
      <c r="D57" s="77"/>
      <c r="E57" s="25"/>
    </row>
    <row r="58" spans="1:8" s="5" customFormat="1" ht="13.5">
      <c r="A58" s="249" t="s">
        <v>124</v>
      </c>
      <c r="B58" s="25" t="s">
        <v>123</v>
      </c>
      <c r="C58" s="31">
        <f>SUM(C59:C60)</f>
        <v>54400</v>
      </c>
      <c r="D58" s="384"/>
      <c r="E58" s="336"/>
      <c r="F58" s="336"/>
      <c r="G58" s="385"/>
      <c r="H58" s="142"/>
    </row>
    <row r="59" spans="1:5" s="65" customFormat="1" ht="13.5">
      <c r="A59" s="12" t="s">
        <v>231</v>
      </c>
      <c r="B59" s="42" t="s">
        <v>230</v>
      </c>
      <c r="C59" s="24">
        <v>24400</v>
      </c>
      <c r="D59" s="56"/>
      <c r="E59" s="56"/>
    </row>
    <row r="60" spans="1:8" s="5" customFormat="1" ht="13.5">
      <c r="A60" s="71" t="s">
        <v>93</v>
      </c>
      <c r="B60" s="24" t="s">
        <v>72</v>
      </c>
      <c r="C60" s="24">
        <v>30000</v>
      </c>
      <c r="D60" s="336"/>
      <c r="E60" s="336"/>
      <c r="F60" s="336"/>
      <c r="G60" s="374"/>
      <c r="H60" s="142"/>
    </row>
    <row r="61" spans="1:8" s="5" customFormat="1" ht="13.5">
      <c r="A61" s="249" t="s">
        <v>150</v>
      </c>
      <c r="B61" s="25" t="s">
        <v>125</v>
      </c>
      <c r="C61" s="31">
        <f>SUM(C62:C65)</f>
        <v>160510</v>
      </c>
      <c r="D61" s="336"/>
      <c r="E61" s="336"/>
      <c r="F61" s="336"/>
      <c r="G61" s="374"/>
      <c r="H61" s="142"/>
    </row>
    <row r="62" spans="1:8" s="3" customFormat="1" ht="13.5">
      <c r="A62" s="71" t="s">
        <v>151</v>
      </c>
      <c r="B62" s="24" t="s">
        <v>65</v>
      </c>
      <c r="C62" s="24">
        <v>9600</v>
      </c>
      <c r="D62" s="336"/>
      <c r="E62" s="336"/>
      <c r="F62" s="336"/>
      <c r="G62" s="374"/>
      <c r="H62" s="1"/>
    </row>
    <row r="63" spans="1:8" s="5" customFormat="1" ht="13.5">
      <c r="A63" s="71" t="s">
        <v>152</v>
      </c>
      <c r="B63" s="24" t="s">
        <v>70</v>
      </c>
      <c r="C63" s="24">
        <v>89800</v>
      </c>
      <c r="D63" s="336"/>
      <c r="E63" s="336"/>
      <c r="F63" s="336"/>
      <c r="G63" s="374"/>
      <c r="H63" s="142"/>
    </row>
    <row r="64" spans="1:8" s="249" customFormat="1" ht="13.5" customHeight="1">
      <c r="A64" s="71" t="s">
        <v>154</v>
      </c>
      <c r="B64" s="23" t="s">
        <v>125</v>
      </c>
      <c r="C64" s="24">
        <v>21110</v>
      </c>
      <c r="D64" s="386"/>
      <c r="E64" s="336"/>
      <c r="F64" s="336"/>
      <c r="G64" s="385"/>
      <c r="H64" s="11"/>
    </row>
    <row r="65" spans="1:8" s="249" customFormat="1" ht="13.5" customHeight="1">
      <c r="A65" s="71" t="s">
        <v>643</v>
      </c>
      <c r="B65" s="42" t="s">
        <v>642</v>
      </c>
      <c r="C65" s="24">
        <v>40000</v>
      </c>
      <c r="D65" s="386"/>
      <c r="E65" s="336"/>
      <c r="F65" s="336"/>
      <c r="G65" s="385"/>
      <c r="H65" s="11"/>
    </row>
    <row r="66" spans="1:7" s="332" customFormat="1" ht="14.25" thickBot="1">
      <c r="A66" s="71"/>
      <c r="B66" s="24"/>
      <c r="C66" s="24"/>
      <c r="D66" s="340"/>
      <c r="E66" s="336"/>
      <c r="F66" s="336"/>
      <c r="G66" s="374"/>
    </row>
    <row r="67" spans="1:7" s="3" customFormat="1" ht="14.25" thickBot="1">
      <c r="A67" s="994" t="s">
        <v>3</v>
      </c>
      <c r="B67" s="995"/>
      <c r="C67" s="603">
        <f>+C71+C74+C79+C68+C77</f>
        <v>2466340</v>
      </c>
      <c r="D67" s="336"/>
      <c r="E67" s="382"/>
      <c r="F67" s="382"/>
      <c r="G67" s="351"/>
    </row>
    <row r="68" spans="1:8" s="71" customFormat="1" ht="13.5" customHeight="1">
      <c r="A68" s="249" t="s">
        <v>110</v>
      </c>
      <c r="B68" s="281" t="s">
        <v>111</v>
      </c>
      <c r="C68" s="32">
        <f>SUM(C69:C70)</f>
        <v>427750</v>
      </c>
      <c r="D68" s="331"/>
      <c r="E68" s="223"/>
      <c r="F68" s="340"/>
      <c r="G68" s="332"/>
      <c r="H68" s="24"/>
    </row>
    <row r="69" spans="1:8" s="71" customFormat="1" ht="13.5" customHeight="1">
      <c r="A69" s="71" t="s">
        <v>159</v>
      </c>
      <c r="B69" s="42" t="s">
        <v>158</v>
      </c>
      <c r="C69" s="22">
        <v>280000</v>
      </c>
      <c r="D69" s="331"/>
      <c r="E69" s="223"/>
      <c r="F69" s="340"/>
      <c r="G69" s="332"/>
      <c r="H69" s="24"/>
    </row>
    <row r="70" spans="1:8" s="71" customFormat="1" ht="13.5" customHeight="1">
      <c r="A70" s="71" t="s">
        <v>52</v>
      </c>
      <c r="B70" s="24" t="s">
        <v>15</v>
      </c>
      <c r="C70" s="24">
        <v>147750</v>
      </c>
      <c r="D70" s="14"/>
      <c r="E70" s="117"/>
      <c r="F70" s="336"/>
      <c r="G70" s="385"/>
      <c r="H70" s="24"/>
    </row>
    <row r="71" spans="1:8" s="71" customFormat="1" ht="13.5" customHeight="1">
      <c r="A71" s="11" t="s">
        <v>120</v>
      </c>
      <c r="B71" s="31" t="s">
        <v>121</v>
      </c>
      <c r="C71" s="31">
        <f>SUM(C72:C73)</f>
        <v>54240</v>
      </c>
      <c r="D71" s="336"/>
      <c r="E71" s="336"/>
      <c r="F71" s="336"/>
      <c r="G71" s="344"/>
      <c r="H71" s="24"/>
    </row>
    <row r="72" spans="1:9" s="65" customFormat="1" ht="13.5" customHeight="1">
      <c r="A72" s="58" t="s">
        <v>140</v>
      </c>
      <c r="B72" s="42" t="s">
        <v>141</v>
      </c>
      <c r="C72" s="59">
        <v>36000</v>
      </c>
      <c r="G72" s="59"/>
      <c r="H72" s="56"/>
      <c r="I72" s="56"/>
    </row>
    <row r="73" spans="1:8" s="71" customFormat="1" ht="13.5" customHeight="1">
      <c r="A73" s="12" t="s">
        <v>136</v>
      </c>
      <c r="B73" s="12" t="s">
        <v>71</v>
      </c>
      <c r="C73" s="24">
        <v>18240</v>
      </c>
      <c r="D73" s="336"/>
      <c r="E73" s="336"/>
      <c r="F73" s="336"/>
      <c r="G73" s="344"/>
      <c r="H73" s="24"/>
    </row>
    <row r="74" spans="1:12" s="71" customFormat="1" ht="13.5" customHeight="1">
      <c r="A74" s="249" t="s">
        <v>112</v>
      </c>
      <c r="B74" s="31" t="s">
        <v>156</v>
      </c>
      <c r="C74" s="31">
        <f>SUM(C75:C76)</f>
        <v>529600</v>
      </c>
      <c r="D74" s="336"/>
      <c r="E74" s="336"/>
      <c r="F74" s="336"/>
      <c r="G74" s="344"/>
      <c r="H74" s="341"/>
      <c r="I74" s="12"/>
      <c r="J74" s="12"/>
      <c r="K74" s="12"/>
      <c r="L74" s="12"/>
    </row>
    <row r="75" spans="1:12" s="71" customFormat="1" ht="13.5" customHeight="1">
      <c r="A75" s="71" t="s">
        <v>138</v>
      </c>
      <c r="B75" s="58" t="s">
        <v>810</v>
      </c>
      <c r="C75" s="24">
        <v>6700</v>
      </c>
      <c r="D75" s="336"/>
      <c r="E75" s="336"/>
      <c r="F75" s="336"/>
      <c r="G75" s="344"/>
      <c r="H75" s="336"/>
      <c r="I75" s="12"/>
      <c r="J75" s="12"/>
      <c r="K75" s="12"/>
      <c r="L75" s="12"/>
    </row>
    <row r="76" spans="1:12" s="71" customFormat="1" ht="13.5" customHeight="1">
      <c r="A76" s="71" t="s">
        <v>49</v>
      </c>
      <c r="B76" s="24" t="s">
        <v>87</v>
      </c>
      <c r="C76" s="24">
        <v>522900</v>
      </c>
      <c r="E76" s="335"/>
      <c r="F76" s="117"/>
      <c r="G76" s="387"/>
      <c r="H76" s="344"/>
      <c r="I76" s="12"/>
      <c r="J76" s="12"/>
      <c r="K76" s="12"/>
      <c r="L76" s="12"/>
    </row>
    <row r="77" spans="1:7" s="71" customFormat="1" ht="13.5" customHeight="1">
      <c r="A77" s="11" t="s">
        <v>113</v>
      </c>
      <c r="B77" s="31" t="s">
        <v>114</v>
      </c>
      <c r="C77" s="31">
        <f>SUM(C78:C78)</f>
        <v>25800</v>
      </c>
      <c r="D77" s="378"/>
      <c r="G77" s="344"/>
    </row>
    <row r="78" spans="1:11" s="71" customFormat="1" ht="13.5" customHeight="1">
      <c r="A78" s="12" t="s">
        <v>163</v>
      </c>
      <c r="B78" s="12" t="s">
        <v>74</v>
      </c>
      <c r="C78" s="24">
        <v>25800</v>
      </c>
      <c r="E78" s="142"/>
      <c r="G78" s="142"/>
      <c r="H78" s="378"/>
      <c r="J78" s="344"/>
      <c r="K78" s="346"/>
    </row>
    <row r="79" spans="1:12" s="71" customFormat="1" ht="13.5" customHeight="1">
      <c r="A79" s="249" t="s">
        <v>115</v>
      </c>
      <c r="B79" s="31" t="s">
        <v>8</v>
      </c>
      <c r="C79" s="31">
        <f>SUM(C80:C83)</f>
        <v>1428950</v>
      </c>
      <c r="E79" s="335"/>
      <c r="F79" s="336"/>
      <c r="G79" s="344"/>
      <c r="H79" s="12"/>
      <c r="I79" s="12"/>
      <c r="J79" s="12"/>
      <c r="K79" s="12"/>
      <c r="L79" s="12"/>
    </row>
    <row r="80" spans="1:7" s="11" customFormat="1" ht="13.5" customHeight="1">
      <c r="A80" s="71" t="s">
        <v>92</v>
      </c>
      <c r="B80" s="24" t="s">
        <v>8</v>
      </c>
      <c r="C80" s="24">
        <v>731750</v>
      </c>
      <c r="D80" s="71"/>
      <c r="E80" s="336"/>
      <c r="F80" s="335"/>
      <c r="G80" s="346"/>
    </row>
    <row r="81" spans="1:12" s="71" customFormat="1" ht="13.5" customHeight="1">
      <c r="A81" s="71" t="s">
        <v>182</v>
      </c>
      <c r="B81" s="24" t="s">
        <v>50</v>
      </c>
      <c r="C81" s="24">
        <v>37800</v>
      </c>
      <c r="D81" s="336"/>
      <c r="E81" s="336"/>
      <c r="F81" s="335"/>
      <c r="G81" s="346"/>
      <c r="H81" s="12"/>
      <c r="I81" s="12"/>
      <c r="J81" s="24"/>
      <c r="K81" s="12"/>
      <c r="L81" s="12"/>
    </row>
    <row r="82" spans="1:12" s="71" customFormat="1" ht="13.5" customHeight="1">
      <c r="A82" s="71" t="s">
        <v>223</v>
      </c>
      <c r="B82" s="12" t="s">
        <v>222</v>
      </c>
      <c r="C82" s="24">
        <v>100000</v>
      </c>
      <c r="D82" s="336"/>
      <c r="E82" s="336"/>
      <c r="F82" s="336"/>
      <c r="G82" s="344"/>
      <c r="H82" s="12"/>
      <c r="I82" s="12"/>
      <c r="J82" s="12"/>
      <c r="K82" s="12"/>
      <c r="L82" s="12"/>
    </row>
    <row r="83" spans="1:12" s="249" customFormat="1" ht="13.5" customHeight="1">
      <c r="A83" s="71" t="s">
        <v>90</v>
      </c>
      <c r="B83" s="24" t="s">
        <v>7</v>
      </c>
      <c r="C83" s="24">
        <v>559400</v>
      </c>
      <c r="D83" s="336"/>
      <c r="E83" s="335"/>
      <c r="F83" s="336"/>
      <c r="G83" s="344"/>
      <c r="H83" s="11"/>
      <c r="I83" s="11"/>
      <c r="J83" s="11"/>
      <c r="K83" s="11"/>
      <c r="L83" s="11"/>
    </row>
    <row r="84" spans="1:10" s="100" customFormat="1" ht="13.5" customHeight="1" thickBot="1">
      <c r="A84" s="71"/>
      <c r="B84" s="24"/>
      <c r="C84" s="24"/>
      <c r="D84" s="346"/>
      <c r="E84" s="336"/>
      <c r="F84" s="335"/>
      <c r="G84" s="346"/>
      <c r="H84" s="339"/>
      <c r="I84" s="340"/>
      <c r="J84" s="340"/>
    </row>
    <row r="85" spans="1:11" s="70" customFormat="1" ht="13.5" customHeight="1" thickBot="1">
      <c r="A85" s="1007" t="s">
        <v>5</v>
      </c>
      <c r="B85" s="1008"/>
      <c r="C85" s="604">
        <f>C86</f>
        <v>416100</v>
      </c>
      <c r="D85" s="335"/>
      <c r="E85" s="336"/>
      <c r="F85" s="337"/>
      <c r="G85" s="338"/>
      <c r="H85" s="342"/>
      <c r="I85" s="24"/>
      <c r="J85" s="343"/>
      <c r="K85" s="142"/>
    </row>
    <row r="86" spans="1:12" s="71" customFormat="1" ht="13.5" customHeight="1">
      <c r="A86" s="11" t="s">
        <v>128</v>
      </c>
      <c r="B86" s="281" t="s">
        <v>129</v>
      </c>
      <c r="C86" s="32">
        <f>SUM(C87:C88)</f>
        <v>416100</v>
      </c>
      <c r="D86" s="100"/>
      <c r="E86" s="100"/>
      <c r="F86" s="100"/>
      <c r="G86" s="341"/>
      <c r="H86" s="501"/>
      <c r="I86" s="336"/>
      <c r="J86" s="336"/>
      <c r="K86" s="12"/>
      <c r="L86" s="12"/>
    </row>
    <row r="87" spans="1:11" s="70" customFormat="1" ht="13.5" customHeight="1">
      <c r="A87" s="12" t="s">
        <v>448</v>
      </c>
      <c r="B87" s="12" t="s">
        <v>240</v>
      </c>
      <c r="C87" s="24">
        <v>234600</v>
      </c>
      <c r="G87" s="344"/>
      <c r="K87" s="142"/>
    </row>
    <row r="88" spans="1:7" s="249" customFormat="1" ht="13.5" customHeight="1">
      <c r="A88" s="12" t="s">
        <v>144</v>
      </c>
      <c r="B88" s="24" t="s">
        <v>12</v>
      </c>
      <c r="C88" s="24">
        <v>181500</v>
      </c>
      <c r="D88" s="71"/>
      <c r="E88" s="71"/>
      <c r="F88" s="71"/>
      <c r="G88" s="346"/>
    </row>
    <row r="89" spans="1:7" s="100" customFormat="1" ht="13.5" customHeight="1" thickBot="1">
      <c r="A89" s="12"/>
      <c r="B89" s="12"/>
      <c r="C89" s="24"/>
      <c r="D89" s="388"/>
      <c r="E89" s="24"/>
      <c r="F89" s="343"/>
      <c r="G89" s="344"/>
    </row>
    <row r="90" spans="1:7" s="5" customFormat="1" ht="14.25" thickBot="1">
      <c r="A90" s="996" t="s">
        <v>4</v>
      </c>
      <c r="B90" s="997"/>
      <c r="C90" s="605">
        <f>C91+C95</f>
        <v>120300</v>
      </c>
      <c r="D90" s="389"/>
      <c r="E90" s="336"/>
      <c r="F90" s="337"/>
      <c r="G90" s="338"/>
    </row>
    <row r="91" spans="1:7" s="5" customFormat="1" ht="13.5">
      <c r="A91" s="249" t="s">
        <v>116</v>
      </c>
      <c r="B91" s="281" t="s">
        <v>117</v>
      </c>
      <c r="C91" s="32">
        <f>SUM(C92:C94)</f>
        <v>105800</v>
      </c>
      <c r="D91" s="340"/>
      <c r="E91" s="336"/>
      <c r="F91" s="340"/>
      <c r="G91" s="341"/>
    </row>
    <row r="92" spans="1:7" s="5" customFormat="1" ht="13.5">
      <c r="A92" s="71" t="s">
        <v>91</v>
      </c>
      <c r="B92" s="71" t="s">
        <v>139</v>
      </c>
      <c r="C92" s="24">
        <v>46000</v>
      </c>
      <c r="D92" s="335"/>
      <c r="E92" s="335"/>
      <c r="F92" s="335"/>
      <c r="G92" s="390"/>
    </row>
    <row r="93" spans="1:7" s="5" customFormat="1" ht="13.5">
      <c r="A93" s="71" t="s">
        <v>57</v>
      </c>
      <c r="B93" s="71" t="s">
        <v>58</v>
      </c>
      <c r="C93" s="24">
        <v>29800</v>
      </c>
      <c r="D93" s="335"/>
      <c r="E93" s="335"/>
      <c r="F93" s="335"/>
      <c r="G93" s="390"/>
    </row>
    <row r="94" spans="1:8" s="8" customFormat="1" ht="13.5" customHeight="1">
      <c r="A94" s="71" t="s">
        <v>756</v>
      </c>
      <c r="B94" s="23" t="s">
        <v>757</v>
      </c>
      <c r="C94" s="24">
        <v>30000</v>
      </c>
      <c r="D94" s="77"/>
      <c r="E94" s="25"/>
      <c r="F94" s="98"/>
      <c r="G94" s="54"/>
      <c r="H94" s="42"/>
    </row>
    <row r="95" spans="1:7" s="142" customFormat="1" ht="13.5">
      <c r="A95" s="249" t="s">
        <v>165</v>
      </c>
      <c r="B95" s="25" t="s">
        <v>134</v>
      </c>
      <c r="C95" s="31">
        <f>SUM(C96)</f>
        <v>14500</v>
      </c>
      <c r="D95" s="335"/>
      <c r="E95" s="335"/>
      <c r="F95" s="335"/>
      <c r="G95" s="390"/>
    </row>
    <row r="96" spans="1:7" s="142" customFormat="1" ht="13.5">
      <c r="A96" s="71" t="s">
        <v>166</v>
      </c>
      <c r="B96" s="23" t="s">
        <v>51</v>
      </c>
      <c r="C96" s="24">
        <v>14500</v>
      </c>
      <c r="D96" s="335"/>
      <c r="E96" s="335"/>
      <c r="F96" s="335"/>
      <c r="G96" s="390"/>
    </row>
    <row r="97" spans="1:7" s="142" customFormat="1" ht="13.5">
      <c r="A97" s="71"/>
      <c r="B97" s="23"/>
      <c r="C97" s="24"/>
      <c r="D97" s="335"/>
      <c r="E97" s="335"/>
      <c r="F97" s="335"/>
      <c r="G97" s="390"/>
    </row>
    <row r="98" spans="1:7" s="142" customFormat="1" ht="13.5" customHeight="1" thickBot="1">
      <c r="A98" s="12"/>
      <c r="B98" s="24"/>
      <c r="C98" s="24"/>
      <c r="D98" s="336"/>
      <c r="E98" s="336"/>
      <c r="F98" s="336"/>
      <c r="G98" s="374"/>
    </row>
    <row r="99" spans="1:7" s="142" customFormat="1" ht="13.5" customHeight="1">
      <c r="A99" s="988" t="s">
        <v>895</v>
      </c>
      <c r="B99" s="1009"/>
      <c r="C99" s="989"/>
      <c r="D99" s="627" t="s">
        <v>6</v>
      </c>
      <c r="E99" s="755">
        <v>1402</v>
      </c>
      <c r="F99" s="143"/>
      <c r="G99" s="374"/>
    </row>
    <row r="100" spans="1:7" s="142" customFormat="1" ht="13.5" customHeight="1" thickBot="1">
      <c r="A100" s="1097"/>
      <c r="B100" s="1098"/>
      <c r="C100" s="1099"/>
      <c r="D100" s="669"/>
      <c r="E100" s="673"/>
      <c r="F100" s="143"/>
      <c r="G100" s="374"/>
    </row>
    <row r="101" spans="1:7" s="142" customFormat="1" ht="13.5" customHeight="1">
      <c r="A101" s="1100" t="s">
        <v>896</v>
      </c>
      <c r="B101" s="1101"/>
      <c r="C101" s="1101"/>
      <c r="D101" s="1101"/>
      <c r="E101" s="1102"/>
      <c r="F101" s="143"/>
      <c r="G101" s="374"/>
    </row>
    <row r="102" spans="1:7" s="142" customFormat="1" ht="13.5" customHeight="1">
      <c r="A102" s="1103"/>
      <c r="B102" s="1104"/>
      <c r="C102" s="1104"/>
      <c r="D102" s="1104"/>
      <c r="E102" s="1105"/>
      <c r="F102" s="143"/>
      <c r="G102" s="374"/>
    </row>
    <row r="103" spans="1:7" s="142" customFormat="1" ht="13.5" customHeight="1">
      <c r="A103" s="1103"/>
      <c r="B103" s="1104"/>
      <c r="C103" s="1104"/>
      <c r="D103" s="1104"/>
      <c r="E103" s="1105"/>
      <c r="F103" s="143"/>
      <c r="G103" s="374"/>
    </row>
    <row r="104" spans="1:7" s="142" customFormat="1" ht="13.5" customHeight="1">
      <c r="A104" s="1103"/>
      <c r="B104" s="1104"/>
      <c r="C104" s="1104"/>
      <c r="D104" s="1104"/>
      <c r="E104" s="1105"/>
      <c r="F104" s="143"/>
      <c r="G104" s="374"/>
    </row>
    <row r="105" spans="1:7" s="142" customFormat="1" ht="13.5" customHeight="1">
      <c r="A105" s="1103"/>
      <c r="B105" s="1104"/>
      <c r="C105" s="1104"/>
      <c r="D105" s="1104"/>
      <c r="E105" s="1105"/>
      <c r="F105" s="143"/>
      <c r="G105" s="374"/>
    </row>
    <row r="106" spans="1:7" s="142" customFormat="1" ht="13.5" customHeight="1">
      <c r="A106" s="1103"/>
      <c r="B106" s="1104"/>
      <c r="C106" s="1104"/>
      <c r="D106" s="1104"/>
      <c r="E106" s="1105"/>
      <c r="F106" s="143"/>
      <c r="G106" s="374"/>
    </row>
    <row r="107" spans="1:7" s="12" customFormat="1" ht="13.5" customHeight="1">
      <c r="A107" s="1103"/>
      <c r="B107" s="1104"/>
      <c r="C107" s="1104"/>
      <c r="D107" s="1104"/>
      <c r="E107" s="1105"/>
      <c r="F107" s="143"/>
      <c r="G107" s="374"/>
    </row>
    <row r="108" spans="1:7" s="12" customFormat="1" ht="24.75" customHeight="1" thickBot="1">
      <c r="A108" s="1106"/>
      <c r="B108" s="1107"/>
      <c r="C108" s="1107"/>
      <c r="D108" s="1107"/>
      <c r="E108" s="1108"/>
      <c r="F108" s="143"/>
      <c r="G108" s="374"/>
    </row>
    <row r="109" spans="1:7" s="12" customFormat="1" ht="13.5" customHeight="1">
      <c r="A109" s="40" t="s">
        <v>809</v>
      </c>
      <c r="B109" s="40"/>
      <c r="C109" s="24"/>
      <c r="D109" s="22"/>
      <c r="E109" s="303"/>
      <c r="F109" s="215"/>
      <c r="G109" s="344"/>
    </row>
    <row r="110" spans="1:7" s="12" customFormat="1" ht="13.5" customHeight="1">
      <c r="A110" s="40" t="s">
        <v>768</v>
      </c>
      <c r="B110" s="40"/>
      <c r="C110" s="24"/>
      <c r="D110" s="22"/>
      <c r="E110" s="303"/>
      <c r="F110" s="215"/>
      <c r="G110" s="344"/>
    </row>
    <row r="111" spans="1:7" s="12" customFormat="1" ht="13.5" customHeight="1">
      <c r="A111" s="40" t="s">
        <v>897</v>
      </c>
      <c r="B111" s="40"/>
      <c r="C111" s="24"/>
      <c r="D111" s="22"/>
      <c r="E111" s="303"/>
      <c r="F111" s="215"/>
      <c r="G111" s="344"/>
    </row>
    <row r="112" spans="1:7" s="12" customFormat="1" ht="13.5" customHeight="1" thickBot="1">
      <c r="A112" s="75" t="s">
        <v>11</v>
      </c>
      <c r="B112" s="75"/>
      <c r="C112" s="360"/>
      <c r="D112" s="376"/>
      <c r="E112" s="361"/>
      <c r="F112" s="215"/>
      <c r="G112" s="344"/>
    </row>
    <row r="113" spans="1:7" s="249" customFormat="1" ht="13.5" customHeight="1" thickBot="1">
      <c r="A113" s="596" t="s">
        <v>0</v>
      </c>
      <c r="B113" s="596"/>
      <c r="C113" s="735"/>
      <c r="D113" s="690"/>
      <c r="E113" s="600">
        <f>+C115+C132+C144</f>
        <v>1171210</v>
      </c>
      <c r="F113" s="377"/>
      <c r="G113" s="344"/>
    </row>
    <row r="114" spans="3:7" s="12" customFormat="1" ht="13.5" customHeight="1" thickBot="1">
      <c r="C114" s="24"/>
      <c r="D114" s="378"/>
      <c r="F114" s="327"/>
      <c r="G114" s="344"/>
    </row>
    <row r="115" spans="1:7" s="12" customFormat="1" ht="13.5" customHeight="1" thickBot="1">
      <c r="A115" s="992" t="s">
        <v>2</v>
      </c>
      <c r="B115" s="993"/>
      <c r="C115" s="602">
        <f>C116+C118+C120+C125+C127+C123</f>
        <v>400040</v>
      </c>
      <c r="D115" s="382"/>
      <c r="E115" s="249"/>
      <c r="F115" s="249"/>
      <c r="G115" s="379"/>
    </row>
    <row r="116" spans="1:8" s="3" customFormat="1" ht="13.5">
      <c r="A116" s="11" t="s">
        <v>103</v>
      </c>
      <c r="B116" s="281" t="s">
        <v>104</v>
      </c>
      <c r="C116" s="32">
        <f>SUM(C117)</f>
        <v>23750</v>
      </c>
      <c r="D116" s="340"/>
      <c r="E116" s="383"/>
      <c r="F116" s="383"/>
      <c r="G116" s="341"/>
      <c r="H116" s="1"/>
    </row>
    <row r="117" spans="1:8" s="3" customFormat="1" ht="13.5">
      <c r="A117" s="12" t="s">
        <v>46</v>
      </c>
      <c r="B117" s="12" t="s">
        <v>45</v>
      </c>
      <c r="C117" s="24">
        <v>23750</v>
      </c>
      <c r="D117" s="340"/>
      <c r="E117" s="336"/>
      <c r="F117" s="336"/>
      <c r="G117" s="374"/>
      <c r="H117" s="1"/>
    </row>
    <row r="118" spans="1:8" s="3" customFormat="1" ht="13.5">
      <c r="A118" s="11" t="s">
        <v>105</v>
      </c>
      <c r="B118" s="11" t="s">
        <v>106</v>
      </c>
      <c r="C118" s="31">
        <f>SUM(C119:C119)</f>
        <v>41400</v>
      </c>
      <c r="D118" s="336"/>
      <c r="E118" s="336"/>
      <c r="F118" s="336"/>
      <c r="G118" s="374"/>
      <c r="H118" s="1"/>
    </row>
    <row r="119" spans="1:8" s="5" customFormat="1" ht="13.5">
      <c r="A119" s="12" t="s">
        <v>86</v>
      </c>
      <c r="B119" s="71" t="s">
        <v>66</v>
      </c>
      <c r="C119" s="24">
        <v>41400</v>
      </c>
      <c r="D119" s="384"/>
      <c r="E119" s="336"/>
      <c r="F119" s="336"/>
      <c r="G119" s="1"/>
      <c r="H119" s="142"/>
    </row>
    <row r="120" spans="1:8" s="5" customFormat="1" ht="13.5">
      <c r="A120" s="11" t="s">
        <v>107</v>
      </c>
      <c r="B120" s="249" t="s">
        <v>108</v>
      </c>
      <c r="C120" s="31">
        <f>SUM(C121:C122)</f>
        <v>169600</v>
      </c>
      <c r="D120" s="384"/>
      <c r="E120" s="336"/>
      <c r="F120" s="336"/>
      <c r="G120" s="1"/>
      <c r="H120" s="142"/>
    </row>
    <row r="121" spans="1:8" s="5" customFormat="1" ht="13.5">
      <c r="A121" s="12" t="s">
        <v>47</v>
      </c>
      <c r="B121" s="23" t="s">
        <v>48</v>
      </c>
      <c r="C121" s="24">
        <v>138600</v>
      </c>
      <c r="D121" s="384"/>
      <c r="E121" s="336"/>
      <c r="F121" s="336"/>
      <c r="G121" s="385"/>
      <c r="H121" s="142"/>
    </row>
    <row r="122" spans="1:8" s="5" customFormat="1" ht="13.5">
      <c r="A122" s="12" t="s">
        <v>453</v>
      </c>
      <c r="B122" s="42" t="s">
        <v>454</v>
      </c>
      <c r="C122" s="24">
        <v>31000</v>
      </c>
      <c r="D122" s="384"/>
      <c r="E122" s="336"/>
      <c r="F122" s="336"/>
      <c r="G122" s="385"/>
      <c r="H122" s="142"/>
    </row>
    <row r="123" spans="1:8" s="5" customFormat="1" ht="13.5">
      <c r="A123" s="11" t="s">
        <v>119</v>
      </c>
      <c r="B123" s="505" t="s">
        <v>192</v>
      </c>
      <c r="C123" s="31">
        <f>SUM(C124)</f>
        <v>68000</v>
      </c>
      <c r="D123" s="384"/>
      <c r="E123" s="336"/>
      <c r="F123" s="336"/>
      <c r="G123" s="385"/>
      <c r="H123" s="142"/>
    </row>
    <row r="124" spans="1:8" s="5" customFormat="1" ht="13.5">
      <c r="A124" s="12" t="s">
        <v>187</v>
      </c>
      <c r="B124" s="42" t="s">
        <v>186</v>
      </c>
      <c r="C124" s="24">
        <v>68000</v>
      </c>
      <c r="D124" s="384"/>
      <c r="E124" s="336"/>
      <c r="F124" s="336"/>
      <c r="G124" s="385"/>
      <c r="H124" s="142"/>
    </row>
    <row r="125" spans="1:8" s="5" customFormat="1" ht="13.5">
      <c r="A125" s="249" t="s">
        <v>124</v>
      </c>
      <c r="B125" s="25" t="s">
        <v>123</v>
      </c>
      <c r="C125" s="31">
        <f>SUM(C126)</f>
        <v>15000</v>
      </c>
      <c r="D125" s="384"/>
      <c r="E125" s="336"/>
      <c r="F125" s="336"/>
      <c r="G125" s="385"/>
      <c r="H125" s="142"/>
    </row>
    <row r="126" spans="1:8" s="5" customFormat="1" ht="13.5">
      <c r="A126" s="71" t="s">
        <v>93</v>
      </c>
      <c r="B126" s="24" t="s">
        <v>72</v>
      </c>
      <c r="C126" s="24">
        <v>15000</v>
      </c>
      <c r="D126" s="336"/>
      <c r="E126" s="336"/>
      <c r="F126" s="336"/>
      <c r="G126" s="374"/>
      <c r="H126" s="142"/>
    </row>
    <row r="127" spans="1:8" s="249" customFormat="1" ht="13.5" customHeight="1">
      <c r="A127" s="249" t="s">
        <v>150</v>
      </c>
      <c r="B127" s="25" t="s">
        <v>125</v>
      </c>
      <c r="C127" s="31">
        <f>SUM(C128:C130)</f>
        <v>82290</v>
      </c>
      <c r="D127" s="336"/>
      <c r="E127" s="336"/>
      <c r="F127" s="336"/>
      <c r="G127" s="374"/>
      <c r="H127" s="11"/>
    </row>
    <row r="128" spans="1:8" s="249" customFormat="1" ht="13.5" customHeight="1">
      <c r="A128" s="71" t="s">
        <v>152</v>
      </c>
      <c r="B128" s="24" t="s">
        <v>70</v>
      </c>
      <c r="C128" s="24">
        <v>14490</v>
      </c>
      <c r="D128" s="336"/>
      <c r="E128" s="336"/>
      <c r="F128" s="336"/>
      <c r="G128" s="374"/>
      <c r="H128" s="11"/>
    </row>
    <row r="129" spans="1:7" s="332" customFormat="1" ht="13.5">
      <c r="A129" s="71" t="s">
        <v>154</v>
      </c>
      <c r="B129" s="23" t="s">
        <v>125</v>
      </c>
      <c r="C129" s="24">
        <v>30360</v>
      </c>
      <c r="D129" s="386"/>
      <c r="E129" s="336"/>
      <c r="F129" s="336"/>
      <c r="G129" s="385"/>
    </row>
    <row r="130" spans="1:7" s="3" customFormat="1" ht="13.5">
      <c r="A130" s="71" t="s">
        <v>643</v>
      </c>
      <c r="B130" s="42" t="s">
        <v>642</v>
      </c>
      <c r="C130" s="24">
        <v>37440</v>
      </c>
      <c r="D130" s="386"/>
      <c r="E130" s="336"/>
      <c r="F130" s="336"/>
      <c r="G130" s="385"/>
    </row>
    <row r="131" spans="2:8" s="71" customFormat="1" ht="13.5" customHeight="1" thickBot="1">
      <c r="B131" s="24"/>
      <c r="C131" s="24"/>
      <c r="D131" s="340"/>
      <c r="E131" s="336"/>
      <c r="F131" s="336"/>
      <c r="G131" s="374"/>
      <c r="H131" s="24"/>
    </row>
    <row r="132" spans="1:8" s="71" customFormat="1" ht="13.5" customHeight="1" thickBot="1">
      <c r="A132" s="994" t="s">
        <v>3</v>
      </c>
      <c r="B132" s="995"/>
      <c r="C132" s="603">
        <f>+C135+C137+C139+C133</f>
        <v>673370</v>
      </c>
      <c r="D132" s="336"/>
      <c r="E132" s="382"/>
      <c r="F132" s="382"/>
      <c r="G132" s="351"/>
      <c r="H132" s="24"/>
    </row>
    <row r="133" spans="1:8" s="71" customFormat="1" ht="13.5" customHeight="1">
      <c r="A133" s="249" t="s">
        <v>110</v>
      </c>
      <c r="B133" s="281" t="s">
        <v>111</v>
      </c>
      <c r="C133" s="32">
        <f>SUM(C134)</f>
        <v>33120</v>
      </c>
      <c r="D133" s="331"/>
      <c r="E133" s="223"/>
      <c r="F133" s="340"/>
      <c r="G133" s="332"/>
      <c r="H133" s="24"/>
    </row>
    <row r="134" spans="1:8" s="71" customFormat="1" ht="13.5" customHeight="1">
      <c r="A134" s="71" t="s">
        <v>52</v>
      </c>
      <c r="B134" s="24" t="s">
        <v>15</v>
      </c>
      <c r="C134" s="24">
        <v>33120</v>
      </c>
      <c r="D134" s="14"/>
      <c r="E134" s="117"/>
      <c r="F134" s="336"/>
      <c r="G134" s="385"/>
      <c r="H134" s="24"/>
    </row>
    <row r="135" spans="1:12" s="71" customFormat="1" ht="13.5" customHeight="1">
      <c r="A135" s="11" t="s">
        <v>120</v>
      </c>
      <c r="B135" s="31" t="s">
        <v>121</v>
      </c>
      <c r="C135" s="31">
        <f>SUM(C136)</f>
        <v>13500</v>
      </c>
      <c r="D135" s="336"/>
      <c r="E135" s="336"/>
      <c r="F135" s="336"/>
      <c r="G135" s="344"/>
      <c r="H135" s="341"/>
      <c r="I135" s="12"/>
      <c r="J135" s="12"/>
      <c r="K135" s="12"/>
      <c r="L135" s="12"/>
    </row>
    <row r="136" spans="1:12" s="71" customFormat="1" ht="13.5" customHeight="1">
      <c r="A136" s="12" t="s">
        <v>136</v>
      </c>
      <c r="B136" s="12" t="s">
        <v>71</v>
      </c>
      <c r="C136" s="24">
        <v>13500</v>
      </c>
      <c r="D136" s="336"/>
      <c r="E136" s="336"/>
      <c r="F136" s="336"/>
      <c r="G136" s="344"/>
      <c r="H136" s="336"/>
      <c r="I136" s="12"/>
      <c r="J136" s="12"/>
      <c r="K136" s="12"/>
      <c r="L136" s="12"/>
    </row>
    <row r="137" spans="1:12" s="71" customFormat="1" ht="13.5" customHeight="1">
      <c r="A137" s="249" t="s">
        <v>112</v>
      </c>
      <c r="B137" s="31" t="s">
        <v>156</v>
      </c>
      <c r="C137" s="31">
        <f>SUM(C138:C138)</f>
        <v>315000</v>
      </c>
      <c r="D137" s="336"/>
      <c r="E137" s="336"/>
      <c r="F137" s="336"/>
      <c r="G137" s="344"/>
      <c r="H137" s="344"/>
      <c r="I137" s="12"/>
      <c r="J137" s="12"/>
      <c r="K137" s="12"/>
      <c r="L137" s="12"/>
    </row>
    <row r="138" spans="1:7" s="11" customFormat="1" ht="13.5" customHeight="1">
      <c r="A138" s="71" t="s">
        <v>49</v>
      </c>
      <c r="B138" s="24" t="s">
        <v>87</v>
      </c>
      <c r="C138" s="24">
        <f>157500*2</f>
        <v>315000</v>
      </c>
      <c r="D138" s="71"/>
      <c r="E138" s="335"/>
      <c r="F138" s="117"/>
      <c r="G138" s="387"/>
    </row>
    <row r="139" spans="1:12" s="71" customFormat="1" ht="13.5" customHeight="1">
      <c r="A139" s="249" t="s">
        <v>115</v>
      </c>
      <c r="B139" s="31" t="s">
        <v>8</v>
      </c>
      <c r="C139" s="31">
        <f>SUM(C140:C142)</f>
        <v>311750</v>
      </c>
      <c r="E139" s="335"/>
      <c r="F139" s="336"/>
      <c r="G139" s="344"/>
      <c r="H139" s="12"/>
      <c r="I139" s="12"/>
      <c r="J139" s="24"/>
      <c r="K139" s="12"/>
      <c r="L139" s="12"/>
    </row>
    <row r="140" spans="1:12" s="71" customFormat="1" ht="13.5" customHeight="1">
      <c r="A140" s="71" t="s">
        <v>92</v>
      </c>
      <c r="B140" s="24" t="s">
        <v>8</v>
      </c>
      <c r="C140" s="24">
        <v>165000</v>
      </c>
      <c r="E140" s="336"/>
      <c r="F140" s="335"/>
      <c r="G140" s="346"/>
      <c r="H140" s="12"/>
      <c r="I140" s="12"/>
      <c r="J140" s="12"/>
      <c r="K140" s="12"/>
      <c r="L140" s="12"/>
    </row>
    <row r="141" spans="1:10" s="100" customFormat="1" ht="13.5" customHeight="1">
      <c r="A141" s="71" t="s">
        <v>223</v>
      </c>
      <c r="B141" s="12" t="s">
        <v>222</v>
      </c>
      <c r="C141" s="24">
        <v>105500</v>
      </c>
      <c r="D141" s="336"/>
      <c r="E141" s="336"/>
      <c r="F141" s="336"/>
      <c r="G141" s="344"/>
      <c r="H141" s="339"/>
      <c r="I141" s="340"/>
      <c r="J141" s="340"/>
    </row>
    <row r="142" spans="1:7" s="5" customFormat="1" ht="13.5">
      <c r="A142" s="71" t="s">
        <v>90</v>
      </c>
      <c r="B142" s="24" t="s">
        <v>7</v>
      </c>
      <c r="C142" s="24">
        <v>41250</v>
      </c>
      <c r="D142" s="336"/>
      <c r="E142" s="335"/>
      <c r="F142" s="336"/>
      <c r="G142" s="344"/>
    </row>
    <row r="143" spans="1:7" s="5" customFormat="1" ht="14.25" thickBot="1">
      <c r="A143" s="71"/>
      <c r="B143" s="24"/>
      <c r="C143" s="24"/>
      <c r="D143" s="346"/>
      <c r="E143" s="336"/>
      <c r="F143" s="335"/>
      <c r="G143" s="346"/>
    </row>
    <row r="144" spans="1:7" s="5" customFormat="1" ht="14.25" thickBot="1">
      <c r="A144" s="996" t="s">
        <v>4</v>
      </c>
      <c r="B144" s="997"/>
      <c r="C144" s="605">
        <f>C145+C149</f>
        <v>97800</v>
      </c>
      <c r="D144" s="389"/>
      <c r="E144" s="336"/>
      <c r="F144" s="337"/>
      <c r="G144" s="338"/>
    </row>
    <row r="145" spans="1:7" s="5" customFormat="1" ht="13.5">
      <c r="A145" s="249" t="s">
        <v>116</v>
      </c>
      <c r="B145" s="281" t="s">
        <v>117</v>
      </c>
      <c r="C145" s="32">
        <f>SUM(C146:C148)</f>
        <v>83800</v>
      </c>
      <c r="D145" s="340"/>
      <c r="E145" s="336"/>
      <c r="F145" s="340"/>
      <c r="G145" s="341"/>
    </row>
    <row r="146" spans="1:7" s="5" customFormat="1" ht="13.5">
      <c r="A146" s="71" t="s">
        <v>91</v>
      </c>
      <c r="B146" s="71" t="s">
        <v>139</v>
      </c>
      <c r="C146" s="24">
        <v>30000</v>
      </c>
      <c r="D146" s="335"/>
      <c r="E146" s="335"/>
      <c r="F146" s="335"/>
      <c r="G146" s="390"/>
    </row>
    <row r="147" spans="1:7" s="5" customFormat="1" ht="13.5">
      <c r="A147" s="71" t="s">
        <v>57</v>
      </c>
      <c r="B147" s="71" t="s">
        <v>58</v>
      </c>
      <c r="C147" s="24">
        <v>17000</v>
      </c>
      <c r="D147" s="335"/>
      <c r="E147" s="335"/>
      <c r="F147" s="335"/>
      <c r="G147" s="390"/>
    </row>
    <row r="148" spans="1:256" s="5" customFormat="1" ht="13.5">
      <c r="A148" s="71" t="s">
        <v>756</v>
      </c>
      <c r="B148" s="23" t="s">
        <v>757</v>
      </c>
      <c r="C148" s="54">
        <v>36800</v>
      </c>
      <c r="D148" s="200"/>
      <c r="E148" s="200"/>
      <c r="F148" s="200"/>
      <c r="G148" s="200"/>
      <c r="H148" s="200"/>
      <c r="I148" s="200"/>
      <c r="J148" s="200"/>
      <c r="K148" s="200"/>
      <c r="L148" s="200"/>
      <c r="M148" s="200"/>
      <c r="N148" s="200"/>
      <c r="O148" s="200"/>
      <c r="P148" s="200"/>
      <c r="Q148" s="200"/>
      <c r="R148" s="200"/>
      <c r="S148" s="200"/>
      <c r="T148" s="200"/>
      <c r="U148" s="200"/>
      <c r="V148" s="200"/>
      <c r="W148" s="200"/>
      <c r="X148" s="200"/>
      <c r="Y148" s="200"/>
      <c r="Z148" s="200"/>
      <c r="AA148" s="200"/>
      <c r="AB148" s="200"/>
      <c r="AC148" s="200"/>
      <c r="AD148" s="200"/>
      <c r="AE148" s="200"/>
      <c r="AF148" s="200"/>
      <c r="AG148" s="200"/>
      <c r="AH148" s="200"/>
      <c r="AI148" s="200"/>
      <c r="AJ148" s="200"/>
      <c r="AK148" s="200"/>
      <c r="AL148" s="200"/>
      <c r="AM148" s="200"/>
      <c r="AN148" s="200"/>
      <c r="AO148" s="200"/>
      <c r="AP148" s="200"/>
      <c r="AQ148" s="200"/>
      <c r="AR148" s="200"/>
      <c r="AS148" s="200"/>
      <c r="AT148" s="200"/>
      <c r="AU148" s="200"/>
      <c r="AV148" s="200"/>
      <c r="AW148" s="200"/>
      <c r="AX148" s="200"/>
      <c r="AY148" s="200"/>
      <c r="AZ148" s="200"/>
      <c r="BA148" s="200"/>
      <c r="BB148" s="200"/>
      <c r="BC148" s="200"/>
      <c r="BD148" s="200"/>
      <c r="BE148" s="200"/>
      <c r="BF148" s="200"/>
      <c r="BG148" s="200"/>
      <c r="BH148" s="200"/>
      <c r="BI148" s="200"/>
      <c r="BJ148" s="200"/>
      <c r="BK148" s="200"/>
      <c r="BL148" s="200"/>
      <c r="BM148" s="200"/>
      <c r="BN148" s="200"/>
      <c r="BO148" s="200"/>
      <c r="BP148" s="200"/>
      <c r="BQ148" s="200"/>
      <c r="BR148" s="200"/>
      <c r="BS148" s="200"/>
      <c r="BT148" s="200"/>
      <c r="BU148" s="200"/>
      <c r="BV148" s="200"/>
      <c r="BW148" s="200"/>
      <c r="BX148" s="200"/>
      <c r="BY148" s="200"/>
      <c r="BZ148" s="200"/>
      <c r="CA148" s="200"/>
      <c r="CB148" s="200"/>
      <c r="CC148" s="200"/>
      <c r="CD148" s="200"/>
      <c r="CE148" s="200"/>
      <c r="CF148" s="200"/>
      <c r="CG148" s="200"/>
      <c r="CH148" s="200"/>
      <c r="CI148" s="200"/>
      <c r="CJ148" s="200"/>
      <c r="CK148" s="200"/>
      <c r="CL148" s="200"/>
      <c r="CM148" s="200"/>
      <c r="CN148" s="200"/>
      <c r="CO148" s="200"/>
      <c r="CP148" s="200"/>
      <c r="CQ148" s="200"/>
      <c r="CR148" s="200"/>
      <c r="CS148" s="200"/>
      <c r="CT148" s="200"/>
      <c r="CU148" s="200"/>
      <c r="CV148" s="200"/>
      <c r="CW148" s="200"/>
      <c r="CX148" s="200"/>
      <c r="CY148" s="200"/>
      <c r="CZ148" s="200"/>
      <c r="DA148" s="200"/>
      <c r="DB148" s="200"/>
      <c r="DC148" s="200"/>
      <c r="DD148" s="200"/>
      <c r="DE148" s="200"/>
      <c r="DF148" s="200"/>
      <c r="DG148" s="200"/>
      <c r="DH148" s="200"/>
      <c r="DI148" s="200"/>
      <c r="DJ148" s="200"/>
      <c r="DK148" s="200"/>
      <c r="DL148" s="200"/>
      <c r="DM148" s="200"/>
      <c r="DN148" s="200"/>
      <c r="DO148" s="200"/>
      <c r="DP148" s="200"/>
      <c r="DQ148" s="200"/>
      <c r="DR148" s="200"/>
      <c r="DS148" s="200"/>
      <c r="DT148" s="200"/>
      <c r="DU148" s="200"/>
      <c r="DV148" s="200"/>
      <c r="DW148" s="200"/>
      <c r="DX148" s="200"/>
      <c r="DY148" s="200"/>
      <c r="DZ148" s="200"/>
      <c r="EA148" s="200"/>
      <c r="EB148" s="200"/>
      <c r="EC148" s="200"/>
      <c r="ED148" s="200"/>
      <c r="EE148" s="200"/>
      <c r="EF148" s="200"/>
      <c r="EG148" s="200"/>
      <c r="EH148" s="200"/>
      <c r="EI148" s="200"/>
      <c r="EJ148" s="200"/>
      <c r="EK148" s="200"/>
      <c r="EL148" s="200"/>
      <c r="EM148" s="200"/>
      <c r="EN148" s="200"/>
      <c r="EO148" s="200"/>
      <c r="EP148" s="200"/>
      <c r="EQ148" s="200"/>
      <c r="ER148" s="200"/>
      <c r="ES148" s="200"/>
      <c r="ET148" s="200"/>
      <c r="EU148" s="200"/>
      <c r="EV148" s="200"/>
      <c r="EW148" s="200"/>
      <c r="EX148" s="200"/>
      <c r="EY148" s="200"/>
      <c r="EZ148" s="200"/>
      <c r="FA148" s="200"/>
      <c r="FB148" s="200"/>
      <c r="FC148" s="200"/>
      <c r="FD148" s="200"/>
      <c r="FE148" s="200"/>
      <c r="FF148" s="200"/>
      <c r="FG148" s="200"/>
      <c r="FH148" s="200"/>
      <c r="FI148" s="200"/>
      <c r="FJ148" s="200"/>
      <c r="FK148" s="200"/>
      <c r="FL148" s="200"/>
      <c r="FM148" s="200"/>
      <c r="FN148" s="200"/>
      <c r="FO148" s="200"/>
      <c r="FP148" s="200"/>
      <c r="FQ148" s="200"/>
      <c r="FR148" s="200"/>
      <c r="FS148" s="200"/>
      <c r="FT148" s="200"/>
      <c r="FU148" s="200"/>
      <c r="FV148" s="200"/>
      <c r="FW148" s="200"/>
      <c r="FX148" s="200"/>
      <c r="FY148" s="200"/>
      <c r="FZ148" s="200"/>
      <c r="GA148" s="200"/>
      <c r="GB148" s="200"/>
      <c r="GC148" s="200"/>
      <c r="GD148" s="200"/>
      <c r="GE148" s="200"/>
      <c r="GF148" s="200"/>
      <c r="GG148" s="200"/>
      <c r="GH148" s="200"/>
      <c r="GI148" s="200"/>
      <c r="GJ148" s="200"/>
      <c r="GK148" s="200"/>
      <c r="GL148" s="200"/>
      <c r="GM148" s="200"/>
      <c r="GN148" s="200"/>
      <c r="GO148" s="200"/>
      <c r="GP148" s="200"/>
      <c r="GQ148" s="200"/>
      <c r="GR148" s="200"/>
      <c r="GS148" s="200"/>
      <c r="GT148" s="200"/>
      <c r="GU148" s="200"/>
      <c r="GV148" s="200"/>
      <c r="GW148" s="200"/>
      <c r="GX148" s="200"/>
      <c r="GY148" s="200"/>
      <c r="GZ148" s="200"/>
      <c r="HA148" s="200"/>
      <c r="HB148" s="200"/>
      <c r="HC148" s="200"/>
      <c r="HD148" s="200"/>
      <c r="HE148" s="200"/>
      <c r="HF148" s="200"/>
      <c r="HG148" s="200"/>
      <c r="HH148" s="200"/>
      <c r="HI148" s="200"/>
      <c r="HJ148" s="200"/>
      <c r="HK148" s="200"/>
      <c r="HL148" s="200"/>
      <c r="HM148" s="200"/>
      <c r="HN148" s="200"/>
      <c r="HO148" s="200"/>
      <c r="HP148" s="200"/>
      <c r="HQ148" s="200"/>
      <c r="HR148" s="200"/>
      <c r="HS148" s="200"/>
      <c r="HT148" s="200"/>
      <c r="HU148" s="200"/>
      <c r="HV148" s="200"/>
      <c r="HW148" s="200"/>
      <c r="HX148" s="200"/>
      <c r="HY148" s="200"/>
      <c r="HZ148" s="200"/>
      <c r="IA148" s="200"/>
      <c r="IB148" s="200"/>
      <c r="IC148" s="200"/>
      <c r="ID148" s="200"/>
      <c r="IE148" s="200"/>
      <c r="IF148" s="200"/>
      <c r="IG148" s="200"/>
      <c r="IH148" s="200"/>
      <c r="II148" s="200"/>
      <c r="IJ148" s="200"/>
      <c r="IK148" s="200"/>
      <c r="IL148" s="200"/>
      <c r="IM148" s="200"/>
      <c r="IN148" s="200"/>
      <c r="IO148" s="200"/>
      <c r="IP148" s="200"/>
      <c r="IQ148" s="200"/>
      <c r="IR148" s="200"/>
      <c r="IS148" s="200"/>
      <c r="IT148" s="200"/>
      <c r="IU148" s="200"/>
      <c r="IV148" s="200"/>
    </row>
    <row r="149" spans="1:7" s="1" customFormat="1" ht="13.5">
      <c r="A149" s="249" t="s">
        <v>165</v>
      </c>
      <c r="B149" s="25" t="s">
        <v>134</v>
      </c>
      <c r="C149" s="31">
        <f>SUM(C150)</f>
        <v>14000</v>
      </c>
      <c r="D149" s="335"/>
      <c r="E149" s="335"/>
      <c r="F149" s="335"/>
      <c r="G149" s="390"/>
    </row>
    <row r="150" spans="1:7" s="1" customFormat="1" ht="13.5">
      <c r="A150" s="71" t="s">
        <v>166</v>
      </c>
      <c r="B150" s="23" t="s">
        <v>51</v>
      </c>
      <c r="C150" s="24">
        <v>14000</v>
      </c>
      <c r="D150" s="335"/>
      <c r="E150" s="335"/>
      <c r="F150" s="335"/>
      <c r="G150" s="390"/>
    </row>
    <row r="151" spans="1:7" s="1" customFormat="1" ht="13.5">
      <c r="A151" s="71"/>
      <c r="B151" s="23"/>
      <c r="C151" s="24"/>
      <c r="D151" s="335"/>
      <c r="E151" s="335"/>
      <c r="F151" s="335"/>
      <c r="G151" s="390"/>
    </row>
    <row r="152" spans="1:7" s="1" customFormat="1" ht="14.25" thickBot="1">
      <c r="A152" s="71"/>
      <c r="B152" s="23"/>
      <c r="C152" s="24"/>
      <c r="D152" s="335"/>
      <c r="E152" s="335"/>
      <c r="F152" s="335"/>
      <c r="G152" s="390"/>
    </row>
    <row r="153" spans="1:7" s="109" customFormat="1" ht="13.5" customHeight="1">
      <c r="A153" s="988" t="s">
        <v>898</v>
      </c>
      <c r="B153" s="1009"/>
      <c r="C153" s="989"/>
      <c r="D153" s="627" t="s">
        <v>6</v>
      </c>
      <c r="E153" s="759" t="s">
        <v>940</v>
      </c>
      <c r="F153" s="328"/>
      <c r="G153" s="1"/>
    </row>
    <row r="154" spans="1:7" s="109" customFormat="1" ht="13.5" customHeight="1" thickBot="1">
      <c r="A154" s="990"/>
      <c r="B154" s="1010"/>
      <c r="C154" s="991"/>
      <c r="D154" s="630"/>
      <c r="E154" s="845"/>
      <c r="F154" s="328"/>
      <c r="G154" s="1"/>
    </row>
    <row r="155" spans="1:7" s="109" customFormat="1" ht="13.5" customHeight="1">
      <c r="A155" s="1100" t="s">
        <v>899</v>
      </c>
      <c r="B155" s="1101"/>
      <c r="C155" s="1101"/>
      <c r="D155" s="1101"/>
      <c r="E155" s="1102"/>
      <c r="F155" s="574"/>
      <c r="G155" s="574"/>
    </row>
    <row r="156" spans="1:7" s="109" customFormat="1" ht="13.5" customHeight="1">
      <c r="A156" s="1103"/>
      <c r="B156" s="1104"/>
      <c r="C156" s="1104"/>
      <c r="D156" s="1104"/>
      <c r="E156" s="1105"/>
      <c r="F156" s="574"/>
      <c r="G156" s="574"/>
    </row>
    <row r="157" spans="1:7" s="109" customFormat="1" ht="13.5" customHeight="1">
      <c r="A157" s="1103"/>
      <c r="B157" s="1104"/>
      <c r="C157" s="1104"/>
      <c r="D157" s="1104"/>
      <c r="E157" s="1105"/>
      <c r="F157" s="574"/>
      <c r="G157" s="574"/>
    </row>
    <row r="158" spans="1:7" s="109" customFormat="1" ht="13.5" customHeight="1">
      <c r="A158" s="1103"/>
      <c r="B158" s="1104"/>
      <c r="C158" s="1104"/>
      <c r="D158" s="1104"/>
      <c r="E158" s="1105"/>
      <c r="F158" s="574"/>
      <c r="G158" s="574"/>
    </row>
    <row r="159" spans="1:7" s="109" customFormat="1" ht="13.5" customHeight="1">
      <c r="A159" s="1103"/>
      <c r="B159" s="1104"/>
      <c r="C159" s="1104"/>
      <c r="D159" s="1104"/>
      <c r="E159" s="1105"/>
      <c r="F159" s="575"/>
      <c r="G159" s="575"/>
    </row>
    <row r="160" spans="1:7" s="109" customFormat="1" ht="13.5" customHeight="1">
      <c r="A160" s="1103"/>
      <c r="B160" s="1104"/>
      <c r="C160" s="1104"/>
      <c r="D160" s="1104"/>
      <c r="E160" s="1105"/>
      <c r="F160" s="574"/>
      <c r="G160" s="574"/>
    </row>
    <row r="161" spans="1:7" s="109" customFormat="1" ht="13.5" customHeight="1">
      <c r="A161" s="1103"/>
      <c r="B161" s="1104"/>
      <c r="C161" s="1104"/>
      <c r="D161" s="1104"/>
      <c r="E161" s="1105"/>
      <c r="F161" s="574"/>
      <c r="G161" s="574"/>
    </row>
    <row r="162" spans="1:7" s="109" customFormat="1" ht="13.5" customHeight="1">
      <c r="A162" s="1103"/>
      <c r="B162" s="1104"/>
      <c r="C162" s="1104"/>
      <c r="D162" s="1104"/>
      <c r="E162" s="1105"/>
      <c r="F162" s="574"/>
      <c r="G162" s="574"/>
    </row>
    <row r="163" spans="1:7" s="12" customFormat="1" ht="13.5" customHeight="1">
      <c r="A163" s="1103"/>
      <c r="B163" s="1104"/>
      <c r="C163" s="1104"/>
      <c r="D163" s="1104"/>
      <c r="E163" s="1105"/>
      <c r="F163" s="574"/>
      <c r="G163" s="574"/>
    </row>
    <row r="164" spans="1:7" s="12" customFormat="1" ht="18" customHeight="1">
      <c r="A164" s="1103"/>
      <c r="B164" s="1104"/>
      <c r="C164" s="1104"/>
      <c r="D164" s="1104"/>
      <c r="E164" s="1105"/>
      <c r="F164" s="574"/>
      <c r="G164" s="574"/>
    </row>
    <row r="165" spans="1:7" s="12" customFormat="1" ht="18" customHeight="1">
      <c r="A165" s="1103"/>
      <c r="B165" s="1104"/>
      <c r="C165" s="1104"/>
      <c r="D165" s="1104"/>
      <c r="E165" s="1105"/>
      <c r="F165" s="574"/>
      <c r="G165" s="574"/>
    </row>
    <row r="166" spans="1:7" s="12" customFormat="1" ht="25.5" customHeight="1" thickBot="1">
      <c r="A166" s="1106"/>
      <c r="B166" s="1107"/>
      <c r="C166" s="1107"/>
      <c r="D166" s="1107"/>
      <c r="E166" s="1108"/>
      <c r="F166" s="574"/>
      <c r="G166" s="574"/>
    </row>
    <row r="167" spans="1:5" s="1" customFormat="1" ht="13.5">
      <c r="A167" s="40" t="s">
        <v>809</v>
      </c>
      <c r="B167" s="12"/>
      <c r="C167" s="24"/>
      <c r="D167" s="24"/>
      <c r="E167" s="303"/>
    </row>
    <row r="168" spans="1:7" s="1" customFormat="1" ht="13.5">
      <c r="A168" s="40" t="s">
        <v>571</v>
      </c>
      <c r="B168" s="40"/>
      <c r="C168" s="24"/>
      <c r="D168" s="22"/>
      <c r="E168" s="303"/>
      <c r="F168" s="12"/>
      <c r="G168" s="12"/>
    </row>
    <row r="169" spans="1:7" s="3" customFormat="1" ht="13.5">
      <c r="A169" s="40" t="s">
        <v>644</v>
      </c>
      <c r="B169" s="40"/>
      <c r="C169" s="24"/>
      <c r="D169" s="22"/>
      <c r="E169" s="303"/>
      <c r="F169" s="12"/>
      <c r="G169" s="12"/>
    </row>
    <row r="170" spans="1:7" s="332" customFormat="1" ht="14.25" thickBot="1">
      <c r="A170" s="75" t="s">
        <v>11</v>
      </c>
      <c r="B170" s="75"/>
      <c r="C170" s="360"/>
      <c r="D170" s="376"/>
      <c r="E170" s="361"/>
      <c r="F170" s="215"/>
      <c r="G170" s="344"/>
    </row>
    <row r="171" spans="1:7" s="3" customFormat="1" ht="14.25" thickBot="1">
      <c r="A171" s="697" t="s">
        <v>14</v>
      </c>
      <c r="B171" s="698"/>
      <c r="C171" s="699"/>
      <c r="D171" s="701"/>
      <c r="E171" s="707">
        <f>C173+C191+C202+C209</f>
        <v>25334160</v>
      </c>
      <c r="F171" s="391"/>
      <c r="G171" s="14"/>
    </row>
    <row r="172" spans="1:7" s="3" customFormat="1" ht="14.25" thickBot="1">
      <c r="A172" s="11"/>
      <c r="B172" s="11"/>
      <c r="C172" s="31"/>
      <c r="D172" s="31"/>
      <c r="E172" s="1"/>
      <c r="F172" s="327"/>
      <c r="G172" s="14"/>
    </row>
    <row r="173" spans="1:8" s="3" customFormat="1" ht="14.25" thickBot="1">
      <c r="A173" s="992" t="s">
        <v>2</v>
      </c>
      <c r="B173" s="993"/>
      <c r="C173" s="602">
        <f>C174+C179+C181+C187+C183+C176</f>
        <v>380850</v>
      </c>
      <c r="D173" s="18"/>
      <c r="F173" s="327"/>
      <c r="H173" s="1"/>
    </row>
    <row r="174" spans="1:8" s="3" customFormat="1" ht="13.5">
      <c r="A174" s="11" t="s">
        <v>103</v>
      </c>
      <c r="B174" s="281" t="s">
        <v>104</v>
      </c>
      <c r="C174" s="32">
        <f>SUM(C175)</f>
        <v>13120</v>
      </c>
      <c r="D174" s="331"/>
      <c r="E174" s="332"/>
      <c r="F174" s="329"/>
      <c r="G174" s="332"/>
      <c r="H174" s="1"/>
    </row>
    <row r="175" spans="1:7" s="3" customFormat="1" ht="13.5">
      <c r="A175" s="12" t="s">
        <v>46</v>
      </c>
      <c r="B175" s="12" t="s">
        <v>45</v>
      </c>
      <c r="C175" s="24">
        <v>13120</v>
      </c>
      <c r="D175" s="14"/>
      <c r="E175" s="117"/>
      <c r="F175" s="336"/>
      <c r="G175" s="385"/>
    </row>
    <row r="176" spans="1:7" s="3" customFormat="1" ht="13.5">
      <c r="A176" s="11" t="s">
        <v>200</v>
      </c>
      <c r="B176" s="11" t="s">
        <v>220</v>
      </c>
      <c r="C176" s="31">
        <f>SUM(C177:C178)</f>
        <v>143500</v>
      </c>
      <c r="D176" s="100"/>
      <c r="E176" s="12"/>
      <c r="F176" s="374"/>
      <c r="G176" s="12"/>
    </row>
    <row r="177" spans="1:7" s="3" customFormat="1" ht="13.5">
      <c r="A177" s="12" t="s">
        <v>198</v>
      </c>
      <c r="B177" s="12" t="s">
        <v>452</v>
      </c>
      <c r="C177" s="24">
        <v>68500</v>
      </c>
      <c r="D177" s="405"/>
      <c r="E177" s="12"/>
      <c r="F177" s="374"/>
      <c r="G177" s="12"/>
    </row>
    <row r="178" spans="1:7" s="3" customFormat="1" ht="13.5">
      <c r="A178" s="12" t="s">
        <v>228</v>
      </c>
      <c r="B178" s="69" t="s">
        <v>227</v>
      </c>
      <c r="C178" s="24">
        <v>75000</v>
      </c>
      <c r="D178" s="12"/>
      <c r="E178" s="12"/>
      <c r="F178" s="12"/>
      <c r="G178" s="12"/>
    </row>
    <row r="179" spans="1:7" s="3" customFormat="1" ht="13.5">
      <c r="A179" s="11" t="s">
        <v>105</v>
      </c>
      <c r="B179" s="11" t="s">
        <v>106</v>
      </c>
      <c r="C179" s="31">
        <f>SUM(C180)</f>
        <v>94900</v>
      </c>
      <c r="D179" s="14"/>
      <c r="E179" s="117"/>
      <c r="F179" s="336"/>
      <c r="G179" s="385"/>
    </row>
    <row r="180" spans="1:7" s="3" customFormat="1" ht="13.5">
      <c r="A180" s="12" t="s">
        <v>86</v>
      </c>
      <c r="B180" s="71" t="s">
        <v>66</v>
      </c>
      <c r="C180" s="24">
        <v>94900</v>
      </c>
      <c r="D180" s="281"/>
      <c r="F180" s="142"/>
      <c r="G180" s="1"/>
    </row>
    <row r="181" spans="1:7" s="3" customFormat="1" ht="13.5">
      <c r="A181" s="11" t="s">
        <v>107</v>
      </c>
      <c r="B181" s="249" t="s">
        <v>108</v>
      </c>
      <c r="C181" s="31">
        <f>SUM(C182)</f>
        <v>22260</v>
      </c>
      <c r="D181" s="281"/>
      <c r="F181" s="142"/>
      <c r="G181" s="1"/>
    </row>
    <row r="182" spans="1:7" s="3" customFormat="1" ht="13.5">
      <c r="A182" s="12" t="s">
        <v>47</v>
      </c>
      <c r="B182" s="23" t="s">
        <v>48</v>
      </c>
      <c r="C182" s="24">
        <v>22260</v>
      </c>
      <c r="D182" s="14"/>
      <c r="E182" s="5"/>
      <c r="F182" s="344"/>
      <c r="G182" s="385"/>
    </row>
    <row r="183" spans="1:7" s="3" customFormat="1" ht="13.5">
      <c r="A183" s="11" t="s">
        <v>119</v>
      </c>
      <c r="B183" s="505" t="s">
        <v>192</v>
      </c>
      <c r="C183" s="31">
        <f>SUM(C184:C186)</f>
        <v>38220</v>
      </c>
      <c r="D183" s="14"/>
      <c r="E183" s="5"/>
      <c r="F183" s="344"/>
      <c r="G183" s="385"/>
    </row>
    <row r="184" spans="1:7" s="3" customFormat="1" ht="13.5">
      <c r="A184" s="12" t="s">
        <v>149</v>
      </c>
      <c r="B184" s="42" t="s">
        <v>639</v>
      </c>
      <c r="C184" s="24">
        <v>7000</v>
      </c>
      <c r="D184" s="14"/>
      <c r="E184" s="5"/>
      <c r="F184" s="344"/>
      <c r="G184" s="385"/>
    </row>
    <row r="185" spans="1:7" s="3" customFormat="1" ht="13.5">
      <c r="A185" s="12" t="s">
        <v>641</v>
      </c>
      <c r="B185" s="42" t="s">
        <v>640</v>
      </c>
      <c r="C185" s="24">
        <v>9720</v>
      </c>
      <c r="D185" s="14"/>
      <c r="E185" s="5"/>
      <c r="F185" s="344"/>
      <c r="G185" s="385"/>
    </row>
    <row r="186" spans="1:5" s="65" customFormat="1" ht="13.5">
      <c r="A186" s="71" t="s">
        <v>758</v>
      </c>
      <c r="B186" s="24" t="s">
        <v>753</v>
      </c>
      <c r="C186" s="24">
        <v>21500</v>
      </c>
      <c r="D186" s="77"/>
      <c r="E186" s="25"/>
    </row>
    <row r="187" spans="1:7" s="3" customFormat="1" ht="13.5">
      <c r="A187" s="249" t="s">
        <v>150</v>
      </c>
      <c r="B187" s="25" t="s">
        <v>125</v>
      </c>
      <c r="C187" s="31">
        <f>SUM(C188:C189)</f>
        <v>68850</v>
      </c>
      <c r="D187" s="14"/>
      <c r="E187" s="281"/>
      <c r="F187" s="344"/>
      <c r="G187" s="385"/>
    </row>
    <row r="188" spans="1:8" s="3" customFormat="1" ht="13.5">
      <c r="A188" s="71" t="s">
        <v>151</v>
      </c>
      <c r="B188" s="24" t="s">
        <v>65</v>
      </c>
      <c r="C188" s="24">
        <v>49850</v>
      </c>
      <c r="D188" s="336"/>
      <c r="E188" s="336"/>
      <c r="F188" s="336"/>
      <c r="G188" s="374"/>
      <c r="H188" s="1"/>
    </row>
    <row r="189" spans="1:7" s="3" customFormat="1" ht="13.5">
      <c r="A189" s="71" t="s">
        <v>154</v>
      </c>
      <c r="B189" s="23" t="s">
        <v>125</v>
      </c>
      <c r="C189" s="24">
        <v>19000</v>
      </c>
      <c r="D189" s="14"/>
      <c r="E189" s="215"/>
      <c r="F189" s="344"/>
      <c r="G189" s="385"/>
    </row>
    <row r="190" spans="2:8" s="71" customFormat="1" ht="13.5" customHeight="1" thickBot="1">
      <c r="B190" s="23"/>
      <c r="C190" s="24"/>
      <c r="D190" s="14"/>
      <c r="E190" s="215"/>
      <c r="F190" s="344"/>
      <c r="G190" s="385"/>
      <c r="H190" s="24"/>
    </row>
    <row r="191" spans="1:8" s="71" customFormat="1" ht="13.5" customHeight="1" thickBot="1">
      <c r="A191" s="994" t="s">
        <v>3</v>
      </c>
      <c r="B191" s="995"/>
      <c r="C191" s="603">
        <f>C192+C197+C194</f>
        <v>1534730</v>
      </c>
      <c r="D191" s="14"/>
      <c r="E191" s="38"/>
      <c r="F191" s="382"/>
      <c r="G191" s="1"/>
      <c r="H191" s="24"/>
    </row>
    <row r="192" spans="1:8" s="71" customFormat="1" ht="13.5" customHeight="1">
      <c r="A192" s="249" t="s">
        <v>110</v>
      </c>
      <c r="B192" s="281" t="s">
        <v>111</v>
      </c>
      <c r="C192" s="32">
        <f>SUM(C193)</f>
        <v>79800</v>
      </c>
      <c r="D192" s="331"/>
      <c r="E192" s="223"/>
      <c r="F192" s="340"/>
      <c r="G192" s="332"/>
      <c r="H192" s="341"/>
    </row>
    <row r="193" spans="1:7" s="3" customFormat="1" ht="13.5">
      <c r="A193" s="71" t="s">
        <v>52</v>
      </c>
      <c r="B193" s="24" t="s">
        <v>15</v>
      </c>
      <c r="C193" s="24">
        <v>79800</v>
      </c>
      <c r="D193" s="14"/>
      <c r="E193" s="117"/>
      <c r="F193" s="336"/>
      <c r="G193" s="385"/>
    </row>
    <row r="194" spans="1:7" s="3" customFormat="1" ht="13.5">
      <c r="A194" s="249" t="s">
        <v>112</v>
      </c>
      <c r="B194" s="31" t="s">
        <v>156</v>
      </c>
      <c r="C194" s="31">
        <f>SUM(C195:C196)</f>
        <v>802000</v>
      </c>
      <c r="D194" s="336"/>
      <c r="E194" s="336"/>
      <c r="F194" s="336"/>
      <c r="G194" s="344"/>
    </row>
    <row r="195" spans="1:7" s="71" customFormat="1" ht="13.5" customHeight="1">
      <c r="A195" s="71" t="s">
        <v>138</v>
      </c>
      <c r="B195" s="58" t="s">
        <v>810</v>
      </c>
      <c r="C195" s="24">
        <v>8200</v>
      </c>
      <c r="D195" s="336"/>
      <c r="E195" s="335"/>
      <c r="F195" s="335"/>
      <c r="G195" s="344"/>
    </row>
    <row r="196" spans="1:7" s="3" customFormat="1" ht="13.5">
      <c r="A196" s="71" t="s">
        <v>49</v>
      </c>
      <c r="B196" s="24" t="s">
        <v>87</v>
      </c>
      <c r="C196" s="24">
        <v>793800</v>
      </c>
      <c r="D196" s="71"/>
      <c r="E196" s="335"/>
      <c r="F196" s="117"/>
      <c r="G196" s="387"/>
    </row>
    <row r="197" spans="1:7" s="3" customFormat="1" ht="13.5">
      <c r="A197" s="249" t="s">
        <v>115</v>
      </c>
      <c r="B197" s="31" t="s">
        <v>8</v>
      </c>
      <c r="C197" s="31">
        <f>SUM(C198:C200)</f>
        <v>652930</v>
      </c>
      <c r="D197" s="14"/>
      <c r="E197" s="14"/>
      <c r="F197" s="384"/>
      <c r="G197" s="385"/>
    </row>
    <row r="198" spans="1:8" s="3" customFormat="1" ht="13.5">
      <c r="A198" s="71" t="s">
        <v>449</v>
      </c>
      <c r="B198" s="24" t="s">
        <v>8</v>
      </c>
      <c r="C198" s="24">
        <v>127100</v>
      </c>
      <c r="D198" s="346"/>
      <c r="E198" s="336"/>
      <c r="F198" s="392"/>
      <c r="G198" s="346"/>
      <c r="H198" s="18"/>
    </row>
    <row r="199" spans="1:8" s="332" customFormat="1" ht="13.5">
      <c r="A199" s="71" t="s">
        <v>182</v>
      </c>
      <c r="B199" s="24" t="s">
        <v>50</v>
      </c>
      <c r="C199" s="24">
        <v>13680</v>
      </c>
      <c r="D199" s="336"/>
      <c r="E199" s="336"/>
      <c r="F199" s="336"/>
      <c r="G199" s="142"/>
      <c r="H199" s="331"/>
    </row>
    <row r="200" spans="1:8" s="3" customFormat="1" ht="13.5">
      <c r="A200" s="71" t="s">
        <v>90</v>
      </c>
      <c r="B200" s="24" t="s">
        <v>7</v>
      </c>
      <c r="C200" s="24">
        <f>92150+(35000*12)</f>
        <v>512150</v>
      </c>
      <c r="D200" s="347"/>
      <c r="E200" s="14"/>
      <c r="F200" s="384"/>
      <c r="G200" s="385"/>
      <c r="H200" s="393"/>
    </row>
    <row r="201" spans="1:8" s="1" customFormat="1" ht="14.25" thickBot="1">
      <c r="A201" s="71"/>
      <c r="B201" s="24"/>
      <c r="C201" s="23"/>
      <c r="D201" s="346"/>
      <c r="E201" s="18"/>
      <c r="F201" s="392"/>
      <c r="G201" s="346"/>
      <c r="H201" s="393"/>
    </row>
    <row r="202" spans="1:6" s="3" customFormat="1" ht="14.25" thickBot="1">
      <c r="A202" s="1007" t="s">
        <v>5</v>
      </c>
      <c r="B202" s="1008"/>
      <c r="C202" s="604">
        <f>C203</f>
        <v>23348000</v>
      </c>
      <c r="E202" s="368"/>
      <c r="F202" s="337"/>
    </row>
    <row r="203" spans="1:7" s="3" customFormat="1" ht="13.5">
      <c r="A203" s="11" t="s">
        <v>128</v>
      </c>
      <c r="B203" s="281" t="s">
        <v>129</v>
      </c>
      <c r="C203" s="32">
        <f>SUM(C204:C207)</f>
        <v>23348000</v>
      </c>
      <c r="D203" s="332"/>
      <c r="E203" s="223"/>
      <c r="F203" s="340"/>
      <c r="G203" s="332"/>
    </row>
    <row r="204" spans="1:6" s="3" customFormat="1" ht="13.5">
      <c r="A204" s="71" t="s">
        <v>450</v>
      </c>
      <c r="B204" s="71" t="s">
        <v>451</v>
      </c>
      <c r="C204" s="26">
        <v>1320000</v>
      </c>
      <c r="E204" s="117"/>
      <c r="F204" s="576"/>
    </row>
    <row r="205" spans="1:16" s="3" customFormat="1" ht="13.5">
      <c r="A205" s="71" t="s">
        <v>237</v>
      </c>
      <c r="B205" s="42" t="s">
        <v>534</v>
      </c>
      <c r="C205" s="24">
        <v>750000</v>
      </c>
      <c r="E205" s="117"/>
      <c r="F205" s="392"/>
      <c r="H205" s="1"/>
      <c r="I205" s="1"/>
      <c r="J205" s="1"/>
      <c r="K205" s="1"/>
      <c r="L205" s="1"/>
      <c r="M205" s="1"/>
      <c r="N205" s="1"/>
      <c r="O205" s="1"/>
      <c r="P205" s="1"/>
    </row>
    <row r="206" spans="1:7" s="332" customFormat="1" ht="13.5">
      <c r="A206" s="12" t="s">
        <v>255</v>
      </c>
      <c r="B206" s="12" t="s">
        <v>256</v>
      </c>
      <c r="C206" s="24">
        <v>19388000</v>
      </c>
      <c r="D206" s="1"/>
      <c r="E206" s="117"/>
      <c r="F206" s="386"/>
      <c r="G206" s="1"/>
    </row>
    <row r="207" spans="1:6" s="3" customFormat="1" ht="13.5">
      <c r="A207" s="71" t="s">
        <v>144</v>
      </c>
      <c r="B207" s="71" t="s">
        <v>12</v>
      </c>
      <c r="C207" s="24">
        <v>1890000</v>
      </c>
      <c r="D207" s="292"/>
      <c r="E207" s="5"/>
      <c r="F207" s="392"/>
    </row>
    <row r="208" spans="1:6" s="3" customFormat="1" ht="14.25" thickBot="1">
      <c r="A208" s="71"/>
      <c r="B208" s="71"/>
      <c r="C208" s="24"/>
      <c r="D208" s="292"/>
      <c r="E208" s="21"/>
      <c r="F208" s="392"/>
    </row>
    <row r="209" spans="1:7" s="3" customFormat="1" ht="14.25" thickBot="1">
      <c r="A209" s="996" t="s">
        <v>4</v>
      </c>
      <c r="B209" s="997"/>
      <c r="C209" s="605">
        <f>C210+C213</f>
        <v>70580</v>
      </c>
      <c r="D209" s="394"/>
      <c r="E209" s="38"/>
      <c r="F209" s="382"/>
      <c r="G209" s="1"/>
    </row>
    <row r="210" spans="1:7" s="3" customFormat="1" ht="13.5">
      <c r="A210" s="249" t="s">
        <v>116</v>
      </c>
      <c r="B210" s="281" t="s">
        <v>117</v>
      </c>
      <c r="C210" s="32">
        <f>SUM(C211:C212)</f>
        <v>58220</v>
      </c>
      <c r="D210" s="331"/>
      <c r="E210" s="223"/>
      <c r="F210" s="340"/>
      <c r="G210" s="332"/>
    </row>
    <row r="211" spans="1:7" s="3" customFormat="1" ht="14.25" customHeight="1">
      <c r="A211" s="71" t="s">
        <v>91</v>
      </c>
      <c r="B211" s="71" t="s">
        <v>139</v>
      </c>
      <c r="C211" s="24">
        <v>21420</v>
      </c>
      <c r="D211" s="18"/>
      <c r="E211" s="18"/>
      <c r="F211" s="392"/>
      <c r="G211" s="348"/>
    </row>
    <row r="212" spans="1:256" s="5" customFormat="1" ht="13.5">
      <c r="A212" s="71" t="s">
        <v>756</v>
      </c>
      <c r="B212" s="23" t="s">
        <v>757</v>
      </c>
      <c r="C212" s="54">
        <v>36800</v>
      </c>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c r="AM212" s="200"/>
      <c r="AN212" s="200"/>
      <c r="AO212" s="200"/>
      <c r="AP212" s="200"/>
      <c r="AQ212" s="200"/>
      <c r="AR212" s="200"/>
      <c r="AS212" s="200"/>
      <c r="AT212" s="200"/>
      <c r="AU212" s="200"/>
      <c r="AV212" s="200"/>
      <c r="AW212" s="200"/>
      <c r="AX212" s="200"/>
      <c r="AY212" s="200"/>
      <c r="AZ212" s="200"/>
      <c r="BA212" s="200"/>
      <c r="BB212" s="200"/>
      <c r="BC212" s="200"/>
      <c r="BD212" s="200"/>
      <c r="BE212" s="200"/>
      <c r="BF212" s="200"/>
      <c r="BG212" s="200"/>
      <c r="BH212" s="200"/>
      <c r="BI212" s="200"/>
      <c r="BJ212" s="200"/>
      <c r="BK212" s="200"/>
      <c r="BL212" s="200"/>
      <c r="BM212" s="200"/>
      <c r="BN212" s="200"/>
      <c r="BO212" s="200"/>
      <c r="BP212" s="200"/>
      <c r="BQ212" s="200"/>
      <c r="BR212" s="200"/>
      <c r="BS212" s="200"/>
      <c r="BT212" s="200"/>
      <c r="BU212" s="200"/>
      <c r="BV212" s="200"/>
      <c r="BW212" s="200"/>
      <c r="BX212" s="200"/>
      <c r="BY212" s="200"/>
      <c r="BZ212" s="200"/>
      <c r="CA212" s="200"/>
      <c r="CB212" s="200"/>
      <c r="CC212" s="200"/>
      <c r="CD212" s="200"/>
      <c r="CE212" s="200"/>
      <c r="CF212" s="200"/>
      <c r="CG212" s="200"/>
      <c r="CH212" s="200"/>
      <c r="CI212" s="200"/>
      <c r="CJ212" s="200"/>
      <c r="CK212" s="200"/>
      <c r="CL212" s="200"/>
      <c r="CM212" s="200"/>
      <c r="CN212" s="200"/>
      <c r="CO212" s="200"/>
      <c r="CP212" s="200"/>
      <c r="CQ212" s="200"/>
      <c r="CR212" s="200"/>
      <c r="CS212" s="200"/>
      <c r="CT212" s="200"/>
      <c r="CU212" s="200"/>
      <c r="CV212" s="200"/>
      <c r="CW212" s="200"/>
      <c r="CX212" s="200"/>
      <c r="CY212" s="200"/>
      <c r="CZ212" s="200"/>
      <c r="DA212" s="200"/>
      <c r="DB212" s="200"/>
      <c r="DC212" s="200"/>
      <c r="DD212" s="200"/>
      <c r="DE212" s="200"/>
      <c r="DF212" s="200"/>
      <c r="DG212" s="200"/>
      <c r="DH212" s="200"/>
      <c r="DI212" s="200"/>
      <c r="DJ212" s="200"/>
      <c r="DK212" s="200"/>
      <c r="DL212" s="200"/>
      <c r="DM212" s="200"/>
      <c r="DN212" s="200"/>
      <c r="DO212" s="200"/>
      <c r="DP212" s="200"/>
      <c r="DQ212" s="200"/>
      <c r="DR212" s="200"/>
      <c r="DS212" s="200"/>
      <c r="DT212" s="200"/>
      <c r="DU212" s="200"/>
      <c r="DV212" s="200"/>
      <c r="DW212" s="200"/>
      <c r="DX212" s="200"/>
      <c r="DY212" s="200"/>
      <c r="DZ212" s="200"/>
      <c r="EA212" s="200"/>
      <c r="EB212" s="200"/>
      <c r="EC212" s="200"/>
      <c r="ED212" s="200"/>
      <c r="EE212" s="200"/>
      <c r="EF212" s="200"/>
      <c r="EG212" s="200"/>
      <c r="EH212" s="200"/>
      <c r="EI212" s="200"/>
      <c r="EJ212" s="200"/>
      <c r="EK212" s="200"/>
      <c r="EL212" s="200"/>
      <c r="EM212" s="200"/>
      <c r="EN212" s="200"/>
      <c r="EO212" s="200"/>
      <c r="EP212" s="200"/>
      <c r="EQ212" s="200"/>
      <c r="ER212" s="200"/>
      <c r="ES212" s="200"/>
      <c r="ET212" s="200"/>
      <c r="EU212" s="200"/>
      <c r="EV212" s="200"/>
      <c r="EW212" s="200"/>
      <c r="EX212" s="200"/>
      <c r="EY212" s="200"/>
      <c r="EZ212" s="200"/>
      <c r="FA212" s="200"/>
      <c r="FB212" s="200"/>
      <c r="FC212" s="200"/>
      <c r="FD212" s="200"/>
      <c r="FE212" s="200"/>
      <c r="FF212" s="200"/>
      <c r="FG212" s="200"/>
      <c r="FH212" s="200"/>
      <c r="FI212" s="200"/>
      <c r="FJ212" s="200"/>
      <c r="FK212" s="200"/>
      <c r="FL212" s="200"/>
      <c r="FM212" s="200"/>
      <c r="FN212" s="200"/>
      <c r="FO212" s="200"/>
      <c r="FP212" s="200"/>
      <c r="FQ212" s="200"/>
      <c r="FR212" s="200"/>
      <c r="FS212" s="200"/>
      <c r="FT212" s="200"/>
      <c r="FU212" s="200"/>
      <c r="FV212" s="200"/>
      <c r="FW212" s="200"/>
      <c r="FX212" s="200"/>
      <c r="FY212" s="200"/>
      <c r="FZ212" s="200"/>
      <c r="GA212" s="200"/>
      <c r="GB212" s="200"/>
      <c r="GC212" s="200"/>
      <c r="GD212" s="200"/>
      <c r="GE212" s="200"/>
      <c r="GF212" s="200"/>
      <c r="GG212" s="200"/>
      <c r="GH212" s="200"/>
      <c r="GI212" s="200"/>
      <c r="GJ212" s="200"/>
      <c r="GK212" s="200"/>
      <c r="GL212" s="200"/>
      <c r="GM212" s="200"/>
      <c r="GN212" s="200"/>
      <c r="GO212" s="200"/>
      <c r="GP212" s="200"/>
      <c r="GQ212" s="200"/>
      <c r="GR212" s="200"/>
      <c r="GS212" s="200"/>
      <c r="GT212" s="200"/>
      <c r="GU212" s="200"/>
      <c r="GV212" s="200"/>
      <c r="GW212" s="200"/>
      <c r="GX212" s="200"/>
      <c r="GY212" s="200"/>
      <c r="GZ212" s="200"/>
      <c r="HA212" s="200"/>
      <c r="HB212" s="200"/>
      <c r="HC212" s="200"/>
      <c r="HD212" s="200"/>
      <c r="HE212" s="200"/>
      <c r="HF212" s="200"/>
      <c r="HG212" s="200"/>
      <c r="HH212" s="200"/>
      <c r="HI212" s="200"/>
      <c r="HJ212" s="200"/>
      <c r="HK212" s="200"/>
      <c r="HL212" s="200"/>
      <c r="HM212" s="200"/>
      <c r="HN212" s="200"/>
      <c r="HO212" s="200"/>
      <c r="HP212" s="200"/>
      <c r="HQ212" s="200"/>
      <c r="HR212" s="200"/>
      <c r="HS212" s="200"/>
      <c r="HT212" s="200"/>
      <c r="HU212" s="200"/>
      <c r="HV212" s="200"/>
      <c r="HW212" s="200"/>
      <c r="HX212" s="200"/>
      <c r="HY212" s="200"/>
      <c r="HZ212" s="200"/>
      <c r="IA212" s="200"/>
      <c r="IB212" s="200"/>
      <c r="IC212" s="200"/>
      <c r="ID212" s="200"/>
      <c r="IE212" s="200"/>
      <c r="IF212" s="200"/>
      <c r="IG212" s="200"/>
      <c r="IH212" s="200"/>
      <c r="II212" s="200"/>
      <c r="IJ212" s="200"/>
      <c r="IK212" s="200"/>
      <c r="IL212" s="200"/>
      <c r="IM212" s="200"/>
      <c r="IN212" s="200"/>
      <c r="IO212" s="200"/>
      <c r="IP212" s="200"/>
      <c r="IQ212" s="200"/>
      <c r="IR212" s="200"/>
      <c r="IS212" s="200"/>
      <c r="IT212" s="200"/>
      <c r="IU212" s="200"/>
      <c r="IV212" s="200"/>
    </row>
    <row r="213" spans="1:7" s="5" customFormat="1" ht="13.5">
      <c r="A213" s="249" t="s">
        <v>165</v>
      </c>
      <c r="B213" s="25" t="s">
        <v>134</v>
      </c>
      <c r="C213" s="31">
        <f>SUM(C214)</f>
        <v>12360</v>
      </c>
      <c r="D213" s="18"/>
      <c r="E213" s="18"/>
      <c r="F213" s="392"/>
      <c r="G213" s="348"/>
    </row>
    <row r="214" spans="1:6" s="3" customFormat="1" ht="13.5">
      <c r="A214" s="71" t="s">
        <v>166</v>
      </c>
      <c r="B214" s="23" t="s">
        <v>51</v>
      </c>
      <c r="C214" s="24">
        <v>12360</v>
      </c>
      <c r="D214" s="18"/>
      <c r="E214" s="18"/>
      <c r="F214" s="392"/>
    </row>
    <row r="215" spans="1:7" s="1" customFormat="1" ht="13.5" customHeight="1">
      <c r="A215" s="3"/>
      <c r="B215" s="3"/>
      <c r="C215" s="14"/>
      <c r="D215" s="28"/>
      <c r="E215" s="28"/>
      <c r="F215" s="325"/>
      <c r="G215" s="3"/>
    </row>
    <row r="216" spans="1:7" s="1" customFormat="1" ht="13.5" customHeight="1" thickBot="1">
      <c r="A216" s="74"/>
      <c r="B216" s="3"/>
      <c r="C216" s="18"/>
      <c r="D216" s="18"/>
      <c r="E216" s="18"/>
      <c r="F216" s="3"/>
      <c r="G216" s="324"/>
    </row>
    <row r="217" spans="1:7" s="1" customFormat="1" ht="13.5" customHeight="1">
      <c r="A217" s="988" t="s">
        <v>900</v>
      </c>
      <c r="B217" s="1009"/>
      <c r="C217" s="989"/>
      <c r="D217" s="627" t="s">
        <v>6</v>
      </c>
      <c r="E217" s="755">
        <v>1404</v>
      </c>
      <c r="F217" s="399"/>
      <c r="G217" s="385"/>
    </row>
    <row r="218" spans="1:7" s="1" customFormat="1" ht="13.5" customHeight="1" thickBot="1">
      <c r="A218" s="990"/>
      <c r="B218" s="1010"/>
      <c r="C218" s="991"/>
      <c r="D218" s="630"/>
      <c r="E218" s="631"/>
      <c r="F218" s="399"/>
      <c r="G218" s="385"/>
    </row>
    <row r="219" spans="1:7" s="1" customFormat="1" ht="13.5" customHeight="1">
      <c r="A219" s="979" t="s">
        <v>901</v>
      </c>
      <c r="B219" s="980"/>
      <c r="C219" s="980"/>
      <c r="D219" s="980"/>
      <c r="E219" s="981"/>
      <c r="F219" s="399"/>
      <c r="G219" s="385"/>
    </row>
    <row r="220" spans="1:7" s="1" customFormat="1" ht="13.5" customHeight="1">
      <c r="A220" s="982"/>
      <c r="B220" s="983"/>
      <c r="C220" s="983"/>
      <c r="D220" s="983"/>
      <c r="E220" s="984"/>
      <c r="F220" s="399"/>
      <c r="G220" s="385"/>
    </row>
    <row r="221" spans="1:7" s="1" customFormat="1" ht="13.5" customHeight="1">
      <c r="A221" s="982"/>
      <c r="B221" s="983"/>
      <c r="C221" s="983"/>
      <c r="D221" s="983"/>
      <c r="E221" s="984"/>
      <c r="F221" s="399"/>
      <c r="G221" s="385"/>
    </row>
    <row r="222" spans="1:7" s="12" customFormat="1" ht="13.5" customHeight="1">
      <c r="A222" s="982"/>
      <c r="B222" s="983"/>
      <c r="C222" s="983"/>
      <c r="D222" s="983"/>
      <c r="E222" s="984"/>
      <c r="F222" s="1"/>
      <c r="G222" s="1"/>
    </row>
    <row r="223" spans="1:7" s="12" customFormat="1" ht="13.5" customHeight="1">
      <c r="A223" s="982"/>
      <c r="B223" s="983"/>
      <c r="C223" s="983"/>
      <c r="D223" s="983"/>
      <c r="E223" s="984"/>
      <c r="F223" s="1"/>
      <c r="G223" s="1"/>
    </row>
    <row r="224" spans="1:7" s="12" customFormat="1" ht="13.5" customHeight="1">
      <c r="A224" s="982"/>
      <c r="B224" s="983"/>
      <c r="C224" s="983"/>
      <c r="D224" s="983"/>
      <c r="E224" s="984"/>
      <c r="F224" s="1"/>
      <c r="G224" s="1"/>
    </row>
    <row r="225" spans="1:7" s="12" customFormat="1" ht="13.5" customHeight="1">
      <c r="A225" s="982"/>
      <c r="B225" s="983"/>
      <c r="C225" s="983"/>
      <c r="D225" s="983"/>
      <c r="E225" s="984"/>
      <c r="F225" s="1"/>
      <c r="G225" s="1"/>
    </row>
    <row r="226" spans="1:7" s="12" customFormat="1" ht="38.25" customHeight="1" thickBot="1">
      <c r="A226" s="982"/>
      <c r="B226" s="983"/>
      <c r="C226" s="983"/>
      <c r="D226" s="983"/>
      <c r="E226" s="984"/>
      <c r="F226" s="1"/>
      <c r="G226" s="1"/>
    </row>
    <row r="227" spans="1:5" s="12" customFormat="1" ht="13.5" customHeight="1">
      <c r="A227" s="116" t="s">
        <v>809</v>
      </c>
      <c r="B227" s="116"/>
      <c r="C227" s="400"/>
      <c r="D227" s="401"/>
      <c r="E227" s="402"/>
    </row>
    <row r="228" spans="1:7" ht="13.5" customHeight="1">
      <c r="A228" s="40" t="s">
        <v>646</v>
      </c>
      <c r="B228" s="40"/>
      <c r="C228" s="24"/>
      <c r="D228" s="22"/>
      <c r="E228" s="303"/>
      <c r="F228" s="12"/>
      <c r="G228" s="12"/>
    </row>
    <row r="229" spans="1:7" s="249" customFormat="1" ht="13.5" customHeight="1">
      <c r="A229" s="40" t="s">
        <v>766</v>
      </c>
      <c r="B229" s="40"/>
      <c r="C229" s="24"/>
      <c r="D229" s="22"/>
      <c r="E229" s="303"/>
      <c r="F229" s="12"/>
      <c r="G229" s="12"/>
    </row>
    <row r="230" spans="1:7" s="100" customFormat="1" ht="13.5" customHeight="1" thickBot="1">
      <c r="A230" s="75" t="s">
        <v>11</v>
      </c>
      <c r="B230" s="75"/>
      <c r="C230" s="360"/>
      <c r="D230" s="376"/>
      <c r="E230" s="361"/>
      <c r="F230" s="339"/>
      <c r="G230" s="374"/>
    </row>
    <row r="231" spans="1:7" s="12" customFormat="1" ht="13.5" customHeight="1" thickBot="1">
      <c r="A231" s="596" t="s">
        <v>0</v>
      </c>
      <c r="B231" s="596"/>
      <c r="C231" s="735"/>
      <c r="D231" s="690"/>
      <c r="E231" s="707">
        <f>+C233+C257+C274</f>
        <v>4668306</v>
      </c>
      <c r="F231" s="266"/>
      <c r="G231" s="374"/>
    </row>
    <row r="232" spans="1:7" s="12" customFormat="1" ht="13.5" customHeight="1" thickBot="1">
      <c r="A232" s="71"/>
      <c r="B232" s="71"/>
      <c r="C232" s="23"/>
      <c r="D232" s="22"/>
      <c r="E232" s="28"/>
      <c r="F232" s="327"/>
      <c r="G232" s="398"/>
    </row>
    <row r="233" spans="1:7" s="12" customFormat="1" ht="13.5" customHeight="1" thickBot="1">
      <c r="A233" s="992" t="s">
        <v>2</v>
      </c>
      <c r="B233" s="993"/>
      <c r="C233" s="602">
        <f>C234+C236+C239+C241+C244+C252+C249</f>
        <v>1535606</v>
      </c>
      <c r="D233" s="382"/>
      <c r="E233" s="249"/>
      <c r="F233" s="327"/>
      <c r="G233" s="351"/>
    </row>
    <row r="234" spans="1:8" s="12" customFormat="1" ht="13.5" customHeight="1">
      <c r="A234" s="11" t="s">
        <v>103</v>
      </c>
      <c r="B234" s="281" t="s">
        <v>104</v>
      </c>
      <c r="C234" s="32">
        <f>SUM(C235)</f>
        <v>398016</v>
      </c>
      <c r="D234" s="100"/>
      <c r="E234" s="100"/>
      <c r="F234" s="329"/>
      <c r="G234" s="341"/>
      <c r="H234" s="5"/>
    </row>
    <row r="235" spans="1:6" s="12" customFormat="1" ht="13.5" customHeight="1">
      <c r="A235" s="12" t="s">
        <v>46</v>
      </c>
      <c r="B235" s="12" t="s">
        <v>45</v>
      </c>
      <c r="C235" s="24">
        <v>398016</v>
      </c>
      <c r="D235" s="100"/>
      <c r="F235" s="374"/>
    </row>
    <row r="236" spans="1:7" s="3" customFormat="1" ht="13.5">
      <c r="A236" s="11" t="s">
        <v>200</v>
      </c>
      <c r="B236" s="11" t="s">
        <v>220</v>
      </c>
      <c r="C236" s="31">
        <f>SUM(C237:C238)</f>
        <v>39620</v>
      </c>
      <c r="D236" s="100"/>
      <c r="E236" s="12"/>
      <c r="F236" s="374"/>
      <c r="G236" s="12"/>
    </row>
    <row r="237" spans="1:7" s="3" customFormat="1" ht="13.5">
      <c r="A237" s="12" t="s">
        <v>198</v>
      </c>
      <c r="B237" s="12" t="s">
        <v>452</v>
      </c>
      <c r="C237" s="24">
        <v>23300</v>
      </c>
      <c r="D237" s="405"/>
      <c r="E237" s="12"/>
      <c r="F237" s="374"/>
      <c r="G237" s="12"/>
    </row>
    <row r="238" spans="1:7" s="3" customFormat="1" ht="13.5">
      <c r="A238" s="12" t="s">
        <v>228</v>
      </c>
      <c r="B238" s="69" t="s">
        <v>227</v>
      </c>
      <c r="C238" s="24">
        <v>16320</v>
      </c>
      <c r="D238" s="12"/>
      <c r="E238" s="12"/>
      <c r="F238" s="12"/>
      <c r="G238" s="12"/>
    </row>
    <row r="239" spans="1:7" s="3" customFormat="1" ht="13.5">
      <c r="A239" s="11" t="s">
        <v>105</v>
      </c>
      <c r="B239" s="11" t="s">
        <v>106</v>
      </c>
      <c r="C239" s="31">
        <f>SUM(C240)</f>
        <v>242800</v>
      </c>
      <c r="D239" s="336"/>
      <c r="E239" s="12"/>
      <c r="F239" s="374"/>
      <c r="G239" s="12"/>
    </row>
    <row r="240" spans="1:7" s="5" customFormat="1" ht="13.5">
      <c r="A240" s="12" t="s">
        <v>86</v>
      </c>
      <c r="B240" s="71" t="s">
        <v>66</v>
      </c>
      <c r="C240" s="24">
        <v>242800</v>
      </c>
      <c r="D240" s="392"/>
      <c r="F240" s="344"/>
      <c r="G240" s="3"/>
    </row>
    <row r="241" spans="1:8" s="5" customFormat="1" ht="13.5">
      <c r="A241" s="11" t="s">
        <v>107</v>
      </c>
      <c r="B241" s="249" t="s">
        <v>108</v>
      </c>
      <c r="C241" s="31">
        <f>SUM(C242:C243)</f>
        <v>180600</v>
      </c>
      <c r="D241" s="392"/>
      <c r="E241" s="100"/>
      <c r="F241" s="344"/>
      <c r="G241" s="3"/>
      <c r="H241" s="142"/>
    </row>
    <row r="242" spans="1:8" s="3" customFormat="1" ht="13.5">
      <c r="A242" s="12" t="s">
        <v>47</v>
      </c>
      <c r="B242" s="23" t="s">
        <v>48</v>
      </c>
      <c r="C242" s="24">
        <v>51000</v>
      </c>
      <c r="D242" s="384"/>
      <c r="E242" s="5"/>
      <c r="F242" s="344"/>
      <c r="H242" s="5"/>
    </row>
    <row r="243" spans="1:8" s="5" customFormat="1" ht="13.5">
      <c r="A243" s="12" t="s">
        <v>453</v>
      </c>
      <c r="B243" s="42" t="s">
        <v>454</v>
      </c>
      <c r="C243" s="24">
        <v>129600</v>
      </c>
      <c r="D243" s="384"/>
      <c r="E243" s="336"/>
      <c r="F243" s="336"/>
      <c r="G243" s="385"/>
      <c r="H243" s="71"/>
    </row>
    <row r="244" spans="1:6" s="3" customFormat="1" ht="13.5">
      <c r="A244" s="249" t="s">
        <v>119</v>
      </c>
      <c r="B244" s="25" t="s">
        <v>109</v>
      </c>
      <c r="C244" s="31">
        <f>SUM(C245:C248)</f>
        <v>84820</v>
      </c>
      <c r="D244" s="384"/>
      <c r="E244" s="405"/>
      <c r="F244" s="344"/>
    </row>
    <row r="245" spans="1:4" s="5" customFormat="1" ht="13.5">
      <c r="A245" s="71" t="s">
        <v>149</v>
      </c>
      <c r="B245" s="24" t="s">
        <v>338</v>
      </c>
      <c r="C245" s="24">
        <v>5000</v>
      </c>
      <c r="D245" s="336"/>
    </row>
    <row r="246" spans="1:8" s="5" customFormat="1" ht="13.5">
      <c r="A246" s="12" t="s">
        <v>187</v>
      </c>
      <c r="B246" s="42" t="s">
        <v>186</v>
      </c>
      <c r="C246" s="24">
        <v>33000</v>
      </c>
      <c r="D246" s="384"/>
      <c r="E246" s="336"/>
      <c r="F246" s="336"/>
      <c r="G246" s="385"/>
      <c r="H246" s="142"/>
    </row>
    <row r="247" spans="1:7" s="5" customFormat="1" ht="13.5">
      <c r="A247" s="12" t="s">
        <v>641</v>
      </c>
      <c r="B247" s="42" t="s">
        <v>640</v>
      </c>
      <c r="C247" s="24">
        <v>12420</v>
      </c>
      <c r="D247" s="14"/>
      <c r="F247" s="344"/>
      <c r="G247" s="385"/>
    </row>
    <row r="248" spans="1:5" s="65" customFormat="1" ht="13.5">
      <c r="A248" s="71" t="s">
        <v>758</v>
      </c>
      <c r="B248" s="24" t="s">
        <v>753</v>
      </c>
      <c r="C248" s="24">
        <v>34400</v>
      </c>
      <c r="D248" s="77"/>
      <c r="E248" s="25"/>
    </row>
    <row r="249" spans="1:3" s="3" customFormat="1" ht="13.5">
      <c r="A249" s="249" t="s">
        <v>124</v>
      </c>
      <c r="B249" s="25" t="s">
        <v>123</v>
      </c>
      <c r="C249" s="31">
        <f>SUM(C250:C251)</f>
        <v>101850</v>
      </c>
    </row>
    <row r="250" spans="1:5" s="65" customFormat="1" ht="13.5">
      <c r="A250" s="12" t="s">
        <v>231</v>
      </c>
      <c r="B250" s="42" t="s">
        <v>230</v>
      </c>
      <c r="C250" s="24">
        <v>57000</v>
      </c>
      <c r="D250" s="56"/>
      <c r="E250" s="56"/>
    </row>
    <row r="251" spans="1:7" s="3" customFormat="1" ht="13.5">
      <c r="A251" s="71" t="s">
        <v>93</v>
      </c>
      <c r="B251" s="24" t="s">
        <v>72</v>
      </c>
      <c r="C251" s="24">
        <v>44850</v>
      </c>
      <c r="D251" s="5"/>
      <c r="E251" s="5"/>
      <c r="F251" s="5"/>
      <c r="G251" s="5"/>
    </row>
    <row r="252" spans="1:7" s="249" customFormat="1" ht="13.5" customHeight="1">
      <c r="A252" s="249" t="s">
        <v>150</v>
      </c>
      <c r="B252" s="25" t="s">
        <v>125</v>
      </c>
      <c r="C252" s="31">
        <f>SUM(C253:C255)</f>
        <v>487900</v>
      </c>
      <c r="D252" s="336"/>
      <c r="E252" s="5"/>
      <c r="F252" s="5"/>
      <c r="G252" s="5"/>
    </row>
    <row r="253" spans="1:8" s="249" customFormat="1" ht="13.5" customHeight="1">
      <c r="A253" s="71" t="s">
        <v>151</v>
      </c>
      <c r="B253" s="24" t="s">
        <v>65</v>
      </c>
      <c r="C253" s="24">
        <v>31550</v>
      </c>
      <c r="D253" s="406"/>
      <c r="E253" s="23"/>
      <c r="F253" s="5"/>
      <c r="G253" s="5"/>
      <c r="H253" s="11"/>
    </row>
    <row r="254" spans="1:7" s="100" customFormat="1" ht="13.5" customHeight="1">
      <c r="A254" s="71" t="s">
        <v>154</v>
      </c>
      <c r="B254" s="23" t="s">
        <v>125</v>
      </c>
      <c r="C254" s="24">
        <v>72450</v>
      </c>
      <c r="D254" s="3"/>
      <c r="E254" s="3"/>
      <c r="F254" s="3"/>
      <c r="G254" s="3"/>
    </row>
    <row r="255" spans="1:8" s="71" customFormat="1" ht="13.5" customHeight="1">
      <c r="A255" s="71" t="s">
        <v>643</v>
      </c>
      <c r="B255" s="42" t="s">
        <v>642</v>
      </c>
      <c r="C255" s="24">
        <v>383900</v>
      </c>
      <c r="D255" s="386"/>
      <c r="E255" s="336"/>
      <c r="F255" s="336"/>
      <c r="G255" s="385"/>
      <c r="H255" s="24"/>
    </row>
    <row r="256" spans="2:8" s="71" customFormat="1" ht="13.5" customHeight="1" thickBot="1">
      <c r="B256" s="23"/>
      <c r="C256" s="24"/>
      <c r="D256" s="3"/>
      <c r="E256" s="3"/>
      <c r="F256" s="3"/>
      <c r="G256" s="3"/>
      <c r="H256" s="24"/>
    </row>
    <row r="257" spans="1:8" s="71" customFormat="1" ht="13.5" customHeight="1" thickBot="1">
      <c r="A257" s="994" t="s">
        <v>3</v>
      </c>
      <c r="B257" s="995"/>
      <c r="C257" s="603">
        <f>C258+C262+C266+C268</f>
        <v>3038900</v>
      </c>
      <c r="D257" s="249"/>
      <c r="E257" s="24"/>
      <c r="F257" s="249"/>
      <c r="G257" s="338"/>
      <c r="H257" s="24"/>
    </row>
    <row r="258" spans="1:7" s="71" customFormat="1" ht="13.5" customHeight="1">
      <c r="A258" s="249" t="s">
        <v>110</v>
      </c>
      <c r="B258" s="281" t="s">
        <v>111</v>
      </c>
      <c r="C258" s="32">
        <f>SUM(C259)</f>
        <v>112100</v>
      </c>
      <c r="D258" s="12"/>
      <c r="E258" s="100"/>
      <c r="F258" s="100"/>
      <c r="G258" s="341"/>
    </row>
    <row r="259" spans="1:8" s="71" customFormat="1" ht="13.5" customHeight="1">
      <c r="A259" s="71" t="s">
        <v>52</v>
      </c>
      <c r="B259" s="24" t="s">
        <v>15</v>
      </c>
      <c r="C259" s="24">
        <v>112100</v>
      </c>
      <c r="D259" s="12"/>
      <c r="G259" s="344"/>
      <c r="H259" s="24"/>
    </row>
    <row r="260" spans="1:8" s="71" customFormat="1" ht="13.5" customHeight="1">
      <c r="A260" s="11" t="s">
        <v>120</v>
      </c>
      <c r="B260" s="31" t="s">
        <v>121</v>
      </c>
      <c r="C260" s="31">
        <f>SUM(C261)</f>
        <v>32800</v>
      </c>
      <c r="D260" s="415"/>
      <c r="E260" s="336"/>
      <c r="F260" s="336"/>
      <c r="G260" s="344"/>
      <c r="H260" s="24"/>
    </row>
    <row r="261" spans="1:8" s="71" customFormat="1" ht="13.5" customHeight="1">
      <c r="A261" s="12" t="s">
        <v>136</v>
      </c>
      <c r="B261" s="12" t="s">
        <v>71</v>
      </c>
      <c r="C261" s="24">
        <v>32800</v>
      </c>
      <c r="D261" s="415"/>
      <c r="E261" s="336"/>
      <c r="F261" s="336"/>
      <c r="G261" s="344"/>
      <c r="H261" s="24"/>
    </row>
    <row r="262" spans="1:256" s="71" customFormat="1" ht="13.5" customHeight="1">
      <c r="A262" s="249" t="s">
        <v>112</v>
      </c>
      <c r="B262" s="31" t="s">
        <v>156</v>
      </c>
      <c r="C262" s="31">
        <f>SUM(C263:C265)</f>
        <v>1072800</v>
      </c>
      <c r="D262" s="12"/>
      <c r="G262" s="344"/>
      <c r="H262" s="142"/>
      <c r="I262" s="142"/>
      <c r="J262" s="142"/>
      <c r="K262" s="142"/>
      <c r="L262" s="142"/>
      <c r="M262" s="142"/>
      <c r="N262" s="142"/>
      <c r="O262" s="142"/>
      <c r="P262" s="142"/>
      <c r="Q262" s="142"/>
      <c r="R262" s="142"/>
      <c r="S262" s="142"/>
      <c r="T262" s="142"/>
      <c r="U262" s="142"/>
      <c r="V262" s="142"/>
      <c r="W262" s="142"/>
      <c r="X262" s="142"/>
      <c r="Y262" s="142"/>
      <c r="Z262" s="142"/>
      <c r="AA262" s="142"/>
      <c r="AB262" s="142"/>
      <c r="AC262" s="142"/>
      <c r="AD262" s="142"/>
      <c r="AE262" s="142"/>
      <c r="AF262" s="142"/>
      <c r="AG262" s="142"/>
      <c r="AH262" s="142"/>
      <c r="AI262" s="142"/>
      <c r="AJ262" s="142"/>
      <c r="AK262" s="142"/>
      <c r="AL262" s="142"/>
      <c r="AM262" s="142"/>
      <c r="AN262" s="142"/>
      <c r="AO262" s="142"/>
      <c r="AP262" s="142"/>
      <c r="AQ262" s="142"/>
      <c r="AR262" s="142"/>
      <c r="AS262" s="142"/>
      <c r="AT262" s="142"/>
      <c r="AU262" s="142"/>
      <c r="AV262" s="142"/>
      <c r="AW262" s="142"/>
      <c r="AX262" s="142"/>
      <c r="AY262" s="142"/>
      <c r="AZ262" s="142"/>
      <c r="BA262" s="142"/>
      <c r="BB262" s="142"/>
      <c r="BC262" s="142"/>
      <c r="BD262" s="142"/>
      <c r="BE262" s="142"/>
      <c r="BF262" s="142"/>
      <c r="BG262" s="142"/>
      <c r="BH262" s="142"/>
      <c r="BI262" s="142"/>
      <c r="BJ262" s="142"/>
      <c r="BK262" s="142"/>
      <c r="BL262" s="142"/>
      <c r="BM262" s="142"/>
      <c r="BN262" s="142"/>
      <c r="BO262" s="142"/>
      <c r="BP262" s="142"/>
      <c r="BQ262" s="142"/>
      <c r="BR262" s="142"/>
      <c r="BS262" s="142"/>
      <c r="BT262" s="142"/>
      <c r="BU262" s="142"/>
      <c r="BV262" s="142"/>
      <c r="BW262" s="142"/>
      <c r="BX262" s="142"/>
      <c r="BY262" s="142"/>
      <c r="BZ262" s="142"/>
      <c r="CA262" s="142"/>
      <c r="CB262" s="142"/>
      <c r="CC262" s="142"/>
      <c r="CD262" s="142"/>
      <c r="CE262" s="142"/>
      <c r="CF262" s="142"/>
      <c r="CG262" s="142"/>
      <c r="CH262" s="142"/>
      <c r="CI262" s="142"/>
      <c r="CJ262" s="142"/>
      <c r="CK262" s="142"/>
      <c r="CL262" s="142"/>
      <c r="CM262" s="142"/>
      <c r="CN262" s="142"/>
      <c r="CO262" s="142"/>
      <c r="CP262" s="142"/>
      <c r="CQ262" s="142"/>
      <c r="CR262" s="142"/>
      <c r="CS262" s="142"/>
      <c r="CT262" s="142"/>
      <c r="CU262" s="142"/>
      <c r="CV262" s="142"/>
      <c r="CW262" s="142"/>
      <c r="CX262" s="142"/>
      <c r="CY262" s="142"/>
      <c r="CZ262" s="142"/>
      <c r="DA262" s="142"/>
      <c r="DB262" s="142"/>
      <c r="DC262" s="142"/>
      <c r="DD262" s="142"/>
      <c r="DE262" s="142"/>
      <c r="DF262" s="142"/>
      <c r="DG262" s="142"/>
      <c r="DH262" s="142"/>
      <c r="DI262" s="142"/>
      <c r="DJ262" s="142"/>
      <c r="DK262" s="142"/>
      <c r="DL262" s="142"/>
      <c r="DM262" s="142"/>
      <c r="DN262" s="142"/>
      <c r="DO262" s="142"/>
      <c r="DP262" s="142"/>
      <c r="DQ262" s="142"/>
      <c r="DR262" s="142"/>
      <c r="DS262" s="142"/>
      <c r="DT262" s="142"/>
      <c r="DU262" s="142"/>
      <c r="DV262" s="142"/>
      <c r="DW262" s="142"/>
      <c r="DX262" s="142"/>
      <c r="DY262" s="142"/>
      <c r="DZ262" s="142"/>
      <c r="EA262" s="142"/>
      <c r="EB262" s="142"/>
      <c r="EC262" s="142"/>
      <c r="ED262" s="142"/>
      <c r="EE262" s="142"/>
      <c r="EF262" s="142"/>
      <c r="EG262" s="142"/>
      <c r="EH262" s="142"/>
      <c r="EI262" s="142"/>
      <c r="EJ262" s="142"/>
      <c r="EK262" s="142"/>
      <c r="EL262" s="142"/>
      <c r="EM262" s="142"/>
      <c r="EN262" s="142"/>
      <c r="EO262" s="142"/>
      <c r="EP262" s="142"/>
      <c r="EQ262" s="142"/>
      <c r="ER262" s="142"/>
      <c r="ES262" s="142"/>
      <c r="ET262" s="142"/>
      <c r="EU262" s="142"/>
      <c r="EV262" s="142"/>
      <c r="EW262" s="142"/>
      <c r="EX262" s="142"/>
      <c r="EY262" s="142"/>
      <c r="EZ262" s="142"/>
      <c r="FA262" s="142"/>
      <c r="FB262" s="142"/>
      <c r="FC262" s="142"/>
      <c r="FD262" s="142"/>
      <c r="FE262" s="142"/>
      <c r="FF262" s="142"/>
      <c r="FG262" s="142"/>
      <c r="FH262" s="142"/>
      <c r="FI262" s="142"/>
      <c r="FJ262" s="142"/>
      <c r="FK262" s="142"/>
      <c r="FL262" s="142"/>
      <c r="FM262" s="142"/>
      <c r="FN262" s="142"/>
      <c r="FO262" s="142"/>
      <c r="FP262" s="142"/>
      <c r="FQ262" s="142"/>
      <c r="FR262" s="142"/>
      <c r="FS262" s="142"/>
      <c r="FT262" s="142"/>
      <c r="FU262" s="142"/>
      <c r="FV262" s="142"/>
      <c r="FW262" s="142"/>
      <c r="FX262" s="142"/>
      <c r="FY262" s="142"/>
      <c r="FZ262" s="142"/>
      <c r="GA262" s="142"/>
      <c r="GB262" s="142"/>
      <c r="GC262" s="142"/>
      <c r="GD262" s="142"/>
      <c r="GE262" s="142"/>
      <c r="GF262" s="142"/>
      <c r="GG262" s="142"/>
      <c r="GH262" s="142"/>
      <c r="GI262" s="142"/>
      <c r="GJ262" s="142"/>
      <c r="GK262" s="142"/>
      <c r="GL262" s="142"/>
      <c r="GM262" s="142"/>
      <c r="GN262" s="142"/>
      <c r="GO262" s="142"/>
      <c r="GP262" s="142"/>
      <c r="GQ262" s="142"/>
      <c r="GR262" s="142"/>
      <c r="GS262" s="142"/>
      <c r="GT262" s="142"/>
      <c r="GU262" s="142"/>
      <c r="GV262" s="142"/>
      <c r="GW262" s="142"/>
      <c r="GX262" s="142"/>
      <c r="GY262" s="142"/>
      <c r="GZ262" s="142"/>
      <c r="HA262" s="142"/>
      <c r="HB262" s="142"/>
      <c r="HC262" s="142"/>
      <c r="HD262" s="142"/>
      <c r="HE262" s="142"/>
      <c r="HF262" s="142"/>
      <c r="HG262" s="142"/>
      <c r="HH262" s="142"/>
      <c r="HI262" s="142"/>
      <c r="HJ262" s="142"/>
      <c r="HK262" s="142"/>
      <c r="HL262" s="142"/>
      <c r="HM262" s="142"/>
      <c r="HN262" s="142"/>
      <c r="HO262" s="142"/>
      <c r="HP262" s="142"/>
      <c r="HQ262" s="142"/>
      <c r="HR262" s="142"/>
      <c r="HS262" s="142"/>
      <c r="HT262" s="142"/>
      <c r="HU262" s="142"/>
      <c r="HV262" s="142"/>
      <c r="HW262" s="142"/>
      <c r="HX262" s="142"/>
      <c r="HY262" s="142"/>
      <c r="HZ262" s="142"/>
      <c r="IA262" s="142"/>
      <c r="IB262" s="142"/>
      <c r="IC262" s="142"/>
      <c r="ID262" s="142"/>
      <c r="IE262" s="142"/>
      <c r="IF262" s="142"/>
      <c r="IG262" s="142"/>
      <c r="IH262" s="142"/>
      <c r="II262" s="142"/>
      <c r="IJ262" s="142"/>
      <c r="IK262" s="142"/>
      <c r="IL262" s="142"/>
      <c r="IM262" s="142"/>
      <c r="IN262" s="142"/>
      <c r="IO262" s="142"/>
      <c r="IP262" s="142"/>
      <c r="IQ262" s="142"/>
      <c r="IR262" s="142"/>
      <c r="IS262" s="142"/>
      <c r="IT262" s="142"/>
      <c r="IU262" s="142"/>
      <c r="IV262" s="142"/>
    </row>
    <row r="263" spans="1:8" s="71" customFormat="1" ht="13.5" customHeight="1">
      <c r="A263" s="71" t="s">
        <v>138</v>
      </c>
      <c r="B263" s="58" t="s">
        <v>810</v>
      </c>
      <c r="C263" s="24">
        <v>7200</v>
      </c>
      <c r="D263" s="378"/>
      <c r="G263" s="344"/>
      <c r="H263" s="12"/>
    </row>
    <row r="264" spans="1:10" s="71" customFormat="1" ht="13.5" customHeight="1">
      <c r="A264" s="71" t="s">
        <v>49</v>
      </c>
      <c r="B264" s="24" t="s">
        <v>87</v>
      </c>
      <c r="C264" s="24">
        <v>390600</v>
      </c>
      <c r="D264" s="346"/>
      <c r="E264" s="407"/>
      <c r="F264" s="335"/>
      <c r="G264" s="346"/>
      <c r="H264" s="12"/>
      <c r="J264" s="23"/>
    </row>
    <row r="265" spans="1:10" s="71" customFormat="1" ht="13.5" customHeight="1">
      <c r="A265" s="71" t="s">
        <v>813</v>
      </c>
      <c r="B265" s="42" t="s">
        <v>814</v>
      </c>
      <c r="C265" s="24">
        <v>675000</v>
      </c>
      <c r="D265" s="346"/>
      <c r="E265" s="407"/>
      <c r="F265" s="335"/>
      <c r="G265" s="346"/>
      <c r="H265" s="12"/>
      <c r="J265" s="23"/>
    </row>
    <row r="266" spans="1:7" s="71" customFormat="1" ht="13.5" customHeight="1">
      <c r="A266" s="11" t="s">
        <v>113</v>
      </c>
      <c r="B266" s="31" t="s">
        <v>114</v>
      </c>
      <c r="C266" s="31">
        <f>SUM(C267:C267)</f>
        <v>23680</v>
      </c>
      <c r="D266" s="378"/>
      <c r="G266" s="344"/>
    </row>
    <row r="267" spans="1:11" s="71" customFormat="1" ht="13.5" customHeight="1">
      <c r="A267" s="12" t="s">
        <v>163</v>
      </c>
      <c r="B267" s="12" t="s">
        <v>74</v>
      </c>
      <c r="C267" s="24">
        <v>23680</v>
      </c>
      <c r="E267" s="142"/>
      <c r="G267" s="142"/>
      <c r="H267" s="378"/>
      <c r="J267" s="344"/>
      <c r="K267" s="346"/>
    </row>
    <row r="268" spans="1:12" s="71" customFormat="1" ht="13.5" customHeight="1">
      <c r="A268" s="249" t="s">
        <v>115</v>
      </c>
      <c r="B268" s="31" t="s">
        <v>8</v>
      </c>
      <c r="C268" s="31">
        <f>SUM(C269:C272)</f>
        <v>1830320</v>
      </c>
      <c r="D268" s="23"/>
      <c r="E268" s="24"/>
      <c r="F268" s="344"/>
      <c r="G268" s="344"/>
      <c r="H268" s="339"/>
      <c r="I268" s="336"/>
      <c r="J268" s="12"/>
      <c r="K268" s="12"/>
      <c r="L268" s="12"/>
    </row>
    <row r="269" spans="1:12" s="249" customFormat="1" ht="13.5" customHeight="1">
      <c r="A269" s="71" t="s">
        <v>92</v>
      </c>
      <c r="B269" s="24" t="s">
        <v>8</v>
      </c>
      <c r="C269" s="24">
        <v>798840</v>
      </c>
      <c r="D269" s="23"/>
      <c r="E269" s="24"/>
      <c r="F269" s="344"/>
      <c r="G269" s="344"/>
      <c r="H269" s="393"/>
      <c r="I269" s="215"/>
      <c r="J269" s="12"/>
      <c r="K269" s="12"/>
      <c r="L269" s="12"/>
    </row>
    <row r="270" spans="1:12" s="100" customFormat="1" ht="13.5" customHeight="1">
      <c r="A270" s="71" t="s">
        <v>182</v>
      </c>
      <c r="B270" s="24" t="s">
        <v>50</v>
      </c>
      <c r="C270" s="24">
        <v>6480</v>
      </c>
      <c r="D270" s="71"/>
      <c r="E270" s="71"/>
      <c r="F270" s="71"/>
      <c r="G270" s="71"/>
      <c r="H270" s="339"/>
      <c r="I270" s="12"/>
      <c r="J270" s="11"/>
      <c r="K270" s="336"/>
      <c r="L270" s="11"/>
    </row>
    <row r="271" spans="1:7" s="334" customFormat="1" ht="13.5" customHeight="1">
      <c r="A271" s="71" t="s">
        <v>223</v>
      </c>
      <c r="B271" s="12" t="s">
        <v>222</v>
      </c>
      <c r="C271" s="24">
        <v>180000</v>
      </c>
      <c r="D271" s="11"/>
      <c r="E271" s="336"/>
      <c r="F271" s="352"/>
      <c r="G271" s="344"/>
    </row>
    <row r="272" spans="1:7" s="5" customFormat="1" ht="13.5">
      <c r="A272" s="71" t="s">
        <v>90</v>
      </c>
      <c r="B272" s="24" t="s">
        <v>7</v>
      </c>
      <c r="C272" s="24">
        <f>795000+50000</f>
        <v>845000</v>
      </c>
      <c r="D272" s="71"/>
      <c r="E272" s="71"/>
      <c r="F272" s="71"/>
      <c r="G272" s="71"/>
    </row>
    <row r="273" spans="1:9" s="5" customFormat="1" ht="14.25" thickBot="1">
      <c r="A273" s="71"/>
      <c r="B273" s="24"/>
      <c r="C273" s="24"/>
      <c r="D273" s="71"/>
      <c r="E273" s="71"/>
      <c r="F273" s="71"/>
      <c r="G273" s="71"/>
      <c r="I273" s="403"/>
    </row>
    <row r="274" spans="1:7" s="5" customFormat="1" ht="14.25" thickBot="1">
      <c r="A274" s="996" t="s">
        <v>4</v>
      </c>
      <c r="B274" s="997"/>
      <c r="C274" s="605">
        <f>C275+C279</f>
        <v>93800</v>
      </c>
      <c r="D274" s="249"/>
      <c r="E274" s="249"/>
      <c r="F274" s="249"/>
      <c r="G274" s="249"/>
    </row>
    <row r="275" spans="1:7" s="5" customFormat="1" ht="13.5">
      <c r="A275" s="249" t="s">
        <v>116</v>
      </c>
      <c r="B275" s="281" t="s">
        <v>117</v>
      </c>
      <c r="C275" s="32">
        <f>SUM(C276:C278)</f>
        <v>82800</v>
      </c>
      <c r="D275" s="339"/>
      <c r="E275" s="123"/>
      <c r="F275" s="341"/>
      <c r="G275" s="341"/>
    </row>
    <row r="276" spans="1:7" s="5" customFormat="1" ht="13.5">
      <c r="A276" s="71" t="s">
        <v>91</v>
      </c>
      <c r="B276" s="71" t="s">
        <v>139</v>
      </c>
      <c r="C276" s="24">
        <v>26000</v>
      </c>
      <c r="D276" s="336"/>
      <c r="E276" s="383"/>
      <c r="F276" s="344"/>
      <c r="G276" s="390"/>
    </row>
    <row r="277" spans="1:7" s="1" customFormat="1" ht="13.5" customHeight="1">
      <c r="A277" s="71" t="s">
        <v>57</v>
      </c>
      <c r="B277" s="71" t="s">
        <v>58</v>
      </c>
      <c r="C277" s="24">
        <v>20000</v>
      </c>
      <c r="D277" s="335"/>
      <c r="E277" s="335"/>
      <c r="F277" s="335"/>
      <c r="G277" s="390"/>
    </row>
    <row r="278" spans="1:256" s="5" customFormat="1" ht="13.5">
      <c r="A278" s="71" t="s">
        <v>756</v>
      </c>
      <c r="B278" s="23" t="s">
        <v>757</v>
      </c>
      <c r="C278" s="54">
        <v>36800</v>
      </c>
      <c r="D278" s="200"/>
      <c r="E278" s="200"/>
      <c r="F278" s="200"/>
      <c r="G278" s="200"/>
      <c r="H278" s="200"/>
      <c r="I278" s="200"/>
      <c r="J278" s="200"/>
      <c r="K278" s="200"/>
      <c r="L278" s="200"/>
      <c r="M278" s="200"/>
      <c r="N278" s="200"/>
      <c r="O278" s="200"/>
      <c r="P278" s="200"/>
      <c r="Q278" s="200"/>
      <c r="R278" s="200"/>
      <c r="S278" s="200"/>
      <c r="T278" s="200"/>
      <c r="U278" s="200"/>
      <c r="V278" s="200"/>
      <c r="W278" s="200"/>
      <c r="X278" s="200"/>
      <c r="Y278" s="200"/>
      <c r="Z278" s="200"/>
      <c r="AA278" s="200"/>
      <c r="AB278" s="200"/>
      <c r="AC278" s="200"/>
      <c r="AD278" s="200"/>
      <c r="AE278" s="200"/>
      <c r="AF278" s="200"/>
      <c r="AG278" s="200"/>
      <c r="AH278" s="200"/>
      <c r="AI278" s="200"/>
      <c r="AJ278" s="200"/>
      <c r="AK278" s="200"/>
      <c r="AL278" s="200"/>
      <c r="AM278" s="200"/>
      <c r="AN278" s="200"/>
      <c r="AO278" s="200"/>
      <c r="AP278" s="200"/>
      <c r="AQ278" s="200"/>
      <c r="AR278" s="200"/>
      <c r="AS278" s="200"/>
      <c r="AT278" s="200"/>
      <c r="AU278" s="200"/>
      <c r="AV278" s="200"/>
      <c r="AW278" s="200"/>
      <c r="AX278" s="200"/>
      <c r="AY278" s="200"/>
      <c r="AZ278" s="200"/>
      <c r="BA278" s="200"/>
      <c r="BB278" s="200"/>
      <c r="BC278" s="200"/>
      <c r="BD278" s="200"/>
      <c r="BE278" s="200"/>
      <c r="BF278" s="200"/>
      <c r="BG278" s="200"/>
      <c r="BH278" s="200"/>
      <c r="BI278" s="200"/>
      <c r="BJ278" s="200"/>
      <c r="BK278" s="200"/>
      <c r="BL278" s="200"/>
      <c r="BM278" s="200"/>
      <c r="BN278" s="200"/>
      <c r="BO278" s="200"/>
      <c r="BP278" s="200"/>
      <c r="BQ278" s="200"/>
      <c r="BR278" s="200"/>
      <c r="BS278" s="200"/>
      <c r="BT278" s="200"/>
      <c r="BU278" s="200"/>
      <c r="BV278" s="200"/>
      <c r="BW278" s="200"/>
      <c r="BX278" s="200"/>
      <c r="BY278" s="200"/>
      <c r="BZ278" s="200"/>
      <c r="CA278" s="200"/>
      <c r="CB278" s="200"/>
      <c r="CC278" s="200"/>
      <c r="CD278" s="200"/>
      <c r="CE278" s="200"/>
      <c r="CF278" s="200"/>
      <c r="CG278" s="200"/>
      <c r="CH278" s="200"/>
      <c r="CI278" s="200"/>
      <c r="CJ278" s="200"/>
      <c r="CK278" s="200"/>
      <c r="CL278" s="200"/>
      <c r="CM278" s="200"/>
      <c r="CN278" s="200"/>
      <c r="CO278" s="200"/>
      <c r="CP278" s="200"/>
      <c r="CQ278" s="200"/>
      <c r="CR278" s="200"/>
      <c r="CS278" s="200"/>
      <c r="CT278" s="200"/>
      <c r="CU278" s="200"/>
      <c r="CV278" s="200"/>
      <c r="CW278" s="200"/>
      <c r="CX278" s="200"/>
      <c r="CY278" s="200"/>
      <c r="CZ278" s="200"/>
      <c r="DA278" s="200"/>
      <c r="DB278" s="200"/>
      <c r="DC278" s="200"/>
      <c r="DD278" s="200"/>
      <c r="DE278" s="200"/>
      <c r="DF278" s="200"/>
      <c r="DG278" s="200"/>
      <c r="DH278" s="200"/>
      <c r="DI278" s="200"/>
      <c r="DJ278" s="200"/>
      <c r="DK278" s="200"/>
      <c r="DL278" s="200"/>
      <c r="DM278" s="200"/>
      <c r="DN278" s="200"/>
      <c r="DO278" s="200"/>
      <c r="DP278" s="200"/>
      <c r="DQ278" s="200"/>
      <c r="DR278" s="200"/>
      <c r="DS278" s="200"/>
      <c r="DT278" s="200"/>
      <c r="DU278" s="200"/>
      <c r="DV278" s="200"/>
      <c r="DW278" s="200"/>
      <c r="DX278" s="200"/>
      <c r="DY278" s="200"/>
      <c r="DZ278" s="200"/>
      <c r="EA278" s="200"/>
      <c r="EB278" s="200"/>
      <c r="EC278" s="200"/>
      <c r="ED278" s="200"/>
      <c r="EE278" s="200"/>
      <c r="EF278" s="200"/>
      <c r="EG278" s="200"/>
      <c r="EH278" s="200"/>
      <c r="EI278" s="200"/>
      <c r="EJ278" s="200"/>
      <c r="EK278" s="200"/>
      <c r="EL278" s="200"/>
      <c r="EM278" s="200"/>
      <c r="EN278" s="200"/>
      <c r="EO278" s="200"/>
      <c r="EP278" s="200"/>
      <c r="EQ278" s="200"/>
      <c r="ER278" s="200"/>
      <c r="ES278" s="200"/>
      <c r="ET278" s="200"/>
      <c r="EU278" s="200"/>
      <c r="EV278" s="200"/>
      <c r="EW278" s="200"/>
      <c r="EX278" s="200"/>
      <c r="EY278" s="200"/>
      <c r="EZ278" s="200"/>
      <c r="FA278" s="200"/>
      <c r="FB278" s="200"/>
      <c r="FC278" s="200"/>
      <c r="FD278" s="200"/>
      <c r="FE278" s="200"/>
      <c r="FF278" s="200"/>
      <c r="FG278" s="200"/>
      <c r="FH278" s="200"/>
      <c r="FI278" s="200"/>
      <c r="FJ278" s="200"/>
      <c r="FK278" s="200"/>
      <c r="FL278" s="200"/>
      <c r="FM278" s="200"/>
      <c r="FN278" s="200"/>
      <c r="FO278" s="200"/>
      <c r="FP278" s="200"/>
      <c r="FQ278" s="200"/>
      <c r="FR278" s="200"/>
      <c r="FS278" s="200"/>
      <c r="FT278" s="200"/>
      <c r="FU278" s="200"/>
      <c r="FV278" s="200"/>
      <c r="FW278" s="200"/>
      <c r="FX278" s="200"/>
      <c r="FY278" s="200"/>
      <c r="FZ278" s="200"/>
      <c r="GA278" s="200"/>
      <c r="GB278" s="200"/>
      <c r="GC278" s="200"/>
      <c r="GD278" s="200"/>
      <c r="GE278" s="200"/>
      <c r="GF278" s="200"/>
      <c r="GG278" s="200"/>
      <c r="GH278" s="200"/>
      <c r="GI278" s="200"/>
      <c r="GJ278" s="200"/>
      <c r="GK278" s="200"/>
      <c r="GL278" s="200"/>
      <c r="GM278" s="200"/>
      <c r="GN278" s="200"/>
      <c r="GO278" s="200"/>
      <c r="GP278" s="200"/>
      <c r="GQ278" s="200"/>
      <c r="GR278" s="200"/>
      <c r="GS278" s="200"/>
      <c r="GT278" s="200"/>
      <c r="GU278" s="200"/>
      <c r="GV278" s="200"/>
      <c r="GW278" s="200"/>
      <c r="GX278" s="200"/>
      <c r="GY278" s="200"/>
      <c r="GZ278" s="200"/>
      <c r="HA278" s="200"/>
      <c r="HB278" s="200"/>
      <c r="HC278" s="200"/>
      <c r="HD278" s="200"/>
      <c r="HE278" s="200"/>
      <c r="HF278" s="200"/>
      <c r="HG278" s="200"/>
      <c r="HH278" s="200"/>
      <c r="HI278" s="200"/>
      <c r="HJ278" s="200"/>
      <c r="HK278" s="200"/>
      <c r="HL278" s="200"/>
      <c r="HM278" s="200"/>
      <c r="HN278" s="200"/>
      <c r="HO278" s="200"/>
      <c r="HP278" s="200"/>
      <c r="HQ278" s="200"/>
      <c r="HR278" s="200"/>
      <c r="HS278" s="200"/>
      <c r="HT278" s="200"/>
      <c r="HU278" s="200"/>
      <c r="HV278" s="200"/>
      <c r="HW278" s="200"/>
      <c r="HX278" s="200"/>
      <c r="HY278" s="200"/>
      <c r="HZ278" s="200"/>
      <c r="IA278" s="200"/>
      <c r="IB278" s="200"/>
      <c r="IC278" s="200"/>
      <c r="ID278" s="200"/>
      <c r="IE278" s="200"/>
      <c r="IF278" s="200"/>
      <c r="IG278" s="200"/>
      <c r="IH278" s="200"/>
      <c r="II278" s="200"/>
      <c r="IJ278" s="200"/>
      <c r="IK278" s="200"/>
      <c r="IL278" s="200"/>
      <c r="IM278" s="200"/>
      <c r="IN278" s="200"/>
      <c r="IO278" s="200"/>
      <c r="IP278" s="200"/>
      <c r="IQ278" s="200"/>
      <c r="IR278" s="200"/>
      <c r="IS278" s="200"/>
      <c r="IT278" s="200"/>
      <c r="IU278" s="200"/>
      <c r="IV278" s="200"/>
    </row>
    <row r="279" spans="1:7" s="187" customFormat="1" ht="13.5" customHeight="1">
      <c r="A279" s="249" t="s">
        <v>165</v>
      </c>
      <c r="B279" s="25" t="s">
        <v>134</v>
      </c>
      <c r="C279" s="31">
        <f>SUM(C280)</f>
        <v>11000</v>
      </c>
      <c r="D279" s="336"/>
      <c r="E279" s="5"/>
      <c r="F279" s="351"/>
      <c r="G279" s="390"/>
    </row>
    <row r="280" spans="1:7" s="187" customFormat="1" ht="13.5" customHeight="1">
      <c r="A280" s="71" t="s">
        <v>166</v>
      </c>
      <c r="B280" s="23" t="s">
        <v>51</v>
      </c>
      <c r="C280" s="24">
        <v>11000</v>
      </c>
      <c r="D280" s="336"/>
      <c r="E280" s="336"/>
      <c r="F280" s="336"/>
      <c r="G280" s="390"/>
    </row>
    <row r="281" spans="1:7" s="187" customFormat="1" ht="13.5" customHeight="1">
      <c r="A281" s="71"/>
      <c r="B281" s="23"/>
      <c r="C281" s="24"/>
      <c r="D281" s="336"/>
      <c r="E281" s="336"/>
      <c r="F281" s="336"/>
      <c r="G281" s="390"/>
    </row>
    <row r="282" spans="1:7" s="187" customFormat="1" ht="13.5" customHeight="1" thickBot="1">
      <c r="A282" s="395"/>
      <c r="B282" s="395"/>
      <c r="C282" s="23"/>
      <c r="D282" s="22"/>
      <c r="E282" s="24"/>
      <c r="F282" s="219"/>
      <c r="G282" s="398"/>
    </row>
    <row r="283" spans="1:7" s="187" customFormat="1" ht="13.5" customHeight="1">
      <c r="A283" s="583" t="s">
        <v>457</v>
      </c>
      <c r="B283" s="584"/>
      <c r="C283" s="625"/>
      <c r="D283" s="627" t="s">
        <v>6</v>
      </c>
      <c r="E283" s="755">
        <v>1405</v>
      </c>
      <c r="F283" s="399"/>
      <c r="G283" s="385"/>
    </row>
    <row r="284" spans="1:7" s="187" customFormat="1" ht="13.5" customHeight="1" thickBot="1">
      <c r="A284" s="642"/>
      <c r="B284" s="663"/>
      <c r="C284" s="668"/>
      <c r="D284" s="669"/>
      <c r="E284" s="673"/>
      <c r="F284" s="399"/>
      <c r="G284" s="385"/>
    </row>
    <row r="285" spans="1:7" s="187" customFormat="1" ht="13.5" customHeight="1">
      <c r="A285" s="979" t="s">
        <v>902</v>
      </c>
      <c r="B285" s="980"/>
      <c r="C285" s="980"/>
      <c r="D285" s="980"/>
      <c r="E285" s="981"/>
      <c r="F285" s="399"/>
      <c r="G285" s="385"/>
    </row>
    <row r="286" spans="1:7" s="187" customFormat="1" ht="13.5" customHeight="1">
      <c r="A286" s="982"/>
      <c r="B286" s="983"/>
      <c r="C286" s="983"/>
      <c r="D286" s="983"/>
      <c r="E286" s="984"/>
      <c r="F286" s="399"/>
      <c r="G286" s="385"/>
    </row>
    <row r="287" spans="1:7" s="187" customFormat="1" ht="13.5" customHeight="1">
      <c r="A287" s="982"/>
      <c r="B287" s="983"/>
      <c r="C287" s="983"/>
      <c r="D287" s="983"/>
      <c r="E287" s="984"/>
      <c r="F287" s="399"/>
      <c r="G287" s="385"/>
    </row>
    <row r="288" spans="1:5" s="187" customFormat="1" ht="13.5" customHeight="1">
      <c r="A288" s="982"/>
      <c r="B288" s="983"/>
      <c r="C288" s="983"/>
      <c r="D288" s="983"/>
      <c r="E288" s="984"/>
    </row>
    <row r="289" spans="1:7" s="320" customFormat="1" ht="13.5" customHeight="1">
      <c r="A289" s="982"/>
      <c r="B289" s="983"/>
      <c r="C289" s="983"/>
      <c r="D289" s="983"/>
      <c r="E289" s="984"/>
      <c r="F289" s="187"/>
      <c r="G289" s="187"/>
    </row>
    <row r="290" spans="1:5" s="187" customFormat="1" ht="13.5" customHeight="1" thickBot="1">
      <c r="A290" s="985"/>
      <c r="B290" s="986"/>
      <c r="C290" s="986"/>
      <c r="D290" s="986"/>
      <c r="E290" s="987"/>
    </row>
    <row r="291" spans="1:7" s="1" customFormat="1" ht="13.5" customHeight="1">
      <c r="A291" s="116" t="s">
        <v>809</v>
      </c>
      <c r="B291" s="116"/>
      <c r="C291" s="400"/>
      <c r="D291" s="401"/>
      <c r="E291" s="402"/>
      <c r="F291" s="320"/>
      <c r="G291" s="320"/>
    </row>
    <row r="292" spans="1:7" s="1" customFormat="1" ht="13.5" customHeight="1">
      <c r="A292" s="40" t="s">
        <v>626</v>
      </c>
      <c r="B292" s="40"/>
      <c r="C292" s="24"/>
      <c r="D292" s="22"/>
      <c r="E292" s="303"/>
      <c r="F292" s="187"/>
      <c r="G292" s="187"/>
    </row>
    <row r="293" spans="1:10" s="249" customFormat="1" ht="13.5" customHeight="1">
      <c r="A293" s="40" t="s">
        <v>767</v>
      </c>
      <c r="B293" s="40"/>
      <c r="C293" s="24"/>
      <c r="D293" s="22"/>
      <c r="E293" s="303"/>
      <c r="F293" s="408"/>
      <c r="G293" s="409"/>
      <c r="H293" s="11"/>
      <c r="I293" s="11"/>
      <c r="J293" s="11"/>
    </row>
    <row r="294" spans="1:7" s="100" customFormat="1" ht="13.5" customHeight="1" thickBot="1">
      <c r="A294" s="75" t="s">
        <v>11</v>
      </c>
      <c r="B294" s="75"/>
      <c r="C294" s="360"/>
      <c r="D294" s="376"/>
      <c r="E294" s="361"/>
      <c r="F294" s="408"/>
      <c r="G294" s="409"/>
    </row>
    <row r="295" spans="1:7" s="12" customFormat="1" ht="13.5" customHeight="1" thickBot="1">
      <c r="A295" s="697" t="s">
        <v>0</v>
      </c>
      <c r="B295" s="697"/>
      <c r="C295" s="699"/>
      <c r="D295" s="715" t="s">
        <v>458</v>
      </c>
      <c r="E295" s="701">
        <f>+C297+C323+C341+C345</f>
        <v>5415740</v>
      </c>
      <c r="F295" s="410"/>
      <c r="G295" s="411"/>
    </row>
    <row r="296" spans="1:7" s="12" customFormat="1" ht="13.5" customHeight="1" thickBot="1">
      <c r="A296" s="412"/>
      <c r="B296" s="413"/>
      <c r="C296" s="414"/>
      <c r="D296" s="32"/>
      <c r="E296" s="1"/>
      <c r="F296" s="327"/>
      <c r="G296" s="411"/>
    </row>
    <row r="297" spans="1:7" s="12" customFormat="1" ht="13.5" customHeight="1" thickBot="1">
      <c r="A297" s="992" t="s">
        <v>2</v>
      </c>
      <c r="B297" s="993"/>
      <c r="C297" s="602">
        <f>+C298+C300+C302+C304+C307+C313+C316</f>
        <v>1543140</v>
      </c>
      <c r="D297" s="382"/>
      <c r="E297" s="249"/>
      <c r="F297" s="327"/>
      <c r="G297" s="351"/>
    </row>
    <row r="298" spans="1:7" s="12" customFormat="1" ht="13.5" customHeight="1">
      <c r="A298" s="11" t="s">
        <v>103</v>
      </c>
      <c r="B298" s="281" t="s">
        <v>104</v>
      </c>
      <c r="C298" s="32">
        <f>SUM(C299)</f>
        <v>815120</v>
      </c>
      <c r="D298" s="340"/>
      <c r="E298" s="100"/>
      <c r="F298" s="329"/>
      <c r="G298" s="341"/>
    </row>
    <row r="299" spans="1:10" s="3" customFormat="1" ht="13.5">
      <c r="A299" s="12" t="s">
        <v>46</v>
      </c>
      <c r="B299" s="12" t="s">
        <v>45</v>
      </c>
      <c r="C299" s="24">
        <v>815120</v>
      </c>
      <c r="D299" s="415"/>
      <c r="E299" s="336"/>
      <c r="F299" s="336"/>
      <c r="G299" s="374"/>
      <c r="H299" s="142"/>
      <c r="I299" s="142"/>
      <c r="J299" s="142"/>
    </row>
    <row r="300" spans="1:10" s="3" customFormat="1" ht="13.5">
      <c r="A300" s="11" t="s">
        <v>200</v>
      </c>
      <c r="B300" s="11" t="s">
        <v>220</v>
      </c>
      <c r="C300" s="31">
        <f>SUM(C301)</f>
        <v>20210</v>
      </c>
      <c r="D300" s="100"/>
      <c r="E300" s="12"/>
      <c r="F300" s="374"/>
      <c r="G300" s="12"/>
      <c r="H300" s="142"/>
      <c r="I300" s="142"/>
      <c r="J300" s="142"/>
    </row>
    <row r="301" spans="1:10" s="3" customFormat="1" ht="13.5">
      <c r="A301" s="12" t="s">
        <v>228</v>
      </c>
      <c r="B301" s="12" t="s">
        <v>227</v>
      </c>
      <c r="C301" s="24">
        <v>20210</v>
      </c>
      <c r="D301" s="405"/>
      <c r="E301" s="12"/>
      <c r="F301" s="374"/>
      <c r="G301" s="12"/>
      <c r="H301" s="142"/>
      <c r="I301" s="142"/>
      <c r="J301" s="142"/>
    </row>
    <row r="302" spans="1:10" s="3" customFormat="1" ht="13.5">
      <c r="A302" s="11" t="s">
        <v>105</v>
      </c>
      <c r="B302" s="11" t="s">
        <v>106</v>
      </c>
      <c r="C302" s="31">
        <f>SUM(C303)</f>
        <v>36350</v>
      </c>
      <c r="D302" s="415"/>
      <c r="E302" s="336"/>
      <c r="F302" s="336"/>
      <c r="G302" s="374"/>
      <c r="H302" s="142"/>
      <c r="I302" s="142"/>
      <c r="J302" s="142"/>
    </row>
    <row r="303" spans="1:10" s="5" customFormat="1" ht="13.5">
      <c r="A303" s="12" t="s">
        <v>86</v>
      </c>
      <c r="B303" s="71" t="s">
        <v>66</v>
      </c>
      <c r="C303" s="24">
        <v>36350</v>
      </c>
      <c r="D303" s="415"/>
      <c r="E303" s="336"/>
      <c r="F303" s="336"/>
      <c r="G303" s="142"/>
      <c r="H303" s="142"/>
      <c r="I303" s="142"/>
      <c r="J303" s="142"/>
    </row>
    <row r="304" spans="1:8" s="5" customFormat="1" ht="13.5">
      <c r="A304" s="11" t="s">
        <v>107</v>
      </c>
      <c r="B304" s="249" t="s">
        <v>108</v>
      </c>
      <c r="C304" s="31">
        <f>SUM(C305:C306)</f>
        <v>228100</v>
      </c>
      <c r="D304" s="415"/>
      <c r="E304" s="336"/>
      <c r="F304" s="336"/>
      <c r="G304" s="142"/>
      <c r="H304" s="142"/>
    </row>
    <row r="305" spans="1:8" s="3" customFormat="1" ht="13.5">
      <c r="A305" s="12" t="s">
        <v>47</v>
      </c>
      <c r="B305" s="23" t="s">
        <v>48</v>
      </c>
      <c r="C305" s="24">
        <v>33360</v>
      </c>
      <c r="D305" s="415"/>
      <c r="E305" s="5"/>
      <c r="F305" s="374"/>
      <c r="G305" s="374"/>
      <c r="H305" s="5"/>
    </row>
    <row r="306" spans="1:8" s="5" customFormat="1" ht="13.5">
      <c r="A306" s="12" t="s">
        <v>453</v>
      </c>
      <c r="B306" s="42" t="s">
        <v>454</v>
      </c>
      <c r="C306" s="24">
        <v>194740</v>
      </c>
      <c r="D306" s="384"/>
      <c r="E306" s="336"/>
      <c r="F306" s="336"/>
      <c r="G306" s="385"/>
      <c r="H306" s="71"/>
    </row>
    <row r="307" spans="1:7" s="3" customFormat="1" ht="13.5">
      <c r="A307" s="249" t="s">
        <v>119</v>
      </c>
      <c r="B307" s="25" t="s">
        <v>109</v>
      </c>
      <c r="C307" s="31">
        <f>SUM(C308:C312)</f>
        <v>100300</v>
      </c>
      <c r="D307" s="415"/>
      <c r="E307" s="100"/>
      <c r="F307" s="374"/>
      <c r="G307" s="374"/>
    </row>
    <row r="308" spans="1:10" s="5" customFormat="1" ht="13.5">
      <c r="A308" s="71" t="s">
        <v>149</v>
      </c>
      <c r="B308" s="24" t="s">
        <v>338</v>
      </c>
      <c r="C308" s="24">
        <v>5550</v>
      </c>
      <c r="D308" s="415"/>
      <c r="E308" s="100"/>
      <c r="F308" s="374"/>
      <c r="G308" s="374"/>
      <c r="H308" s="142"/>
      <c r="I308" s="142"/>
      <c r="J308" s="142"/>
    </row>
    <row r="309" spans="1:7" s="5" customFormat="1" ht="13.5">
      <c r="A309" s="12" t="s">
        <v>641</v>
      </c>
      <c r="B309" s="42" t="s">
        <v>640</v>
      </c>
      <c r="C309" s="24">
        <v>10800</v>
      </c>
      <c r="D309" s="14"/>
      <c r="F309" s="344"/>
      <c r="G309" s="385"/>
    </row>
    <row r="310" spans="1:5" s="65" customFormat="1" ht="13.5">
      <c r="A310" s="71" t="s">
        <v>758</v>
      </c>
      <c r="B310" s="24" t="s">
        <v>753</v>
      </c>
      <c r="C310" s="24">
        <v>28700</v>
      </c>
      <c r="D310" s="77"/>
      <c r="E310" s="25"/>
    </row>
    <row r="311" spans="1:5" s="65" customFormat="1" ht="13.5">
      <c r="A311" s="71" t="s">
        <v>762</v>
      </c>
      <c r="B311" s="24" t="s">
        <v>763</v>
      </c>
      <c r="C311" s="24">
        <v>40250</v>
      </c>
      <c r="D311" s="77"/>
      <c r="E311" s="25"/>
    </row>
    <row r="312" spans="1:5" s="65" customFormat="1" ht="13.5">
      <c r="A312" s="71" t="s">
        <v>754</v>
      </c>
      <c r="B312" s="24" t="s">
        <v>755</v>
      </c>
      <c r="C312" s="24">
        <v>15000</v>
      </c>
      <c r="D312" s="77"/>
      <c r="E312" s="25"/>
    </row>
    <row r="313" spans="1:7" s="5" customFormat="1" ht="13.5">
      <c r="A313" s="249" t="s">
        <v>124</v>
      </c>
      <c r="B313" s="25" t="s">
        <v>123</v>
      </c>
      <c r="C313" s="31">
        <f>SUM(C314:C315)</f>
        <v>68200</v>
      </c>
      <c r="D313" s="3"/>
      <c r="E313" s="3"/>
      <c r="F313" s="3"/>
      <c r="G313" s="3"/>
    </row>
    <row r="314" spans="1:5" s="65" customFormat="1" ht="13.5">
      <c r="A314" s="12" t="s">
        <v>231</v>
      </c>
      <c r="B314" s="42" t="s">
        <v>230</v>
      </c>
      <c r="C314" s="24">
        <v>39560</v>
      </c>
      <c r="D314" s="56"/>
      <c r="E314" s="56"/>
    </row>
    <row r="315" spans="1:10" s="5" customFormat="1" ht="13.5">
      <c r="A315" s="71" t="s">
        <v>93</v>
      </c>
      <c r="B315" s="24" t="s">
        <v>72</v>
      </c>
      <c r="C315" s="24">
        <v>28640</v>
      </c>
      <c r="H315" s="142"/>
      <c r="I315" s="142"/>
      <c r="J315" s="142"/>
    </row>
    <row r="316" spans="1:10" s="3" customFormat="1" ht="13.5">
      <c r="A316" s="249" t="s">
        <v>150</v>
      </c>
      <c r="B316" s="25" t="s">
        <v>125</v>
      </c>
      <c r="C316" s="31">
        <f>SUM(C317:C321)</f>
        <v>274860</v>
      </c>
      <c r="D316" s="415"/>
      <c r="E316" s="100"/>
      <c r="F316" s="374"/>
      <c r="G316" s="374"/>
      <c r="H316" s="142"/>
      <c r="I316" s="142"/>
      <c r="J316" s="142"/>
    </row>
    <row r="317" spans="1:10" s="3" customFormat="1" ht="13.5">
      <c r="A317" s="71" t="s">
        <v>151</v>
      </c>
      <c r="B317" s="24" t="s">
        <v>65</v>
      </c>
      <c r="C317" s="24">
        <v>72330</v>
      </c>
      <c r="D317" s="336"/>
      <c r="E317" s="100"/>
      <c r="F317" s="344"/>
      <c r="G317" s="5"/>
      <c r="H317" s="142"/>
      <c r="I317" s="142"/>
      <c r="J317" s="142"/>
    </row>
    <row r="318" spans="1:10" s="249" customFormat="1" ht="13.5" customHeight="1">
      <c r="A318" s="71" t="s">
        <v>243</v>
      </c>
      <c r="B318" s="24" t="s">
        <v>244</v>
      </c>
      <c r="C318" s="24">
        <v>11000</v>
      </c>
      <c r="D318" s="336"/>
      <c r="E318" s="100"/>
      <c r="F318" s="344"/>
      <c r="G318" s="5"/>
      <c r="H318" s="11"/>
      <c r="I318" s="11"/>
      <c r="J318" s="11"/>
    </row>
    <row r="319" spans="1:8" s="249" customFormat="1" ht="13.5" customHeight="1">
      <c r="A319" s="71" t="s">
        <v>152</v>
      </c>
      <c r="B319" s="24" t="s">
        <v>70</v>
      </c>
      <c r="C319" s="24">
        <v>7150</v>
      </c>
      <c r="D319" s="415"/>
      <c r="E319" s="5"/>
      <c r="F319" s="344"/>
      <c r="G319" s="374"/>
      <c r="H319" s="11"/>
    </row>
    <row r="320" spans="1:7" s="100" customFormat="1" ht="13.5" customHeight="1">
      <c r="A320" s="71" t="s">
        <v>154</v>
      </c>
      <c r="B320" s="23" t="s">
        <v>125</v>
      </c>
      <c r="C320" s="24">
        <v>43820</v>
      </c>
      <c r="D320" s="415"/>
      <c r="E320" s="336"/>
      <c r="F320" s="336"/>
      <c r="G320" s="374"/>
    </row>
    <row r="321" spans="1:10" s="71" customFormat="1" ht="13.5" customHeight="1">
      <c r="A321" s="71" t="s">
        <v>643</v>
      </c>
      <c r="B321" s="42" t="s">
        <v>642</v>
      </c>
      <c r="C321" s="24">
        <v>140560</v>
      </c>
      <c r="D321" s="386"/>
      <c r="E321" s="336"/>
      <c r="F321" s="336"/>
      <c r="G321" s="385"/>
      <c r="H321" s="24"/>
      <c r="I321" s="12"/>
      <c r="J321" s="12"/>
    </row>
    <row r="322" spans="2:10" s="71" customFormat="1" ht="13.5" customHeight="1" thickBot="1">
      <c r="B322" s="23"/>
      <c r="C322" s="23"/>
      <c r="D322" s="415"/>
      <c r="E322" s="336"/>
      <c r="F322" s="336"/>
      <c r="G322" s="374"/>
      <c r="H322" s="24"/>
      <c r="I322" s="12"/>
      <c r="J322" s="12"/>
    </row>
    <row r="323" spans="1:10" s="71" customFormat="1" ht="13.5" customHeight="1" thickBot="1">
      <c r="A323" s="994" t="s">
        <v>3</v>
      </c>
      <c r="B323" s="995"/>
      <c r="C323" s="603">
        <f>C324+C326+C329+C333+C335</f>
        <v>2311390</v>
      </c>
      <c r="D323" s="415"/>
      <c r="E323" s="382"/>
      <c r="F323" s="382"/>
      <c r="G323" s="351"/>
      <c r="H323" s="24"/>
      <c r="I323" s="12"/>
      <c r="J323" s="12"/>
    </row>
    <row r="324" spans="1:10" s="71" customFormat="1" ht="13.5" customHeight="1">
      <c r="A324" s="249" t="s">
        <v>110</v>
      </c>
      <c r="B324" s="281" t="s">
        <v>111</v>
      </c>
      <c r="C324" s="32">
        <f>SUM(C325:C325)</f>
        <v>89040</v>
      </c>
      <c r="D324" s="416"/>
      <c r="E324" s="340"/>
      <c r="F324" s="340"/>
      <c r="G324" s="341"/>
      <c r="H324" s="24"/>
      <c r="I324" s="12"/>
      <c r="J324" s="12"/>
    </row>
    <row r="325" spans="1:10" s="71" customFormat="1" ht="13.5" customHeight="1">
      <c r="A325" s="71" t="s">
        <v>52</v>
      </c>
      <c r="B325" s="24" t="s">
        <v>15</v>
      </c>
      <c r="C325" s="24">
        <v>89040</v>
      </c>
      <c r="D325" s="415"/>
      <c r="E325" s="336"/>
      <c r="F325" s="336"/>
      <c r="G325" s="344"/>
      <c r="H325" s="24"/>
      <c r="I325" s="12"/>
      <c r="J325" s="12"/>
    </row>
    <row r="326" spans="1:8" s="71" customFormat="1" ht="13.5" customHeight="1">
      <c r="A326" s="11" t="s">
        <v>120</v>
      </c>
      <c r="B326" s="31" t="s">
        <v>121</v>
      </c>
      <c r="C326" s="31">
        <f>SUM(C327:C328)</f>
        <v>70300</v>
      </c>
      <c r="D326" s="415"/>
      <c r="E326" s="336"/>
      <c r="F326" s="336"/>
      <c r="G326" s="344"/>
      <c r="H326" s="24"/>
    </row>
    <row r="327" spans="1:9" s="65" customFormat="1" ht="13.5" customHeight="1">
      <c r="A327" s="58" t="s">
        <v>140</v>
      </c>
      <c r="B327" s="42" t="s">
        <v>141</v>
      </c>
      <c r="C327" s="59">
        <v>36000</v>
      </c>
      <c r="G327" s="59"/>
      <c r="H327" s="56"/>
      <c r="I327" s="56"/>
    </row>
    <row r="328" spans="1:8" s="71" customFormat="1" ht="13.5" customHeight="1">
      <c r="A328" s="12" t="s">
        <v>136</v>
      </c>
      <c r="B328" s="12" t="s">
        <v>71</v>
      </c>
      <c r="C328" s="24">
        <v>34300</v>
      </c>
      <c r="D328" s="415"/>
      <c r="E328" s="336"/>
      <c r="F328" s="336"/>
      <c r="G328" s="344"/>
      <c r="H328" s="24"/>
    </row>
    <row r="329" spans="1:256" s="71" customFormat="1" ht="13.5" customHeight="1">
      <c r="A329" s="249" t="s">
        <v>112</v>
      </c>
      <c r="B329" s="31" t="s">
        <v>156</v>
      </c>
      <c r="C329" s="31">
        <f>SUM(C330:C332)</f>
        <v>1156280</v>
      </c>
      <c r="D329" s="415"/>
      <c r="E329" s="336"/>
      <c r="F329" s="336"/>
      <c r="G329" s="344"/>
      <c r="H329" s="142"/>
      <c r="I329" s="142"/>
      <c r="J329" s="142"/>
      <c r="K329" s="142"/>
      <c r="L329" s="142"/>
      <c r="M329" s="142"/>
      <c r="N329" s="142"/>
      <c r="O329" s="142"/>
      <c r="P329" s="142"/>
      <c r="Q329" s="142"/>
      <c r="R329" s="142"/>
      <c r="S329" s="142"/>
      <c r="T329" s="142"/>
      <c r="U329" s="142"/>
      <c r="V329" s="142"/>
      <c r="W329" s="142"/>
      <c r="X329" s="142"/>
      <c r="Y329" s="142"/>
      <c r="Z329" s="142"/>
      <c r="AA329" s="142"/>
      <c r="AB329" s="142"/>
      <c r="AC329" s="142"/>
      <c r="AD329" s="142"/>
      <c r="AE329" s="142"/>
      <c r="AF329" s="142"/>
      <c r="AG329" s="142"/>
      <c r="AH329" s="142"/>
      <c r="AI329" s="142"/>
      <c r="AJ329" s="142"/>
      <c r="AK329" s="142"/>
      <c r="AL329" s="142"/>
      <c r="AM329" s="142"/>
      <c r="AN329" s="142"/>
      <c r="AO329" s="142"/>
      <c r="AP329" s="142"/>
      <c r="AQ329" s="142"/>
      <c r="AR329" s="142"/>
      <c r="AS329" s="142"/>
      <c r="AT329" s="142"/>
      <c r="AU329" s="142"/>
      <c r="AV329" s="142"/>
      <c r="AW329" s="142"/>
      <c r="AX329" s="142"/>
      <c r="AY329" s="142"/>
      <c r="AZ329" s="142"/>
      <c r="BA329" s="142"/>
      <c r="BB329" s="142"/>
      <c r="BC329" s="142"/>
      <c r="BD329" s="142"/>
      <c r="BE329" s="142"/>
      <c r="BF329" s="142"/>
      <c r="BG329" s="142"/>
      <c r="BH329" s="142"/>
      <c r="BI329" s="142"/>
      <c r="BJ329" s="142"/>
      <c r="BK329" s="142"/>
      <c r="BL329" s="142"/>
      <c r="BM329" s="142"/>
      <c r="BN329" s="142"/>
      <c r="BO329" s="142"/>
      <c r="BP329" s="142"/>
      <c r="BQ329" s="142"/>
      <c r="BR329" s="142"/>
      <c r="BS329" s="142"/>
      <c r="BT329" s="142"/>
      <c r="BU329" s="142"/>
      <c r="BV329" s="142"/>
      <c r="BW329" s="142"/>
      <c r="BX329" s="142"/>
      <c r="BY329" s="142"/>
      <c r="BZ329" s="142"/>
      <c r="CA329" s="142"/>
      <c r="CB329" s="142"/>
      <c r="CC329" s="142"/>
      <c r="CD329" s="142"/>
      <c r="CE329" s="142"/>
      <c r="CF329" s="142"/>
      <c r="CG329" s="142"/>
      <c r="CH329" s="142"/>
      <c r="CI329" s="142"/>
      <c r="CJ329" s="142"/>
      <c r="CK329" s="142"/>
      <c r="CL329" s="142"/>
      <c r="CM329" s="142"/>
      <c r="CN329" s="142"/>
      <c r="CO329" s="142"/>
      <c r="CP329" s="142"/>
      <c r="CQ329" s="142"/>
      <c r="CR329" s="142"/>
      <c r="CS329" s="142"/>
      <c r="CT329" s="142"/>
      <c r="CU329" s="142"/>
      <c r="CV329" s="142"/>
      <c r="CW329" s="142"/>
      <c r="CX329" s="142"/>
      <c r="CY329" s="142"/>
      <c r="CZ329" s="142"/>
      <c r="DA329" s="142"/>
      <c r="DB329" s="142"/>
      <c r="DC329" s="142"/>
      <c r="DD329" s="142"/>
      <c r="DE329" s="142"/>
      <c r="DF329" s="142"/>
      <c r="DG329" s="142"/>
      <c r="DH329" s="142"/>
      <c r="DI329" s="142"/>
      <c r="DJ329" s="142"/>
      <c r="DK329" s="142"/>
      <c r="DL329" s="142"/>
      <c r="DM329" s="142"/>
      <c r="DN329" s="142"/>
      <c r="DO329" s="142"/>
      <c r="DP329" s="142"/>
      <c r="DQ329" s="142"/>
      <c r="DR329" s="142"/>
      <c r="DS329" s="142"/>
      <c r="DT329" s="142"/>
      <c r="DU329" s="142"/>
      <c r="DV329" s="142"/>
      <c r="DW329" s="142"/>
      <c r="DX329" s="142"/>
      <c r="DY329" s="142"/>
      <c r="DZ329" s="142"/>
      <c r="EA329" s="142"/>
      <c r="EB329" s="142"/>
      <c r="EC329" s="142"/>
      <c r="ED329" s="142"/>
      <c r="EE329" s="142"/>
      <c r="EF329" s="142"/>
      <c r="EG329" s="142"/>
      <c r="EH329" s="142"/>
      <c r="EI329" s="142"/>
      <c r="EJ329" s="142"/>
      <c r="EK329" s="142"/>
      <c r="EL329" s="142"/>
      <c r="EM329" s="142"/>
      <c r="EN329" s="142"/>
      <c r="EO329" s="142"/>
      <c r="EP329" s="142"/>
      <c r="EQ329" s="142"/>
      <c r="ER329" s="142"/>
      <c r="ES329" s="142"/>
      <c r="ET329" s="142"/>
      <c r="EU329" s="142"/>
      <c r="EV329" s="142"/>
      <c r="EW329" s="142"/>
      <c r="EX329" s="142"/>
      <c r="EY329" s="142"/>
      <c r="EZ329" s="142"/>
      <c r="FA329" s="142"/>
      <c r="FB329" s="142"/>
      <c r="FC329" s="142"/>
      <c r="FD329" s="142"/>
      <c r="FE329" s="142"/>
      <c r="FF329" s="142"/>
      <c r="FG329" s="142"/>
      <c r="FH329" s="142"/>
      <c r="FI329" s="142"/>
      <c r="FJ329" s="142"/>
      <c r="FK329" s="142"/>
      <c r="FL329" s="142"/>
      <c r="FM329" s="142"/>
      <c r="FN329" s="142"/>
      <c r="FO329" s="142"/>
      <c r="FP329" s="142"/>
      <c r="FQ329" s="142"/>
      <c r="FR329" s="142"/>
      <c r="FS329" s="142"/>
      <c r="FT329" s="142"/>
      <c r="FU329" s="142"/>
      <c r="FV329" s="142"/>
      <c r="FW329" s="142"/>
      <c r="FX329" s="142"/>
      <c r="FY329" s="142"/>
      <c r="FZ329" s="142"/>
      <c r="GA329" s="142"/>
      <c r="GB329" s="142"/>
      <c r="GC329" s="142"/>
      <c r="GD329" s="142"/>
      <c r="GE329" s="142"/>
      <c r="GF329" s="142"/>
      <c r="GG329" s="142"/>
      <c r="GH329" s="142"/>
      <c r="GI329" s="142"/>
      <c r="GJ329" s="142"/>
      <c r="GK329" s="142"/>
      <c r="GL329" s="142"/>
      <c r="GM329" s="142"/>
      <c r="GN329" s="142"/>
      <c r="GO329" s="142"/>
      <c r="GP329" s="142"/>
      <c r="GQ329" s="142"/>
      <c r="GR329" s="142"/>
      <c r="GS329" s="142"/>
      <c r="GT329" s="142"/>
      <c r="GU329" s="142"/>
      <c r="GV329" s="142"/>
      <c r="GW329" s="142"/>
      <c r="GX329" s="142"/>
      <c r="GY329" s="142"/>
      <c r="GZ329" s="142"/>
      <c r="HA329" s="142"/>
      <c r="HB329" s="142"/>
      <c r="HC329" s="142"/>
      <c r="HD329" s="142"/>
      <c r="HE329" s="142"/>
      <c r="HF329" s="142"/>
      <c r="HG329" s="142"/>
      <c r="HH329" s="142"/>
      <c r="HI329" s="142"/>
      <c r="HJ329" s="142"/>
      <c r="HK329" s="142"/>
      <c r="HL329" s="142"/>
      <c r="HM329" s="142"/>
      <c r="HN329" s="142"/>
      <c r="HO329" s="142"/>
      <c r="HP329" s="142"/>
      <c r="HQ329" s="142"/>
      <c r="HR329" s="142"/>
      <c r="HS329" s="142"/>
      <c r="HT329" s="142"/>
      <c r="HU329" s="142"/>
      <c r="HV329" s="142"/>
      <c r="HW329" s="142"/>
      <c r="HX329" s="142"/>
      <c r="HY329" s="142"/>
      <c r="HZ329" s="142"/>
      <c r="IA329" s="142"/>
      <c r="IB329" s="142"/>
      <c r="IC329" s="142"/>
      <c r="ID329" s="142"/>
      <c r="IE329" s="142"/>
      <c r="IF329" s="142"/>
      <c r="IG329" s="142"/>
      <c r="IH329" s="142"/>
      <c r="II329" s="142"/>
      <c r="IJ329" s="142"/>
      <c r="IK329" s="142"/>
      <c r="IL329" s="142"/>
      <c r="IM329" s="142"/>
      <c r="IN329" s="142"/>
      <c r="IO329" s="142"/>
      <c r="IP329" s="142"/>
      <c r="IQ329" s="142"/>
      <c r="IR329" s="142"/>
      <c r="IS329" s="142"/>
      <c r="IT329" s="142"/>
      <c r="IU329" s="142"/>
      <c r="IV329" s="142"/>
    </row>
    <row r="330" spans="1:10" s="71" customFormat="1" ht="13.5" customHeight="1">
      <c r="A330" s="71" t="s">
        <v>138</v>
      </c>
      <c r="B330" s="58" t="s">
        <v>810</v>
      </c>
      <c r="C330" s="24">
        <v>6480</v>
      </c>
      <c r="D330" s="415"/>
      <c r="E330" s="336"/>
      <c r="F330" s="336"/>
      <c r="G330" s="344"/>
      <c r="H330" s="12"/>
      <c r="I330" s="12"/>
      <c r="J330" s="12"/>
    </row>
    <row r="331" spans="1:10" s="71" customFormat="1" ht="13.5" customHeight="1">
      <c r="A331" s="71" t="s">
        <v>49</v>
      </c>
      <c r="B331" s="24" t="s">
        <v>87</v>
      </c>
      <c r="C331" s="24">
        <v>874800</v>
      </c>
      <c r="E331" s="407"/>
      <c r="F331" s="341"/>
      <c r="H331" s="12"/>
      <c r="I331" s="12"/>
      <c r="J331" s="12"/>
    </row>
    <row r="332" spans="1:10" s="71" customFormat="1" ht="13.5" customHeight="1">
      <c r="A332" s="71" t="s">
        <v>813</v>
      </c>
      <c r="B332" s="42" t="s">
        <v>814</v>
      </c>
      <c r="C332" s="24">
        <v>275000</v>
      </c>
      <c r="D332" s="346"/>
      <c r="E332" s="407"/>
      <c r="F332" s="335"/>
      <c r="G332" s="346"/>
      <c r="H332" s="12"/>
      <c r="J332" s="23"/>
    </row>
    <row r="333" spans="1:10" s="71" customFormat="1" ht="13.5" customHeight="1">
      <c r="A333" s="11" t="s">
        <v>113</v>
      </c>
      <c r="B333" s="31" t="s">
        <v>114</v>
      </c>
      <c r="C333" s="31">
        <f>SUM(C334)</f>
        <v>81170</v>
      </c>
      <c r="E333" s="336"/>
      <c r="F333" s="341"/>
      <c r="H333" s="12"/>
      <c r="I333" s="12"/>
      <c r="J333" s="12"/>
    </row>
    <row r="334" spans="1:7" s="11" customFormat="1" ht="13.5" customHeight="1">
      <c r="A334" s="12" t="s">
        <v>163</v>
      </c>
      <c r="B334" s="12" t="s">
        <v>74</v>
      </c>
      <c r="C334" s="24">
        <v>81170</v>
      </c>
      <c r="D334" s="71"/>
      <c r="E334" s="142"/>
      <c r="F334" s="71"/>
      <c r="G334" s="142"/>
    </row>
    <row r="335" spans="1:10" s="71" customFormat="1" ht="13.5" customHeight="1">
      <c r="A335" s="249" t="s">
        <v>115</v>
      </c>
      <c r="B335" s="31" t="s">
        <v>8</v>
      </c>
      <c r="C335" s="31">
        <f>SUM(C336:C339)</f>
        <v>914600</v>
      </c>
      <c r="E335" s="336"/>
      <c r="F335" s="415"/>
      <c r="G335" s="344"/>
      <c r="H335" s="12"/>
      <c r="I335" s="12"/>
      <c r="J335" s="24"/>
    </row>
    <row r="336" spans="1:10" s="71" customFormat="1" ht="13.5" customHeight="1">
      <c r="A336" s="71" t="s">
        <v>92</v>
      </c>
      <c r="B336" s="24" t="s">
        <v>8</v>
      </c>
      <c r="C336" s="24">
        <f>328100+100000</f>
        <v>428100</v>
      </c>
      <c r="E336" s="24"/>
      <c r="F336" s="374"/>
      <c r="G336" s="344"/>
      <c r="H336" s="12"/>
      <c r="I336" s="12"/>
      <c r="J336" s="12"/>
    </row>
    <row r="337" spans="1:7" s="142" customFormat="1" ht="13.5" customHeight="1">
      <c r="A337" s="71" t="s">
        <v>182</v>
      </c>
      <c r="B337" s="24" t="s">
        <v>50</v>
      </c>
      <c r="C337" s="24">
        <v>6500</v>
      </c>
      <c r="D337" s="71"/>
      <c r="E337" s="336"/>
      <c r="F337" s="415"/>
      <c r="G337" s="344"/>
    </row>
    <row r="338" spans="1:7" s="334" customFormat="1" ht="13.5" customHeight="1">
      <c r="A338" s="71" t="s">
        <v>223</v>
      </c>
      <c r="B338" s="12" t="s">
        <v>222</v>
      </c>
      <c r="C338" s="24">
        <v>100000</v>
      </c>
      <c r="D338" s="11"/>
      <c r="E338" s="336"/>
      <c r="F338" s="352"/>
      <c r="G338" s="344"/>
    </row>
    <row r="339" spans="1:7" s="142" customFormat="1" ht="13.5" customHeight="1">
      <c r="A339" s="71" t="s">
        <v>90</v>
      </c>
      <c r="B339" s="24" t="s">
        <v>7</v>
      </c>
      <c r="C339" s="24">
        <v>380000</v>
      </c>
      <c r="D339" s="71"/>
      <c r="E339" s="336"/>
      <c r="F339" s="71"/>
      <c r="G339" s="344"/>
    </row>
    <row r="340" spans="1:7" s="142" customFormat="1" ht="13.5" customHeight="1" thickBot="1">
      <c r="A340" s="71"/>
      <c r="B340" s="24"/>
      <c r="C340" s="24"/>
      <c r="D340" s="71"/>
      <c r="E340" s="336"/>
      <c r="F340" s="374"/>
      <c r="G340" s="344"/>
    </row>
    <row r="341" spans="1:7" ht="13.5" customHeight="1" thickBot="1">
      <c r="A341" s="1007" t="s">
        <v>5</v>
      </c>
      <c r="B341" s="1008"/>
      <c r="C341" s="604">
        <f>C342</f>
        <v>1440000</v>
      </c>
      <c r="D341" s="142"/>
      <c r="E341" s="31"/>
      <c r="F341" s="21"/>
      <c r="G341" s="338"/>
    </row>
    <row r="342" spans="1:7" s="328" customFormat="1" ht="13.5" customHeight="1">
      <c r="A342" s="11" t="s">
        <v>128</v>
      </c>
      <c r="B342" s="281" t="s">
        <v>129</v>
      </c>
      <c r="C342" s="32">
        <f>SUM(C343)</f>
        <v>1440000</v>
      </c>
      <c r="D342" s="334"/>
      <c r="E342" s="95"/>
      <c r="F342" s="223"/>
      <c r="G342" s="341"/>
    </row>
    <row r="343" spans="1:10" s="5" customFormat="1" ht="13.5">
      <c r="A343" s="12" t="s">
        <v>239</v>
      </c>
      <c r="B343" s="71" t="s">
        <v>240</v>
      </c>
      <c r="C343" s="24">
        <v>1440000</v>
      </c>
      <c r="D343" s="142"/>
      <c r="E343" s="24"/>
      <c r="F343" s="12"/>
      <c r="G343" s="346"/>
      <c r="H343" s="142"/>
      <c r="I343" s="142"/>
      <c r="J343" s="142"/>
    </row>
    <row r="344" spans="1:10" s="5" customFormat="1" ht="14.25" thickBot="1">
      <c r="A344" s="12"/>
      <c r="B344" s="12"/>
      <c r="C344" s="23"/>
      <c r="D344" s="95"/>
      <c r="E344" s="24"/>
      <c r="F344" s="218"/>
      <c r="G344" s="346"/>
      <c r="H344" s="142"/>
      <c r="I344" s="142"/>
      <c r="J344" s="142"/>
    </row>
    <row r="345" spans="1:10" s="5" customFormat="1" ht="14.25" thickBot="1">
      <c r="A345" s="996" t="s">
        <v>4</v>
      </c>
      <c r="B345" s="997"/>
      <c r="C345" s="605">
        <f>C346+C351</f>
        <v>121210</v>
      </c>
      <c r="D345" s="18"/>
      <c r="E345" s="28"/>
      <c r="F345" s="417"/>
      <c r="G345" s="418"/>
      <c r="H345" s="142"/>
      <c r="I345" s="142"/>
      <c r="J345" s="142"/>
    </row>
    <row r="346" spans="1:7" s="5" customFormat="1" ht="13.5">
      <c r="A346" s="249" t="s">
        <v>116</v>
      </c>
      <c r="B346" s="281" t="s">
        <v>117</v>
      </c>
      <c r="C346" s="32">
        <f>SUM(C347:C350)</f>
        <v>104910</v>
      </c>
      <c r="D346" s="331"/>
      <c r="E346" s="95"/>
      <c r="F346" s="328"/>
      <c r="G346" s="419"/>
    </row>
    <row r="347" spans="1:7" s="5" customFormat="1" ht="13.5">
      <c r="A347" s="71" t="s">
        <v>91</v>
      </c>
      <c r="B347" s="71" t="s">
        <v>139</v>
      </c>
      <c r="C347" s="24">
        <v>26000</v>
      </c>
      <c r="D347" s="336"/>
      <c r="E347" s="383"/>
      <c r="F347" s="344"/>
      <c r="G347" s="390"/>
    </row>
    <row r="348" spans="1:7" s="1" customFormat="1" ht="13.5" customHeight="1">
      <c r="A348" s="71" t="s">
        <v>57</v>
      </c>
      <c r="B348" s="71" t="s">
        <v>58</v>
      </c>
      <c r="C348" s="24">
        <v>20000</v>
      </c>
      <c r="D348" s="335"/>
      <c r="E348" s="335"/>
      <c r="F348" s="335"/>
      <c r="G348" s="390"/>
    </row>
    <row r="349" spans="1:7" s="1" customFormat="1" ht="13.5" customHeight="1">
      <c r="A349" s="71" t="s">
        <v>161</v>
      </c>
      <c r="B349" s="71" t="s">
        <v>162</v>
      </c>
      <c r="C349" s="24">
        <v>22110</v>
      </c>
      <c r="D349" s="415"/>
      <c r="E349" s="336"/>
      <c r="F349" s="336"/>
      <c r="G349" s="374"/>
    </row>
    <row r="350" spans="1:256" s="5" customFormat="1" ht="13.5">
      <c r="A350" s="71" t="s">
        <v>756</v>
      </c>
      <c r="B350" s="23" t="s">
        <v>757</v>
      </c>
      <c r="C350" s="54">
        <v>36800</v>
      </c>
      <c r="D350" s="200"/>
      <c r="E350" s="200"/>
      <c r="F350" s="200"/>
      <c r="G350" s="200"/>
      <c r="H350" s="200"/>
      <c r="I350" s="200"/>
      <c r="J350" s="200"/>
      <c r="K350" s="200"/>
      <c r="L350" s="200"/>
      <c r="M350" s="200"/>
      <c r="N350" s="200"/>
      <c r="O350" s="200"/>
      <c r="P350" s="200"/>
      <c r="Q350" s="200"/>
      <c r="R350" s="200"/>
      <c r="S350" s="200"/>
      <c r="T350" s="200"/>
      <c r="U350" s="200"/>
      <c r="V350" s="200"/>
      <c r="W350" s="200"/>
      <c r="X350" s="200"/>
      <c r="Y350" s="200"/>
      <c r="Z350" s="200"/>
      <c r="AA350" s="200"/>
      <c r="AB350" s="200"/>
      <c r="AC350" s="200"/>
      <c r="AD350" s="200"/>
      <c r="AE350" s="200"/>
      <c r="AF350" s="200"/>
      <c r="AG350" s="200"/>
      <c r="AH350" s="200"/>
      <c r="AI350" s="200"/>
      <c r="AJ350" s="200"/>
      <c r="AK350" s="200"/>
      <c r="AL350" s="200"/>
      <c r="AM350" s="200"/>
      <c r="AN350" s="200"/>
      <c r="AO350" s="200"/>
      <c r="AP350" s="200"/>
      <c r="AQ350" s="200"/>
      <c r="AR350" s="200"/>
      <c r="AS350" s="200"/>
      <c r="AT350" s="200"/>
      <c r="AU350" s="200"/>
      <c r="AV350" s="200"/>
      <c r="AW350" s="200"/>
      <c r="AX350" s="200"/>
      <c r="AY350" s="200"/>
      <c r="AZ350" s="200"/>
      <c r="BA350" s="200"/>
      <c r="BB350" s="200"/>
      <c r="BC350" s="200"/>
      <c r="BD350" s="200"/>
      <c r="BE350" s="200"/>
      <c r="BF350" s="200"/>
      <c r="BG350" s="200"/>
      <c r="BH350" s="200"/>
      <c r="BI350" s="200"/>
      <c r="BJ350" s="200"/>
      <c r="BK350" s="200"/>
      <c r="BL350" s="200"/>
      <c r="BM350" s="200"/>
      <c r="BN350" s="200"/>
      <c r="BO350" s="200"/>
      <c r="BP350" s="200"/>
      <c r="BQ350" s="200"/>
      <c r="BR350" s="200"/>
      <c r="BS350" s="200"/>
      <c r="BT350" s="200"/>
      <c r="BU350" s="200"/>
      <c r="BV350" s="200"/>
      <c r="BW350" s="200"/>
      <c r="BX350" s="200"/>
      <c r="BY350" s="200"/>
      <c r="BZ350" s="200"/>
      <c r="CA350" s="200"/>
      <c r="CB350" s="200"/>
      <c r="CC350" s="200"/>
      <c r="CD350" s="200"/>
      <c r="CE350" s="200"/>
      <c r="CF350" s="200"/>
      <c r="CG350" s="200"/>
      <c r="CH350" s="200"/>
      <c r="CI350" s="200"/>
      <c r="CJ350" s="200"/>
      <c r="CK350" s="200"/>
      <c r="CL350" s="200"/>
      <c r="CM350" s="200"/>
      <c r="CN350" s="200"/>
      <c r="CO350" s="200"/>
      <c r="CP350" s="200"/>
      <c r="CQ350" s="200"/>
      <c r="CR350" s="200"/>
      <c r="CS350" s="200"/>
      <c r="CT350" s="200"/>
      <c r="CU350" s="200"/>
      <c r="CV350" s="200"/>
      <c r="CW350" s="200"/>
      <c r="CX350" s="200"/>
      <c r="CY350" s="200"/>
      <c r="CZ350" s="200"/>
      <c r="DA350" s="200"/>
      <c r="DB350" s="200"/>
      <c r="DC350" s="200"/>
      <c r="DD350" s="200"/>
      <c r="DE350" s="200"/>
      <c r="DF350" s="200"/>
      <c r="DG350" s="200"/>
      <c r="DH350" s="200"/>
      <c r="DI350" s="200"/>
      <c r="DJ350" s="200"/>
      <c r="DK350" s="200"/>
      <c r="DL350" s="200"/>
      <c r="DM350" s="200"/>
      <c r="DN350" s="200"/>
      <c r="DO350" s="200"/>
      <c r="DP350" s="200"/>
      <c r="DQ350" s="200"/>
      <c r="DR350" s="200"/>
      <c r="DS350" s="200"/>
      <c r="DT350" s="200"/>
      <c r="DU350" s="200"/>
      <c r="DV350" s="200"/>
      <c r="DW350" s="200"/>
      <c r="DX350" s="200"/>
      <c r="DY350" s="200"/>
      <c r="DZ350" s="200"/>
      <c r="EA350" s="200"/>
      <c r="EB350" s="200"/>
      <c r="EC350" s="200"/>
      <c r="ED350" s="200"/>
      <c r="EE350" s="200"/>
      <c r="EF350" s="200"/>
      <c r="EG350" s="200"/>
      <c r="EH350" s="200"/>
      <c r="EI350" s="200"/>
      <c r="EJ350" s="200"/>
      <c r="EK350" s="200"/>
      <c r="EL350" s="200"/>
      <c r="EM350" s="200"/>
      <c r="EN350" s="200"/>
      <c r="EO350" s="200"/>
      <c r="EP350" s="200"/>
      <c r="EQ350" s="200"/>
      <c r="ER350" s="200"/>
      <c r="ES350" s="200"/>
      <c r="ET350" s="200"/>
      <c r="EU350" s="200"/>
      <c r="EV350" s="200"/>
      <c r="EW350" s="200"/>
      <c r="EX350" s="200"/>
      <c r="EY350" s="200"/>
      <c r="EZ350" s="200"/>
      <c r="FA350" s="200"/>
      <c r="FB350" s="200"/>
      <c r="FC350" s="200"/>
      <c r="FD350" s="200"/>
      <c r="FE350" s="200"/>
      <c r="FF350" s="200"/>
      <c r="FG350" s="200"/>
      <c r="FH350" s="200"/>
      <c r="FI350" s="200"/>
      <c r="FJ350" s="200"/>
      <c r="FK350" s="200"/>
      <c r="FL350" s="200"/>
      <c r="FM350" s="200"/>
      <c r="FN350" s="200"/>
      <c r="FO350" s="200"/>
      <c r="FP350" s="200"/>
      <c r="FQ350" s="200"/>
      <c r="FR350" s="200"/>
      <c r="FS350" s="200"/>
      <c r="FT350" s="200"/>
      <c r="FU350" s="200"/>
      <c r="FV350" s="200"/>
      <c r="FW350" s="200"/>
      <c r="FX350" s="200"/>
      <c r="FY350" s="200"/>
      <c r="FZ350" s="200"/>
      <c r="GA350" s="200"/>
      <c r="GB350" s="200"/>
      <c r="GC350" s="200"/>
      <c r="GD350" s="200"/>
      <c r="GE350" s="200"/>
      <c r="GF350" s="200"/>
      <c r="GG350" s="200"/>
      <c r="GH350" s="200"/>
      <c r="GI350" s="200"/>
      <c r="GJ350" s="200"/>
      <c r="GK350" s="200"/>
      <c r="GL350" s="200"/>
      <c r="GM350" s="200"/>
      <c r="GN350" s="200"/>
      <c r="GO350" s="200"/>
      <c r="GP350" s="200"/>
      <c r="GQ350" s="200"/>
      <c r="GR350" s="200"/>
      <c r="GS350" s="200"/>
      <c r="GT350" s="200"/>
      <c r="GU350" s="200"/>
      <c r="GV350" s="200"/>
      <c r="GW350" s="200"/>
      <c r="GX350" s="200"/>
      <c r="GY350" s="200"/>
      <c r="GZ350" s="200"/>
      <c r="HA350" s="200"/>
      <c r="HB350" s="200"/>
      <c r="HC350" s="200"/>
      <c r="HD350" s="200"/>
      <c r="HE350" s="200"/>
      <c r="HF350" s="200"/>
      <c r="HG350" s="200"/>
      <c r="HH350" s="200"/>
      <c r="HI350" s="200"/>
      <c r="HJ350" s="200"/>
      <c r="HK350" s="200"/>
      <c r="HL350" s="200"/>
      <c r="HM350" s="200"/>
      <c r="HN350" s="200"/>
      <c r="HO350" s="200"/>
      <c r="HP350" s="200"/>
      <c r="HQ350" s="200"/>
      <c r="HR350" s="200"/>
      <c r="HS350" s="200"/>
      <c r="HT350" s="200"/>
      <c r="HU350" s="200"/>
      <c r="HV350" s="200"/>
      <c r="HW350" s="200"/>
      <c r="HX350" s="200"/>
      <c r="HY350" s="200"/>
      <c r="HZ350" s="200"/>
      <c r="IA350" s="200"/>
      <c r="IB350" s="200"/>
      <c r="IC350" s="200"/>
      <c r="ID350" s="200"/>
      <c r="IE350" s="200"/>
      <c r="IF350" s="200"/>
      <c r="IG350" s="200"/>
      <c r="IH350" s="200"/>
      <c r="II350" s="200"/>
      <c r="IJ350" s="200"/>
      <c r="IK350" s="200"/>
      <c r="IL350" s="200"/>
      <c r="IM350" s="200"/>
      <c r="IN350" s="200"/>
      <c r="IO350" s="200"/>
      <c r="IP350" s="200"/>
      <c r="IQ350" s="200"/>
      <c r="IR350" s="200"/>
      <c r="IS350" s="200"/>
      <c r="IT350" s="200"/>
      <c r="IU350" s="200"/>
      <c r="IV350" s="200"/>
    </row>
    <row r="351" spans="1:7" s="187" customFormat="1" ht="13.5" customHeight="1">
      <c r="A351" s="249" t="s">
        <v>165</v>
      </c>
      <c r="B351" s="25" t="s">
        <v>134</v>
      </c>
      <c r="C351" s="31">
        <f>SUM(C352)</f>
        <v>16300</v>
      </c>
      <c r="D351" s="336"/>
      <c r="E351" s="336"/>
      <c r="F351" s="336"/>
      <c r="G351" s="374"/>
    </row>
    <row r="352" spans="1:7" s="187" customFormat="1" ht="13.5" customHeight="1">
      <c r="A352" s="71" t="s">
        <v>166</v>
      </c>
      <c r="B352" s="23" t="s">
        <v>51</v>
      </c>
      <c r="C352" s="24">
        <v>16300</v>
      </c>
      <c r="D352" s="415"/>
      <c r="E352" s="336"/>
      <c r="F352" s="336"/>
      <c r="G352" s="374"/>
    </row>
    <row r="353" spans="1:7" s="1" customFormat="1" ht="13.5" customHeight="1">
      <c r="A353" s="12"/>
      <c r="B353" s="12"/>
      <c r="C353" s="24"/>
      <c r="D353" s="22"/>
      <c r="E353" s="420"/>
      <c r="F353" s="408"/>
      <c r="G353" s="409"/>
    </row>
    <row r="354" spans="1:7" s="1" customFormat="1" ht="13.5" customHeight="1" thickBot="1">
      <c r="A354" s="12"/>
      <c r="B354" s="12"/>
      <c r="C354" s="24"/>
      <c r="D354" s="371"/>
      <c r="E354" s="370"/>
      <c r="F354" s="219"/>
      <c r="G354" s="398"/>
    </row>
    <row r="355" spans="1:7" s="1" customFormat="1" ht="13.5" customHeight="1">
      <c r="A355" s="583" t="s">
        <v>582</v>
      </c>
      <c r="B355" s="584"/>
      <c r="C355" s="625"/>
      <c r="D355" s="627" t="s">
        <v>6</v>
      </c>
      <c r="E355" s="755">
        <v>1406</v>
      </c>
      <c r="F355" s="399"/>
      <c r="G355" s="385"/>
    </row>
    <row r="356" spans="1:7" s="1" customFormat="1" ht="13.5" customHeight="1" thickBot="1">
      <c r="A356" s="587"/>
      <c r="B356" s="588"/>
      <c r="C356" s="628"/>
      <c r="D356" s="630"/>
      <c r="E356" s="631"/>
      <c r="F356" s="399"/>
      <c r="G356" s="385"/>
    </row>
    <row r="357" spans="1:7" s="70" customFormat="1" ht="13.5" customHeight="1">
      <c r="A357" s="979" t="s">
        <v>903</v>
      </c>
      <c r="B357" s="980"/>
      <c r="C357" s="980"/>
      <c r="D357" s="980"/>
      <c r="E357" s="981"/>
      <c r="F357" s="399"/>
      <c r="G357" s="385"/>
    </row>
    <row r="358" spans="1:7" s="70" customFormat="1" ht="13.5" customHeight="1">
      <c r="A358" s="982"/>
      <c r="B358" s="983"/>
      <c r="C358" s="983"/>
      <c r="D358" s="983"/>
      <c r="E358" s="984"/>
      <c r="F358" s="399"/>
      <c r="G358" s="385"/>
    </row>
    <row r="359" spans="1:7" s="142" customFormat="1" ht="13.5" customHeight="1">
      <c r="A359" s="982"/>
      <c r="B359" s="983"/>
      <c r="C359" s="983"/>
      <c r="D359" s="983"/>
      <c r="E359" s="984"/>
      <c r="F359" s="399"/>
      <c r="G359" s="385"/>
    </row>
    <row r="360" spans="1:7" s="12" customFormat="1" ht="13.5" customHeight="1">
      <c r="A360" s="982"/>
      <c r="B360" s="983"/>
      <c r="C360" s="983"/>
      <c r="D360" s="983"/>
      <c r="E360" s="984"/>
      <c r="F360" s="399"/>
      <c r="G360" s="385"/>
    </row>
    <row r="361" spans="1:7" s="187" customFormat="1" ht="13.5" customHeight="1">
      <c r="A361" s="982"/>
      <c r="B361" s="983"/>
      <c r="C361" s="983"/>
      <c r="D361" s="983"/>
      <c r="E361" s="984"/>
      <c r="F361" s="343"/>
      <c r="G361" s="344"/>
    </row>
    <row r="362" spans="1:7" s="187" customFormat="1" ht="14.25" customHeight="1" thickBot="1">
      <c r="A362" s="982"/>
      <c r="B362" s="983"/>
      <c r="C362" s="983"/>
      <c r="D362" s="983"/>
      <c r="E362" s="984"/>
      <c r="F362" s="343"/>
      <c r="G362" s="344"/>
    </row>
    <row r="363" spans="1:7" s="187" customFormat="1" ht="13.5" customHeight="1">
      <c r="A363" s="116" t="s">
        <v>809</v>
      </c>
      <c r="B363" s="167"/>
      <c r="C363" s="400"/>
      <c r="D363" s="401"/>
      <c r="E363" s="402"/>
      <c r="F363" s="408"/>
      <c r="G363" s="409"/>
    </row>
    <row r="364" spans="1:7" s="156" customFormat="1" ht="13.5" customHeight="1">
      <c r="A364" s="40" t="s">
        <v>571</v>
      </c>
      <c r="B364" s="12"/>
      <c r="C364" s="24"/>
      <c r="D364" s="22"/>
      <c r="E364" s="303"/>
      <c r="F364" s="408"/>
      <c r="G364" s="409"/>
    </row>
    <row r="365" spans="1:7" ht="13.5" customHeight="1">
      <c r="A365" s="40" t="s">
        <v>904</v>
      </c>
      <c r="B365" s="40"/>
      <c r="C365" s="24"/>
      <c r="D365" s="22"/>
      <c r="E365" s="303"/>
      <c r="F365" s="215"/>
      <c r="G365" s="344"/>
    </row>
    <row r="366" spans="1:7" s="328" customFormat="1" ht="13.5" customHeight="1" thickBot="1">
      <c r="A366" s="75" t="s">
        <v>11</v>
      </c>
      <c r="B366" s="135"/>
      <c r="C366" s="360"/>
      <c r="D366" s="376"/>
      <c r="E366" s="361"/>
      <c r="F366" s="408"/>
      <c r="G366" s="409"/>
    </row>
    <row r="367" spans="1:7" s="12" customFormat="1" ht="13.5" customHeight="1" thickBot="1">
      <c r="A367" s="697" t="s">
        <v>0</v>
      </c>
      <c r="B367" s="697"/>
      <c r="C367" s="699"/>
      <c r="D367" s="715"/>
      <c r="E367" s="600">
        <f>+C369+C393+C408</f>
        <v>3611670</v>
      </c>
      <c r="F367" s="421"/>
      <c r="G367" s="411"/>
    </row>
    <row r="368" spans="3:7" s="12" customFormat="1" ht="13.5" customHeight="1" thickBot="1">
      <c r="C368" s="24"/>
      <c r="D368" s="371"/>
      <c r="E368" s="156"/>
      <c r="F368" s="327"/>
      <c r="G368" s="398"/>
    </row>
    <row r="369" spans="1:7" s="12" customFormat="1" ht="13.5" customHeight="1" thickBot="1">
      <c r="A369" s="992" t="s">
        <v>2</v>
      </c>
      <c r="B369" s="993"/>
      <c r="C369" s="602">
        <f>C370+C372+C374+C376+C387+C379+C384</f>
        <v>1013270</v>
      </c>
      <c r="D369" s="18"/>
      <c r="E369" s="28"/>
      <c r="F369" s="327"/>
      <c r="G369" s="418"/>
    </row>
    <row r="370" spans="1:7" s="12" customFormat="1" ht="13.5" customHeight="1">
      <c r="A370" s="11" t="s">
        <v>103</v>
      </c>
      <c r="B370" s="281" t="s">
        <v>104</v>
      </c>
      <c r="C370" s="32">
        <f>SUM(C371)</f>
        <v>51700</v>
      </c>
      <c r="D370" s="331"/>
      <c r="E370" s="328"/>
      <c r="F370" s="329"/>
      <c r="G370" s="419"/>
    </row>
    <row r="371" spans="1:7" s="3" customFormat="1" ht="13.5">
      <c r="A371" s="12" t="s">
        <v>46</v>
      </c>
      <c r="B371" s="12" t="s">
        <v>45</v>
      </c>
      <c r="C371" s="24">
        <v>51700</v>
      </c>
      <c r="D371" s="12"/>
      <c r="E371" s="12"/>
      <c r="F371" s="344"/>
      <c r="G371" s="415"/>
    </row>
    <row r="372" spans="1:8" s="3" customFormat="1" ht="13.5">
      <c r="A372" s="11" t="s">
        <v>200</v>
      </c>
      <c r="B372" s="11" t="s">
        <v>220</v>
      </c>
      <c r="C372" s="31">
        <f>SUM(C373)</f>
        <v>36960</v>
      </c>
      <c r="D372" s="12"/>
      <c r="E372" s="12"/>
      <c r="F372" s="383"/>
      <c r="G372" s="415"/>
      <c r="H372" s="423"/>
    </row>
    <row r="373" spans="1:8" s="3" customFormat="1" ht="13.5">
      <c r="A373" s="12" t="s">
        <v>228</v>
      </c>
      <c r="B373" s="12" t="s">
        <v>227</v>
      </c>
      <c r="C373" s="24">
        <v>36960</v>
      </c>
      <c r="D373" s="12"/>
      <c r="E373" s="12"/>
      <c r="F373" s="383"/>
      <c r="G373" s="415"/>
      <c r="H373" s="423"/>
    </row>
    <row r="374" spans="1:8" s="3" customFormat="1" ht="13.5">
      <c r="A374" s="11" t="s">
        <v>105</v>
      </c>
      <c r="B374" s="11" t="s">
        <v>106</v>
      </c>
      <c r="C374" s="31">
        <f>SUM(C375)</f>
        <v>311640</v>
      </c>
      <c r="D374" s="12"/>
      <c r="E374" s="12"/>
      <c r="F374" s="383"/>
      <c r="G374" s="415"/>
      <c r="H374" s="423"/>
    </row>
    <row r="375" spans="1:8" s="3" customFormat="1" ht="13.5">
      <c r="A375" s="12" t="s">
        <v>86</v>
      </c>
      <c r="B375" s="71" t="s">
        <v>66</v>
      </c>
      <c r="C375" s="24">
        <v>311640</v>
      </c>
      <c r="F375" s="344"/>
      <c r="G375" s="423"/>
      <c r="H375" s="423"/>
    </row>
    <row r="376" spans="1:8" s="5" customFormat="1" ht="13.5">
      <c r="A376" s="11" t="s">
        <v>107</v>
      </c>
      <c r="B376" s="249" t="s">
        <v>108</v>
      </c>
      <c r="C376" s="31">
        <f>SUM(C377:C378)</f>
        <v>82070</v>
      </c>
      <c r="D376" s="3"/>
      <c r="E376" s="3"/>
      <c r="F376" s="423"/>
      <c r="G376" s="422"/>
      <c r="H376" s="142"/>
    </row>
    <row r="377" spans="1:10" s="5" customFormat="1" ht="13.5">
      <c r="A377" s="12" t="s">
        <v>47</v>
      </c>
      <c r="B377" s="23" t="s">
        <v>48</v>
      </c>
      <c r="C377" s="24">
        <v>33220</v>
      </c>
      <c r="D377" s="3"/>
      <c r="E377" s="3"/>
      <c r="F377" s="415"/>
      <c r="G377" s="336"/>
      <c r="H377" s="344"/>
      <c r="J377" s="142"/>
    </row>
    <row r="378" spans="1:8" s="3" customFormat="1" ht="13.5">
      <c r="A378" s="12" t="s">
        <v>453</v>
      </c>
      <c r="B378" s="42" t="s">
        <v>454</v>
      </c>
      <c r="C378" s="24">
        <v>48850</v>
      </c>
      <c r="D378" s="384"/>
      <c r="E378" s="336"/>
      <c r="F378" s="336"/>
      <c r="G378" s="385"/>
      <c r="H378" s="423"/>
    </row>
    <row r="379" spans="1:7" s="3" customFormat="1" ht="13.5">
      <c r="A379" s="249" t="s">
        <v>119</v>
      </c>
      <c r="B379" s="25" t="s">
        <v>109</v>
      </c>
      <c r="C379" s="31">
        <f>SUM(C380:C383)</f>
        <v>89500</v>
      </c>
      <c r="D379" s="415"/>
      <c r="E379" s="100"/>
      <c r="F379" s="374"/>
      <c r="G379" s="374"/>
    </row>
    <row r="380" spans="1:7" s="5" customFormat="1" ht="13.5">
      <c r="A380" s="12" t="s">
        <v>641</v>
      </c>
      <c r="B380" s="42" t="s">
        <v>640</v>
      </c>
      <c r="C380" s="24">
        <v>10800</v>
      </c>
      <c r="D380" s="14"/>
      <c r="F380" s="344"/>
      <c r="G380" s="385"/>
    </row>
    <row r="381" spans="1:5" s="65" customFormat="1" ht="13.5">
      <c r="A381" s="71" t="s">
        <v>758</v>
      </c>
      <c r="B381" s="24" t="s">
        <v>753</v>
      </c>
      <c r="C381" s="24">
        <v>28700</v>
      </c>
      <c r="D381" s="77"/>
      <c r="E381" s="25"/>
    </row>
    <row r="382" spans="1:5" s="65" customFormat="1" ht="13.5">
      <c r="A382" s="71" t="s">
        <v>762</v>
      </c>
      <c r="B382" s="24" t="s">
        <v>763</v>
      </c>
      <c r="C382" s="24">
        <v>35000</v>
      </c>
      <c r="D382" s="77"/>
      <c r="E382" s="25"/>
    </row>
    <row r="383" spans="1:5" s="65" customFormat="1" ht="13.5">
      <c r="A383" s="71" t="s">
        <v>754</v>
      </c>
      <c r="B383" s="24" t="s">
        <v>755</v>
      </c>
      <c r="C383" s="24">
        <v>15000</v>
      </c>
      <c r="D383" s="77"/>
      <c r="E383" s="25"/>
    </row>
    <row r="384" spans="1:7" s="5" customFormat="1" ht="13.5">
      <c r="A384" s="249" t="s">
        <v>124</v>
      </c>
      <c r="B384" s="25" t="s">
        <v>123</v>
      </c>
      <c r="C384" s="31">
        <f>SUM(C385:C386)</f>
        <v>68760</v>
      </c>
      <c r="D384" s="3"/>
      <c r="E384" s="3"/>
      <c r="F384" s="3"/>
      <c r="G384" s="3"/>
    </row>
    <row r="385" spans="1:5" s="65" customFormat="1" ht="13.5">
      <c r="A385" s="12" t="s">
        <v>231</v>
      </c>
      <c r="B385" s="42" t="s">
        <v>230</v>
      </c>
      <c r="C385" s="24">
        <v>34400</v>
      </c>
      <c r="D385" s="56"/>
      <c r="E385" s="56"/>
    </row>
    <row r="386" spans="1:10" s="5" customFormat="1" ht="13.5">
      <c r="A386" s="71" t="s">
        <v>93</v>
      </c>
      <c r="B386" s="24" t="s">
        <v>72</v>
      </c>
      <c r="C386" s="24">
        <v>34360</v>
      </c>
      <c r="H386" s="142"/>
      <c r="I386" s="142"/>
      <c r="J386" s="142"/>
    </row>
    <row r="387" spans="1:10" s="3" customFormat="1" ht="13.5">
      <c r="A387" s="249" t="s">
        <v>150</v>
      </c>
      <c r="B387" s="25" t="s">
        <v>125</v>
      </c>
      <c r="C387" s="31">
        <f>SUM(C388:C391)</f>
        <v>372640</v>
      </c>
      <c r="F387" s="415"/>
      <c r="G387" s="336"/>
      <c r="H387" s="142"/>
      <c r="I387" s="142"/>
      <c r="J387" s="142"/>
    </row>
    <row r="388" spans="1:8" s="249" customFormat="1" ht="13.5" customHeight="1">
      <c r="A388" s="71" t="s">
        <v>151</v>
      </c>
      <c r="B388" s="24" t="s">
        <v>65</v>
      </c>
      <c r="C388" s="24">
        <v>10250</v>
      </c>
      <c r="D388" s="3"/>
      <c r="E388" s="3"/>
      <c r="F388" s="415"/>
      <c r="G388" s="336"/>
      <c r="H388" s="424"/>
    </row>
    <row r="389" spans="1:8" s="249" customFormat="1" ht="13.5" customHeight="1">
      <c r="A389" s="71" t="s">
        <v>152</v>
      </c>
      <c r="B389" s="24" t="s">
        <v>70</v>
      </c>
      <c r="C389" s="24">
        <v>16140</v>
      </c>
      <c r="D389" s="415"/>
      <c r="E389" s="5"/>
      <c r="F389" s="344"/>
      <c r="G389" s="374"/>
      <c r="H389" s="11"/>
    </row>
    <row r="390" spans="1:8" s="100" customFormat="1" ht="13.5" customHeight="1">
      <c r="A390" s="71" t="s">
        <v>154</v>
      </c>
      <c r="B390" s="23" t="s">
        <v>125</v>
      </c>
      <c r="C390" s="24">
        <v>10250</v>
      </c>
      <c r="D390" s="3"/>
      <c r="E390" s="3"/>
      <c r="F390" s="415"/>
      <c r="G390" s="336"/>
      <c r="H390" s="340"/>
    </row>
    <row r="391" spans="1:10" s="71" customFormat="1" ht="13.5" customHeight="1">
      <c r="A391" s="71" t="s">
        <v>643</v>
      </c>
      <c r="B391" s="42" t="s">
        <v>642</v>
      </c>
      <c r="C391" s="24">
        <v>336000</v>
      </c>
      <c r="D391" s="386"/>
      <c r="E391" s="336"/>
      <c r="F391" s="336"/>
      <c r="G391" s="385"/>
      <c r="H391" s="336"/>
      <c r="J391" s="12"/>
    </row>
    <row r="392" spans="2:8" s="71" customFormat="1" ht="13.5" customHeight="1" thickBot="1">
      <c r="B392" s="23"/>
      <c r="C392" s="24"/>
      <c r="D392" s="3"/>
      <c r="E392" s="3"/>
      <c r="F392" s="415"/>
      <c r="G392" s="336"/>
      <c r="H392" s="415"/>
    </row>
    <row r="393" spans="1:10" s="71" customFormat="1" ht="13.5" customHeight="1" thickBot="1">
      <c r="A393" s="994" t="s">
        <v>3</v>
      </c>
      <c r="B393" s="995"/>
      <c r="C393" s="603">
        <f>C394+C396+C399+C401</f>
        <v>2546600</v>
      </c>
      <c r="D393" s="249"/>
      <c r="E393" s="249"/>
      <c r="F393" s="423"/>
      <c r="G393" s="382"/>
      <c r="H393" s="336"/>
      <c r="J393" s="12"/>
    </row>
    <row r="394" spans="1:10" s="71" customFormat="1" ht="13.5" customHeight="1">
      <c r="A394" s="249" t="s">
        <v>110</v>
      </c>
      <c r="B394" s="281" t="s">
        <v>111</v>
      </c>
      <c r="C394" s="32">
        <f>SUM(C395:C395)</f>
        <v>156500</v>
      </c>
      <c r="D394" s="100"/>
      <c r="E394" s="100"/>
      <c r="F394" s="416"/>
      <c r="G394" s="340"/>
      <c r="H394" s="336"/>
      <c r="J394" s="12"/>
    </row>
    <row r="395" spans="1:8" s="11" customFormat="1" ht="13.5" customHeight="1">
      <c r="A395" s="71" t="s">
        <v>52</v>
      </c>
      <c r="B395" s="24" t="s">
        <v>15</v>
      </c>
      <c r="C395" s="24">
        <v>156500</v>
      </c>
      <c r="D395" s="71"/>
      <c r="E395" s="71"/>
      <c r="F395" s="415"/>
      <c r="G395" s="336"/>
      <c r="H395" s="336"/>
    </row>
    <row r="396" spans="1:256" s="71" customFormat="1" ht="13.5" customHeight="1">
      <c r="A396" s="249" t="s">
        <v>112</v>
      </c>
      <c r="B396" s="31" t="s">
        <v>156</v>
      </c>
      <c r="C396" s="31">
        <f>SUM(C397:C398)</f>
        <v>543000</v>
      </c>
      <c r="D396" s="415"/>
      <c r="E396" s="336"/>
      <c r="F396" s="336"/>
      <c r="G396" s="344"/>
      <c r="H396" s="142"/>
      <c r="I396" s="142"/>
      <c r="J396" s="142"/>
      <c r="K396" s="142"/>
      <c r="L396" s="142"/>
      <c r="M396" s="142"/>
      <c r="N396" s="142"/>
      <c r="O396" s="142"/>
      <c r="P396" s="142"/>
      <c r="Q396" s="142"/>
      <c r="R396" s="142"/>
      <c r="S396" s="142"/>
      <c r="T396" s="142"/>
      <c r="U396" s="142"/>
      <c r="V396" s="142"/>
      <c r="W396" s="142"/>
      <c r="X396" s="142"/>
      <c r="Y396" s="142"/>
      <c r="Z396" s="142"/>
      <c r="AA396" s="142"/>
      <c r="AB396" s="142"/>
      <c r="AC396" s="142"/>
      <c r="AD396" s="142"/>
      <c r="AE396" s="142"/>
      <c r="AF396" s="142"/>
      <c r="AG396" s="142"/>
      <c r="AH396" s="142"/>
      <c r="AI396" s="142"/>
      <c r="AJ396" s="142"/>
      <c r="AK396" s="142"/>
      <c r="AL396" s="142"/>
      <c r="AM396" s="142"/>
      <c r="AN396" s="142"/>
      <c r="AO396" s="142"/>
      <c r="AP396" s="142"/>
      <c r="AQ396" s="142"/>
      <c r="AR396" s="142"/>
      <c r="AS396" s="142"/>
      <c r="AT396" s="142"/>
      <c r="AU396" s="142"/>
      <c r="AV396" s="142"/>
      <c r="AW396" s="142"/>
      <c r="AX396" s="142"/>
      <c r="AY396" s="142"/>
      <c r="AZ396" s="142"/>
      <c r="BA396" s="142"/>
      <c r="BB396" s="142"/>
      <c r="BC396" s="142"/>
      <c r="BD396" s="142"/>
      <c r="BE396" s="142"/>
      <c r="BF396" s="142"/>
      <c r="BG396" s="142"/>
      <c r="BH396" s="142"/>
      <c r="BI396" s="142"/>
      <c r="BJ396" s="142"/>
      <c r="BK396" s="142"/>
      <c r="BL396" s="142"/>
      <c r="BM396" s="142"/>
      <c r="BN396" s="142"/>
      <c r="BO396" s="142"/>
      <c r="BP396" s="142"/>
      <c r="BQ396" s="142"/>
      <c r="BR396" s="142"/>
      <c r="BS396" s="142"/>
      <c r="BT396" s="142"/>
      <c r="BU396" s="142"/>
      <c r="BV396" s="142"/>
      <c r="BW396" s="142"/>
      <c r="BX396" s="142"/>
      <c r="BY396" s="142"/>
      <c r="BZ396" s="142"/>
      <c r="CA396" s="142"/>
      <c r="CB396" s="142"/>
      <c r="CC396" s="142"/>
      <c r="CD396" s="142"/>
      <c r="CE396" s="142"/>
      <c r="CF396" s="142"/>
      <c r="CG396" s="142"/>
      <c r="CH396" s="142"/>
      <c r="CI396" s="142"/>
      <c r="CJ396" s="142"/>
      <c r="CK396" s="142"/>
      <c r="CL396" s="142"/>
      <c r="CM396" s="142"/>
      <c r="CN396" s="142"/>
      <c r="CO396" s="142"/>
      <c r="CP396" s="142"/>
      <c r="CQ396" s="142"/>
      <c r="CR396" s="142"/>
      <c r="CS396" s="142"/>
      <c r="CT396" s="142"/>
      <c r="CU396" s="142"/>
      <c r="CV396" s="142"/>
      <c r="CW396" s="142"/>
      <c r="CX396" s="142"/>
      <c r="CY396" s="142"/>
      <c r="CZ396" s="142"/>
      <c r="DA396" s="142"/>
      <c r="DB396" s="142"/>
      <c r="DC396" s="142"/>
      <c r="DD396" s="142"/>
      <c r="DE396" s="142"/>
      <c r="DF396" s="142"/>
      <c r="DG396" s="142"/>
      <c r="DH396" s="142"/>
      <c r="DI396" s="142"/>
      <c r="DJ396" s="142"/>
      <c r="DK396" s="142"/>
      <c r="DL396" s="142"/>
      <c r="DM396" s="142"/>
      <c r="DN396" s="142"/>
      <c r="DO396" s="142"/>
      <c r="DP396" s="142"/>
      <c r="DQ396" s="142"/>
      <c r="DR396" s="142"/>
      <c r="DS396" s="142"/>
      <c r="DT396" s="142"/>
      <c r="DU396" s="142"/>
      <c r="DV396" s="142"/>
      <c r="DW396" s="142"/>
      <c r="DX396" s="142"/>
      <c r="DY396" s="142"/>
      <c r="DZ396" s="142"/>
      <c r="EA396" s="142"/>
      <c r="EB396" s="142"/>
      <c r="EC396" s="142"/>
      <c r="ED396" s="142"/>
      <c r="EE396" s="142"/>
      <c r="EF396" s="142"/>
      <c r="EG396" s="142"/>
      <c r="EH396" s="142"/>
      <c r="EI396" s="142"/>
      <c r="EJ396" s="142"/>
      <c r="EK396" s="142"/>
      <c r="EL396" s="142"/>
      <c r="EM396" s="142"/>
      <c r="EN396" s="142"/>
      <c r="EO396" s="142"/>
      <c r="EP396" s="142"/>
      <c r="EQ396" s="142"/>
      <c r="ER396" s="142"/>
      <c r="ES396" s="142"/>
      <c r="ET396" s="142"/>
      <c r="EU396" s="142"/>
      <c r="EV396" s="142"/>
      <c r="EW396" s="142"/>
      <c r="EX396" s="142"/>
      <c r="EY396" s="142"/>
      <c r="EZ396" s="142"/>
      <c r="FA396" s="142"/>
      <c r="FB396" s="142"/>
      <c r="FC396" s="142"/>
      <c r="FD396" s="142"/>
      <c r="FE396" s="142"/>
      <c r="FF396" s="142"/>
      <c r="FG396" s="142"/>
      <c r="FH396" s="142"/>
      <c r="FI396" s="142"/>
      <c r="FJ396" s="142"/>
      <c r="FK396" s="142"/>
      <c r="FL396" s="142"/>
      <c r="FM396" s="142"/>
      <c r="FN396" s="142"/>
      <c r="FO396" s="142"/>
      <c r="FP396" s="142"/>
      <c r="FQ396" s="142"/>
      <c r="FR396" s="142"/>
      <c r="FS396" s="142"/>
      <c r="FT396" s="142"/>
      <c r="FU396" s="142"/>
      <c r="FV396" s="142"/>
      <c r="FW396" s="142"/>
      <c r="FX396" s="142"/>
      <c r="FY396" s="142"/>
      <c r="FZ396" s="142"/>
      <c r="GA396" s="142"/>
      <c r="GB396" s="142"/>
      <c r="GC396" s="142"/>
      <c r="GD396" s="142"/>
      <c r="GE396" s="142"/>
      <c r="GF396" s="142"/>
      <c r="GG396" s="142"/>
      <c r="GH396" s="142"/>
      <c r="GI396" s="142"/>
      <c r="GJ396" s="142"/>
      <c r="GK396" s="142"/>
      <c r="GL396" s="142"/>
      <c r="GM396" s="142"/>
      <c r="GN396" s="142"/>
      <c r="GO396" s="142"/>
      <c r="GP396" s="142"/>
      <c r="GQ396" s="142"/>
      <c r="GR396" s="142"/>
      <c r="GS396" s="142"/>
      <c r="GT396" s="142"/>
      <c r="GU396" s="142"/>
      <c r="GV396" s="142"/>
      <c r="GW396" s="142"/>
      <c r="GX396" s="142"/>
      <c r="GY396" s="142"/>
      <c r="GZ396" s="142"/>
      <c r="HA396" s="142"/>
      <c r="HB396" s="142"/>
      <c r="HC396" s="142"/>
      <c r="HD396" s="142"/>
      <c r="HE396" s="142"/>
      <c r="HF396" s="142"/>
      <c r="HG396" s="142"/>
      <c r="HH396" s="142"/>
      <c r="HI396" s="142"/>
      <c r="HJ396" s="142"/>
      <c r="HK396" s="142"/>
      <c r="HL396" s="142"/>
      <c r="HM396" s="142"/>
      <c r="HN396" s="142"/>
      <c r="HO396" s="142"/>
      <c r="HP396" s="142"/>
      <c r="HQ396" s="142"/>
      <c r="HR396" s="142"/>
      <c r="HS396" s="142"/>
      <c r="HT396" s="142"/>
      <c r="HU396" s="142"/>
      <c r="HV396" s="142"/>
      <c r="HW396" s="142"/>
      <c r="HX396" s="142"/>
      <c r="HY396" s="142"/>
      <c r="HZ396" s="142"/>
      <c r="IA396" s="142"/>
      <c r="IB396" s="142"/>
      <c r="IC396" s="142"/>
      <c r="ID396" s="142"/>
      <c r="IE396" s="142"/>
      <c r="IF396" s="142"/>
      <c r="IG396" s="142"/>
      <c r="IH396" s="142"/>
      <c r="II396" s="142"/>
      <c r="IJ396" s="142"/>
      <c r="IK396" s="142"/>
      <c r="IL396" s="142"/>
      <c r="IM396" s="142"/>
      <c r="IN396" s="142"/>
      <c r="IO396" s="142"/>
      <c r="IP396" s="142"/>
      <c r="IQ396" s="142"/>
      <c r="IR396" s="142"/>
      <c r="IS396" s="142"/>
      <c r="IT396" s="142"/>
      <c r="IU396" s="142"/>
      <c r="IV396" s="142"/>
    </row>
    <row r="397" spans="1:10" s="71" customFormat="1" ht="13.5" customHeight="1">
      <c r="A397" s="71" t="s">
        <v>49</v>
      </c>
      <c r="B397" s="24" t="s">
        <v>87</v>
      </c>
      <c r="C397" s="24">
        <v>168000</v>
      </c>
      <c r="E397" s="407"/>
      <c r="F397" s="341"/>
      <c r="H397" s="12"/>
      <c r="I397" s="12"/>
      <c r="J397" s="12"/>
    </row>
    <row r="398" spans="1:10" s="71" customFormat="1" ht="13.5" customHeight="1">
      <c r="A398" s="71" t="s">
        <v>813</v>
      </c>
      <c r="B398" s="42" t="s">
        <v>814</v>
      </c>
      <c r="C398" s="24">
        <v>375000</v>
      </c>
      <c r="D398" s="346"/>
      <c r="E398" s="407"/>
      <c r="F398" s="335"/>
      <c r="G398" s="346"/>
      <c r="H398" s="12"/>
      <c r="J398" s="23"/>
    </row>
    <row r="399" spans="1:10" s="71" customFormat="1" ht="13.5" customHeight="1">
      <c r="A399" s="11" t="s">
        <v>113</v>
      </c>
      <c r="B399" s="31" t="s">
        <v>114</v>
      </c>
      <c r="C399" s="31">
        <f>SUM(C400)</f>
        <v>30000</v>
      </c>
      <c r="E399" s="336"/>
      <c r="F399" s="341"/>
      <c r="H399" s="12"/>
      <c r="I399" s="12"/>
      <c r="J399" s="12"/>
    </row>
    <row r="400" spans="1:7" s="11" customFormat="1" ht="13.5" customHeight="1">
      <c r="A400" s="12" t="s">
        <v>163</v>
      </c>
      <c r="B400" s="12" t="s">
        <v>74</v>
      </c>
      <c r="C400" s="24">
        <v>30000</v>
      </c>
      <c r="D400" s="71"/>
      <c r="E400" s="142"/>
      <c r="F400" s="71"/>
      <c r="G400" s="142"/>
    </row>
    <row r="401" spans="1:10" s="71" customFormat="1" ht="13.5" customHeight="1">
      <c r="A401" s="249" t="s">
        <v>115</v>
      </c>
      <c r="B401" s="31" t="s">
        <v>8</v>
      </c>
      <c r="C401" s="31">
        <f>SUM(C402:C406)</f>
        <v>1817100</v>
      </c>
      <c r="E401" s="336"/>
      <c r="F401" s="415"/>
      <c r="G401" s="344"/>
      <c r="H401" s="12"/>
      <c r="I401" s="12"/>
      <c r="J401" s="24"/>
    </row>
    <row r="402" spans="1:10" s="71" customFormat="1" ht="13.5" customHeight="1">
      <c r="A402" s="71" t="s">
        <v>92</v>
      </c>
      <c r="B402" s="24" t="s">
        <v>8</v>
      </c>
      <c r="C402" s="24">
        <v>856000</v>
      </c>
      <c r="E402" s="24"/>
      <c r="F402" s="374"/>
      <c r="G402" s="344"/>
      <c r="H402" s="12"/>
      <c r="I402" s="12"/>
      <c r="J402" s="12"/>
    </row>
    <row r="403" spans="1:7" s="71" customFormat="1" ht="13.5" customHeight="1">
      <c r="A403" s="71" t="s">
        <v>182</v>
      </c>
      <c r="B403" s="24" t="s">
        <v>50</v>
      </c>
      <c r="C403" s="24">
        <v>5200</v>
      </c>
      <c r="F403" s="415"/>
      <c r="G403" s="336"/>
    </row>
    <row r="404" spans="1:7" s="249" customFormat="1" ht="13.5" customHeight="1">
      <c r="A404" s="71" t="s">
        <v>225</v>
      </c>
      <c r="B404" s="71" t="s">
        <v>224</v>
      </c>
      <c r="C404" s="24">
        <v>105000</v>
      </c>
      <c r="D404" s="71"/>
      <c r="E404" s="71"/>
      <c r="F404" s="344"/>
      <c r="G404" s="336"/>
    </row>
    <row r="405" spans="1:7" s="100" customFormat="1" ht="13.5" customHeight="1">
      <c r="A405" s="71" t="s">
        <v>223</v>
      </c>
      <c r="B405" s="12" t="s">
        <v>222</v>
      </c>
      <c r="C405" s="24">
        <v>482000</v>
      </c>
      <c r="D405" s="11"/>
      <c r="E405" s="11"/>
      <c r="F405" s="344"/>
      <c r="G405" s="336"/>
    </row>
    <row r="406" spans="1:7" s="5" customFormat="1" ht="13.5">
      <c r="A406" s="71" t="s">
        <v>90</v>
      </c>
      <c r="B406" s="24" t="s">
        <v>7</v>
      </c>
      <c r="C406" s="24">
        <v>368900</v>
      </c>
      <c r="D406" s="71"/>
      <c r="E406" s="71"/>
      <c r="F406" s="71"/>
      <c r="G406" s="336"/>
    </row>
    <row r="407" spans="1:7" s="5" customFormat="1" ht="14.25" thickBot="1">
      <c r="A407" s="71"/>
      <c r="B407" s="24"/>
      <c r="C407" s="24"/>
      <c r="D407" s="341"/>
      <c r="E407" s="71"/>
      <c r="F407" s="425"/>
      <c r="G407" s="23"/>
    </row>
    <row r="408" spans="1:7" s="5" customFormat="1" ht="14.25" thickBot="1">
      <c r="A408" s="996" t="s">
        <v>4</v>
      </c>
      <c r="B408" s="997"/>
      <c r="C408" s="605">
        <f>C409+C413</f>
        <v>51800</v>
      </c>
      <c r="D408" s="249"/>
      <c r="E408" s="426"/>
      <c r="F408" s="292"/>
      <c r="G408" s="24"/>
    </row>
    <row r="409" spans="1:7" s="5" customFormat="1" ht="13.5">
      <c r="A409" s="249" t="s">
        <v>116</v>
      </c>
      <c r="B409" s="281" t="s">
        <v>117</v>
      </c>
      <c r="C409" s="32">
        <f>SUM(C410:C412)</f>
        <v>44800</v>
      </c>
      <c r="D409" s="100"/>
      <c r="E409" s="383"/>
      <c r="F409" s="342"/>
      <c r="G409" s="95"/>
    </row>
    <row r="410" spans="1:7" s="70" customFormat="1" ht="13.5" customHeight="1">
      <c r="A410" s="71" t="s">
        <v>91</v>
      </c>
      <c r="B410" s="71" t="s">
        <v>139</v>
      </c>
      <c r="C410" s="24">
        <v>15000</v>
      </c>
      <c r="D410" s="336"/>
      <c r="E410" s="336"/>
      <c r="F410" s="416"/>
      <c r="G410" s="390"/>
    </row>
    <row r="411" spans="1:7" s="1" customFormat="1" ht="13.5" customHeight="1">
      <c r="A411" s="71" t="s">
        <v>57</v>
      </c>
      <c r="B411" s="71" t="s">
        <v>58</v>
      </c>
      <c r="C411" s="24">
        <v>10000</v>
      </c>
      <c r="D411" s="335"/>
      <c r="E411" s="335"/>
      <c r="F411" s="335"/>
      <c r="G411" s="390"/>
    </row>
    <row r="412" spans="1:256" s="5" customFormat="1" ht="13.5">
      <c r="A412" s="71" t="s">
        <v>756</v>
      </c>
      <c r="B412" s="23" t="s">
        <v>757</v>
      </c>
      <c r="C412" s="54">
        <v>19800</v>
      </c>
      <c r="D412" s="200"/>
      <c r="E412" s="200"/>
      <c r="F412" s="200"/>
      <c r="G412" s="200"/>
      <c r="H412" s="200"/>
      <c r="I412" s="200"/>
      <c r="J412" s="200"/>
      <c r="K412" s="200"/>
      <c r="L412" s="200"/>
      <c r="M412" s="200"/>
      <c r="N412" s="200"/>
      <c r="O412" s="200"/>
      <c r="P412" s="200"/>
      <c r="Q412" s="200"/>
      <c r="R412" s="200"/>
      <c r="S412" s="200"/>
      <c r="T412" s="200"/>
      <c r="U412" s="200"/>
      <c r="V412" s="200"/>
      <c r="W412" s="200"/>
      <c r="X412" s="200"/>
      <c r="Y412" s="200"/>
      <c r="Z412" s="200"/>
      <c r="AA412" s="200"/>
      <c r="AB412" s="200"/>
      <c r="AC412" s="200"/>
      <c r="AD412" s="200"/>
      <c r="AE412" s="200"/>
      <c r="AF412" s="200"/>
      <c r="AG412" s="200"/>
      <c r="AH412" s="200"/>
      <c r="AI412" s="200"/>
      <c r="AJ412" s="200"/>
      <c r="AK412" s="200"/>
      <c r="AL412" s="200"/>
      <c r="AM412" s="200"/>
      <c r="AN412" s="200"/>
      <c r="AO412" s="200"/>
      <c r="AP412" s="200"/>
      <c r="AQ412" s="200"/>
      <c r="AR412" s="200"/>
      <c r="AS412" s="200"/>
      <c r="AT412" s="200"/>
      <c r="AU412" s="200"/>
      <c r="AV412" s="200"/>
      <c r="AW412" s="200"/>
      <c r="AX412" s="200"/>
      <c r="AY412" s="200"/>
      <c r="AZ412" s="200"/>
      <c r="BA412" s="200"/>
      <c r="BB412" s="200"/>
      <c r="BC412" s="200"/>
      <c r="BD412" s="200"/>
      <c r="BE412" s="200"/>
      <c r="BF412" s="200"/>
      <c r="BG412" s="200"/>
      <c r="BH412" s="200"/>
      <c r="BI412" s="200"/>
      <c r="BJ412" s="200"/>
      <c r="BK412" s="200"/>
      <c r="BL412" s="200"/>
      <c r="BM412" s="200"/>
      <c r="BN412" s="200"/>
      <c r="BO412" s="200"/>
      <c r="BP412" s="200"/>
      <c r="BQ412" s="200"/>
      <c r="BR412" s="200"/>
      <c r="BS412" s="200"/>
      <c r="BT412" s="200"/>
      <c r="BU412" s="200"/>
      <c r="BV412" s="200"/>
      <c r="BW412" s="200"/>
      <c r="BX412" s="200"/>
      <c r="BY412" s="200"/>
      <c r="BZ412" s="200"/>
      <c r="CA412" s="200"/>
      <c r="CB412" s="200"/>
      <c r="CC412" s="200"/>
      <c r="CD412" s="200"/>
      <c r="CE412" s="200"/>
      <c r="CF412" s="200"/>
      <c r="CG412" s="200"/>
      <c r="CH412" s="200"/>
      <c r="CI412" s="200"/>
      <c r="CJ412" s="200"/>
      <c r="CK412" s="200"/>
      <c r="CL412" s="200"/>
      <c r="CM412" s="200"/>
      <c r="CN412" s="200"/>
      <c r="CO412" s="200"/>
      <c r="CP412" s="200"/>
      <c r="CQ412" s="200"/>
      <c r="CR412" s="200"/>
      <c r="CS412" s="200"/>
      <c r="CT412" s="200"/>
      <c r="CU412" s="200"/>
      <c r="CV412" s="200"/>
      <c r="CW412" s="200"/>
      <c r="CX412" s="200"/>
      <c r="CY412" s="200"/>
      <c r="CZ412" s="200"/>
      <c r="DA412" s="200"/>
      <c r="DB412" s="200"/>
      <c r="DC412" s="200"/>
      <c r="DD412" s="200"/>
      <c r="DE412" s="200"/>
      <c r="DF412" s="200"/>
      <c r="DG412" s="200"/>
      <c r="DH412" s="200"/>
      <c r="DI412" s="200"/>
      <c r="DJ412" s="200"/>
      <c r="DK412" s="200"/>
      <c r="DL412" s="200"/>
      <c r="DM412" s="200"/>
      <c r="DN412" s="200"/>
      <c r="DO412" s="200"/>
      <c r="DP412" s="200"/>
      <c r="DQ412" s="200"/>
      <c r="DR412" s="200"/>
      <c r="DS412" s="200"/>
      <c r="DT412" s="200"/>
      <c r="DU412" s="200"/>
      <c r="DV412" s="200"/>
      <c r="DW412" s="200"/>
      <c r="DX412" s="200"/>
      <c r="DY412" s="200"/>
      <c r="DZ412" s="200"/>
      <c r="EA412" s="200"/>
      <c r="EB412" s="200"/>
      <c r="EC412" s="200"/>
      <c r="ED412" s="200"/>
      <c r="EE412" s="200"/>
      <c r="EF412" s="200"/>
      <c r="EG412" s="200"/>
      <c r="EH412" s="200"/>
      <c r="EI412" s="200"/>
      <c r="EJ412" s="200"/>
      <c r="EK412" s="200"/>
      <c r="EL412" s="200"/>
      <c r="EM412" s="200"/>
      <c r="EN412" s="200"/>
      <c r="EO412" s="200"/>
      <c r="EP412" s="200"/>
      <c r="EQ412" s="200"/>
      <c r="ER412" s="200"/>
      <c r="ES412" s="200"/>
      <c r="ET412" s="200"/>
      <c r="EU412" s="200"/>
      <c r="EV412" s="200"/>
      <c r="EW412" s="200"/>
      <c r="EX412" s="200"/>
      <c r="EY412" s="200"/>
      <c r="EZ412" s="200"/>
      <c r="FA412" s="200"/>
      <c r="FB412" s="200"/>
      <c r="FC412" s="200"/>
      <c r="FD412" s="200"/>
      <c r="FE412" s="200"/>
      <c r="FF412" s="200"/>
      <c r="FG412" s="200"/>
      <c r="FH412" s="200"/>
      <c r="FI412" s="200"/>
      <c r="FJ412" s="200"/>
      <c r="FK412" s="200"/>
      <c r="FL412" s="200"/>
      <c r="FM412" s="200"/>
      <c r="FN412" s="200"/>
      <c r="FO412" s="200"/>
      <c r="FP412" s="200"/>
      <c r="FQ412" s="200"/>
      <c r="FR412" s="200"/>
      <c r="FS412" s="200"/>
      <c r="FT412" s="200"/>
      <c r="FU412" s="200"/>
      <c r="FV412" s="200"/>
      <c r="FW412" s="200"/>
      <c r="FX412" s="200"/>
      <c r="FY412" s="200"/>
      <c r="FZ412" s="200"/>
      <c r="GA412" s="200"/>
      <c r="GB412" s="200"/>
      <c r="GC412" s="200"/>
      <c r="GD412" s="200"/>
      <c r="GE412" s="200"/>
      <c r="GF412" s="200"/>
      <c r="GG412" s="200"/>
      <c r="GH412" s="200"/>
      <c r="GI412" s="200"/>
      <c r="GJ412" s="200"/>
      <c r="GK412" s="200"/>
      <c r="GL412" s="200"/>
      <c r="GM412" s="200"/>
      <c r="GN412" s="200"/>
      <c r="GO412" s="200"/>
      <c r="GP412" s="200"/>
      <c r="GQ412" s="200"/>
      <c r="GR412" s="200"/>
      <c r="GS412" s="200"/>
      <c r="GT412" s="200"/>
      <c r="GU412" s="200"/>
      <c r="GV412" s="200"/>
      <c r="GW412" s="200"/>
      <c r="GX412" s="200"/>
      <c r="GY412" s="200"/>
      <c r="GZ412" s="200"/>
      <c r="HA412" s="200"/>
      <c r="HB412" s="200"/>
      <c r="HC412" s="200"/>
      <c r="HD412" s="200"/>
      <c r="HE412" s="200"/>
      <c r="HF412" s="200"/>
      <c r="HG412" s="200"/>
      <c r="HH412" s="200"/>
      <c r="HI412" s="200"/>
      <c r="HJ412" s="200"/>
      <c r="HK412" s="200"/>
      <c r="HL412" s="200"/>
      <c r="HM412" s="200"/>
      <c r="HN412" s="200"/>
      <c r="HO412" s="200"/>
      <c r="HP412" s="200"/>
      <c r="HQ412" s="200"/>
      <c r="HR412" s="200"/>
      <c r="HS412" s="200"/>
      <c r="HT412" s="200"/>
      <c r="HU412" s="200"/>
      <c r="HV412" s="200"/>
      <c r="HW412" s="200"/>
      <c r="HX412" s="200"/>
      <c r="HY412" s="200"/>
      <c r="HZ412" s="200"/>
      <c r="IA412" s="200"/>
      <c r="IB412" s="200"/>
      <c r="IC412" s="200"/>
      <c r="ID412" s="200"/>
      <c r="IE412" s="200"/>
      <c r="IF412" s="200"/>
      <c r="IG412" s="200"/>
      <c r="IH412" s="200"/>
      <c r="II412" s="200"/>
      <c r="IJ412" s="200"/>
      <c r="IK412" s="200"/>
      <c r="IL412" s="200"/>
      <c r="IM412" s="200"/>
      <c r="IN412" s="200"/>
      <c r="IO412" s="200"/>
      <c r="IP412" s="200"/>
      <c r="IQ412" s="200"/>
      <c r="IR412" s="200"/>
      <c r="IS412" s="200"/>
      <c r="IT412" s="200"/>
      <c r="IU412" s="200"/>
      <c r="IV412" s="200"/>
    </row>
    <row r="413" spans="1:7" s="187" customFormat="1" ht="13.5" customHeight="1">
      <c r="A413" s="249" t="s">
        <v>165</v>
      </c>
      <c r="B413" s="25" t="s">
        <v>134</v>
      </c>
      <c r="C413" s="31">
        <f>SUM(C414)</f>
        <v>7000</v>
      </c>
      <c r="D413" s="336"/>
      <c r="E413" s="336"/>
      <c r="F413" s="416"/>
      <c r="G413" s="390"/>
    </row>
    <row r="414" spans="1:7" s="187" customFormat="1" ht="13.5" customHeight="1">
      <c r="A414" s="71" t="s">
        <v>166</v>
      </c>
      <c r="B414" s="23" t="s">
        <v>51</v>
      </c>
      <c r="C414" s="24">
        <v>7000</v>
      </c>
      <c r="D414" s="336"/>
      <c r="E414" s="336"/>
      <c r="F414" s="415"/>
      <c r="G414" s="390"/>
    </row>
    <row r="415" spans="1:7" s="1" customFormat="1" ht="13.5">
      <c r="A415" s="71"/>
      <c r="B415" s="71"/>
      <c r="C415" s="23"/>
      <c r="D415" s="26"/>
      <c r="E415" s="28"/>
      <c r="F415" s="219"/>
      <c r="G415" s="398"/>
    </row>
    <row r="416" spans="1:7" s="1" customFormat="1" ht="14.25" thickBot="1">
      <c r="A416" s="395"/>
      <c r="B416" s="395"/>
      <c r="C416" s="23"/>
      <c r="D416" s="22"/>
      <c r="E416" s="24"/>
      <c r="F416" s="219"/>
      <c r="G416" s="398"/>
    </row>
    <row r="417" spans="1:7" s="1" customFormat="1" ht="12.75">
      <c r="A417" s="583" t="s">
        <v>578</v>
      </c>
      <c r="B417" s="584"/>
      <c r="C417" s="625"/>
      <c r="D417" s="627" t="s">
        <v>6</v>
      </c>
      <c r="E417" s="757" t="s">
        <v>970</v>
      </c>
      <c r="F417" s="3"/>
      <c r="G417" s="324"/>
    </row>
    <row r="418" spans="1:9" s="142" customFormat="1" ht="13.5" thickBot="1">
      <c r="A418" s="642"/>
      <c r="B418" s="663" t="s">
        <v>201</v>
      </c>
      <c r="C418" s="668"/>
      <c r="D418" s="669"/>
      <c r="E418" s="670"/>
      <c r="F418" s="3"/>
      <c r="G418" s="324"/>
      <c r="I418" s="142" t="s">
        <v>201</v>
      </c>
    </row>
    <row r="419" spans="1:7" s="142" customFormat="1" ht="12.75">
      <c r="A419" s="979" t="s">
        <v>905</v>
      </c>
      <c r="B419" s="980"/>
      <c r="C419" s="980"/>
      <c r="D419" s="980"/>
      <c r="E419" s="981"/>
      <c r="F419" s="1"/>
      <c r="G419" s="332"/>
    </row>
    <row r="420" spans="1:5" s="142" customFormat="1" ht="12.75">
      <c r="A420" s="982"/>
      <c r="B420" s="983"/>
      <c r="C420" s="983"/>
      <c r="D420" s="983"/>
      <c r="E420" s="984"/>
    </row>
    <row r="421" spans="1:7" s="142" customFormat="1" ht="12.75">
      <c r="A421" s="982"/>
      <c r="B421" s="983"/>
      <c r="C421" s="983"/>
      <c r="D421" s="983"/>
      <c r="E421" s="984"/>
      <c r="G421" s="334"/>
    </row>
    <row r="422" spans="1:7" s="142" customFormat="1" ht="12.75">
      <c r="A422" s="982"/>
      <c r="B422" s="983"/>
      <c r="C422" s="983"/>
      <c r="D422" s="983"/>
      <c r="E422" s="984"/>
      <c r="G422" s="334"/>
    </row>
    <row r="423" spans="1:7" s="142" customFormat="1" ht="12.75">
      <c r="A423" s="982"/>
      <c r="B423" s="983"/>
      <c r="C423" s="983"/>
      <c r="D423" s="983"/>
      <c r="E423" s="984"/>
      <c r="G423" s="334"/>
    </row>
    <row r="424" spans="1:7" s="142" customFormat="1" ht="12.75">
      <c r="A424" s="982"/>
      <c r="B424" s="983"/>
      <c r="C424" s="983"/>
      <c r="D424" s="983"/>
      <c r="E424" s="984"/>
      <c r="F424" s="577"/>
      <c r="G424" s="577"/>
    </row>
    <row r="425" spans="1:7" s="142" customFormat="1" ht="12.75">
      <c r="A425" s="982"/>
      <c r="B425" s="983"/>
      <c r="C425" s="983"/>
      <c r="D425" s="983"/>
      <c r="E425" s="984"/>
      <c r="F425" s="577"/>
      <c r="G425" s="577"/>
    </row>
    <row r="426" spans="1:7" s="1" customFormat="1" ht="12.75">
      <c r="A426" s="982"/>
      <c r="B426" s="983"/>
      <c r="C426" s="983"/>
      <c r="D426" s="983"/>
      <c r="E426" s="984"/>
      <c r="F426" s="577"/>
      <c r="G426" s="577"/>
    </row>
    <row r="427" spans="1:7" s="1" customFormat="1" ht="12.75">
      <c r="A427" s="982"/>
      <c r="B427" s="983"/>
      <c r="C427" s="983"/>
      <c r="D427" s="983"/>
      <c r="E427" s="984"/>
      <c r="F427" s="577"/>
      <c r="G427" s="577"/>
    </row>
    <row r="428" spans="1:7" s="1" customFormat="1" ht="12.75">
      <c r="A428" s="982"/>
      <c r="B428" s="983"/>
      <c r="C428" s="983"/>
      <c r="D428" s="983"/>
      <c r="E428" s="984"/>
      <c r="F428" s="577"/>
      <c r="G428" s="577"/>
    </row>
    <row r="429" spans="1:7" s="1" customFormat="1" ht="12.75">
      <c r="A429" s="982"/>
      <c r="B429" s="983"/>
      <c r="C429" s="983"/>
      <c r="D429" s="983"/>
      <c r="E429" s="984"/>
      <c r="F429" s="577"/>
      <c r="G429" s="577"/>
    </row>
    <row r="430" spans="1:7" s="1" customFormat="1" ht="13.5" thickBot="1">
      <c r="A430" s="985"/>
      <c r="B430" s="986"/>
      <c r="C430" s="986"/>
      <c r="D430" s="986"/>
      <c r="E430" s="987"/>
      <c r="F430" s="142"/>
      <c r="G430" s="334"/>
    </row>
    <row r="431" spans="1:7" s="3" customFormat="1" ht="13.5">
      <c r="A431" s="40" t="s">
        <v>809</v>
      </c>
      <c r="B431" s="12"/>
      <c r="C431" s="24"/>
      <c r="D431" s="24"/>
      <c r="E431" s="303"/>
      <c r="F431" s="1"/>
      <c r="G431" s="332"/>
    </row>
    <row r="432" spans="1:7" s="3" customFormat="1" ht="13.5">
      <c r="A432" s="40" t="s">
        <v>571</v>
      </c>
      <c r="B432" s="40"/>
      <c r="C432" s="24"/>
      <c r="D432" s="24"/>
      <c r="E432" s="303"/>
      <c r="F432" s="1"/>
      <c r="G432" s="332"/>
    </row>
    <row r="433" spans="1:7" s="3" customFormat="1" ht="13.5">
      <c r="A433" s="40" t="s">
        <v>645</v>
      </c>
      <c r="B433" s="40"/>
      <c r="C433" s="24"/>
      <c r="D433" s="24"/>
      <c r="E433" s="303"/>
      <c r="F433" s="1"/>
      <c r="G433" s="332"/>
    </row>
    <row r="434" spans="1:7" s="100" customFormat="1" ht="13.5" customHeight="1" thickBot="1">
      <c r="A434" s="40" t="s">
        <v>13</v>
      </c>
      <c r="B434" s="12"/>
      <c r="C434" s="24"/>
      <c r="D434" s="24"/>
      <c r="E434" s="303"/>
      <c r="F434" s="1"/>
      <c r="G434" s="332"/>
    </row>
    <row r="435" spans="1:8" s="71" customFormat="1" ht="13.5" customHeight="1" thickBot="1">
      <c r="A435" s="697" t="s">
        <v>14</v>
      </c>
      <c r="B435" s="698"/>
      <c r="C435" s="699"/>
      <c r="D435" s="701"/>
      <c r="E435" s="707">
        <f>+C437+C453+C469+C475</f>
        <v>1776080</v>
      </c>
      <c r="F435" s="18"/>
      <c r="G435" s="87"/>
      <c r="H435" s="12"/>
    </row>
    <row r="436" spans="1:7" s="1" customFormat="1" ht="14.25" thickBot="1">
      <c r="A436" s="11"/>
      <c r="B436" s="11"/>
      <c r="C436" s="31"/>
      <c r="D436" s="31"/>
      <c r="E436" s="803"/>
      <c r="F436" s="3"/>
      <c r="G436" s="324"/>
    </row>
    <row r="437" spans="1:7" s="1" customFormat="1" ht="14.25" thickBot="1">
      <c r="A437" s="992" t="s">
        <v>2</v>
      </c>
      <c r="B437" s="993"/>
      <c r="C437" s="602">
        <f>C438+C440+C442+C444+C446+C448</f>
        <v>269240</v>
      </c>
      <c r="D437" s="18"/>
      <c r="E437" s="846"/>
      <c r="F437" s="3"/>
      <c r="G437" s="324"/>
    </row>
    <row r="438" spans="1:7" s="1" customFormat="1" ht="13.5">
      <c r="A438" s="11" t="s">
        <v>103</v>
      </c>
      <c r="B438" s="281" t="s">
        <v>104</v>
      </c>
      <c r="C438" s="32">
        <f>SUM(C439)</f>
        <v>14180</v>
      </c>
      <c r="D438" s="331"/>
      <c r="E438" s="100"/>
      <c r="F438" s="100"/>
      <c r="G438" s="332"/>
    </row>
    <row r="439" spans="1:7" s="3" customFormat="1" ht="13.5">
      <c r="A439" s="12" t="s">
        <v>46</v>
      </c>
      <c r="B439" s="71" t="s">
        <v>45</v>
      </c>
      <c r="C439" s="24">
        <v>14180</v>
      </c>
      <c r="D439" s="95"/>
      <c r="E439" s="71"/>
      <c r="F439" s="31"/>
      <c r="G439" s="95"/>
    </row>
    <row r="440" spans="1:7" s="3" customFormat="1" ht="13.5">
      <c r="A440" s="281" t="s">
        <v>382</v>
      </c>
      <c r="B440" s="281" t="s">
        <v>220</v>
      </c>
      <c r="C440" s="31">
        <f>SUM(C441)</f>
        <v>40000</v>
      </c>
      <c r="D440" s="14"/>
      <c r="E440" s="847"/>
      <c r="F440" s="1"/>
      <c r="G440" s="332"/>
    </row>
    <row r="441" spans="1:7" s="3" customFormat="1" ht="13.5">
      <c r="A441" s="12" t="s">
        <v>228</v>
      </c>
      <c r="B441" s="100" t="s">
        <v>227</v>
      </c>
      <c r="C441" s="24">
        <v>40000</v>
      </c>
      <c r="D441" s="14"/>
      <c r="E441" s="847"/>
      <c r="F441" s="1"/>
      <c r="G441" s="332"/>
    </row>
    <row r="442" spans="1:7" s="3" customFormat="1" ht="14.25" customHeight="1">
      <c r="A442" s="11" t="s">
        <v>105</v>
      </c>
      <c r="B442" s="11" t="s">
        <v>106</v>
      </c>
      <c r="C442" s="32">
        <f>SUM(C443)</f>
        <v>108000</v>
      </c>
      <c r="D442" s="14"/>
      <c r="E442" s="14"/>
      <c r="F442" s="1"/>
      <c r="G442" s="332"/>
    </row>
    <row r="443" spans="1:7" s="71" customFormat="1" ht="12.75" customHeight="1">
      <c r="A443" s="12" t="s">
        <v>86</v>
      </c>
      <c r="B443" s="71" t="s">
        <v>66</v>
      </c>
      <c r="C443" s="24">
        <v>108000</v>
      </c>
      <c r="D443" s="347"/>
      <c r="E443" s="18"/>
      <c r="F443" s="3"/>
      <c r="G443" s="324"/>
    </row>
    <row r="444" spans="1:7" s="71" customFormat="1" ht="12.75" customHeight="1">
      <c r="A444" s="11" t="s">
        <v>107</v>
      </c>
      <c r="B444" s="249" t="s">
        <v>108</v>
      </c>
      <c r="C444" s="31">
        <f>SUM(C445)</f>
        <v>15060</v>
      </c>
      <c r="D444" s="18"/>
      <c r="E444" s="18"/>
      <c r="F444" s="3"/>
      <c r="G444" s="324"/>
    </row>
    <row r="445" spans="1:7" s="5" customFormat="1" ht="13.5">
      <c r="A445" s="12" t="s">
        <v>47</v>
      </c>
      <c r="B445" s="23" t="s">
        <v>48</v>
      </c>
      <c r="C445" s="24">
        <v>15060</v>
      </c>
      <c r="D445" s="18"/>
      <c r="E445" s="18"/>
      <c r="F445" s="3"/>
      <c r="G445" s="324"/>
    </row>
    <row r="446" spans="1:7" s="71" customFormat="1" ht="12.75" customHeight="1">
      <c r="A446" s="249" t="s">
        <v>124</v>
      </c>
      <c r="B446" s="25" t="s">
        <v>123</v>
      </c>
      <c r="C446" s="31">
        <f>SUM(C447)</f>
        <v>16000</v>
      </c>
      <c r="D446" s="18"/>
      <c r="E446" s="18"/>
      <c r="F446" s="3"/>
      <c r="G446" s="324"/>
    </row>
    <row r="447" spans="1:7" s="71" customFormat="1" ht="12.75" customHeight="1">
      <c r="A447" s="71" t="s">
        <v>93</v>
      </c>
      <c r="B447" s="23" t="s">
        <v>72</v>
      </c>
      <c r="C447" s="24">
        <v>16000</v>
      </c>
      <c r="D447" s="348"/>
      <c r="E447" s="18"/>
      <c r="F447" s="3"/>
      <c r="G447" s="324"/>
    </row>
    <row r="448" spans="1:7" s="127" customFormat="1" ht="12.75" customHeight="1">
      <c r="A448" s="249" t="s">
        <v>150</v>
      </c>
      <c r="B448" s="25" t="s">
        <v>361</v>
      </c>
      <c r="C448" s="31">
        <f>SUM(C449:C451)</f>
        <v>76000</v>
      </c>
      <c r="D448" s="348"/>
      <c r="E448" s="18"/>
      <c r="F448" s="3"/>
      <c r="G448" s="324"/>
    </row>
    <row r="449" spans="1:7" s="127" customFormat="1" ht="12.75" customHeight="1">
      <c r="A449" s="71" t="s">
        <v>152</v>
      </c>
      <c r="B449" s="23" t="s">
        <v>70</v>
      </c>
      <c r="C449" s="24">
        <v>10000</v>
      </c>
      <c r="D449" s="77"/>
      <c r="E449" s="25"/>
      <c r="F449" s="100"/>
      <c r="G449" s="95"/>
    </row>
    <row r="450" spans="1:8" s="123" customFormat="1" ht="12.75" customHeight="1">
      <c r="A450" s="71" t="s">
        <v>154</v>
      </c>
      <c r="B450" s="23" t="s">
        <v>361</v>
      </c>
      <c r="C450" s="24">
        <v>25000</v>
      </c>
      <c r="D450" s="349"/>
      <c r="E450" s="18"/>
      <c r="F450" s="3"/>
      <c r="G450" s="324"/>
      <c r="H450" s="331"/>
    </row>
    <row r="451" spans="1:8" s="127" customFormat="1" ht="12.75" customHeight="1">
      <c r="A451" s="71" t="s">
        <v>643</v>
      </c>
      <c r="B451" s="42" t="s">
        <v>642</v>
      </c>
      <c r="C451" s="24">
        <v>41000</v>
      </c>
      <c r="D451" s="349"/>
      <c r="E451" s="18"/>
      <c r="F451" s="3"/>
      <c r="G451" s="324"/>
      <c r="H451" s="27"/>
    </row>
    <row r="452" spans="1:8" s="127" customFormat="1" ht="12.75" customHeight="1" thickBot="1">
      <c r="A452" s="71"/>
      <c r="B452" s="23"/>
      <c r="C452" s="23"/>
      <c r="D452" s="349"/>
      <c r="E452" s="18"/>
      <c r="F452" s="3"/>
      <c r="G452" s="324"/>
      <c r="H452" s="27"/>
    </row>
    <row r="453" spans="1:8" s="127" customFormat="1" ht="12.75" customHeight="1" thickBot="1">
      <c r="A453" s="994" t="s">
        <v>3</v>
      </c>
      <c r="B453" s="995"/>
      <c r="C453" s="603">
        <f>C454+C456+C458+C461+C463</f>
        <v>1156840</v>
      </c>
      <c r="D453" s="348"/>
      <c r="E453" s="18"/>
      <c r="F453" s="3"/>
      <c r="G453" s="324"/>
      <c r="H453" s="14"/>
    </row>
    <row r="454" spans="1:8" s="127" customFormat="1" ht="12.75" customHeight="1">
      <c r="A454" s="11" t="s">
        <v>110</v>
      </c>
      <c r="B454" s="11" t="s">
        <v>111</v>
      </c>
      <c r="C454" s="32">
        <f>SUM(C455)</f>
        <v>366400</v>
      </c>
      <c r="D454" s="123"/>
      <c r="E454" s="123"/>
      <c r="F454" s="332"/>
      <c r="G454" s="350"/>
      <c r="H454" s="14"/>
    </row>
    <row r="455" spans="1:8" s="127" customFormat="1" ht="12.75" customHeight="1">
      <c r="A455" s="12" t="s">
        <v>52</v>
      </c>
      <c r="B455" s="12" t="s">
        <v>15</v>
      </c>
      <c r="C455" s="24">
        <v>366400</v>
      </c>
      <c r="F455" s="100"/>
      <c r="G455" s="349"/>
      <c r="H455" s="14"/>
    </row>
    <row r="456" spans="1:256" s="71" customFormat="1" ht="13.5" customHeight="1">
      <c r="A456" s="249" t="s">
        <v>112</v>
      </c>
      <c r="B456" s="11" t="s">
        <v>156</v>
      </c>
      <c r="C456" s="31">
        <f>SUM(C457:C457)</f>
        <v>285770</v>
      </c>
      <c r="D456" s="127"/>
      <c r="E456" s="127"/>
      <c r="F456" s="100"/>
      <c r="G456" s="349"/>
      <c r="H456" s="142"/>
      <c r="I456" s="142"/>
      <c r="J456" s="142"/>
      <c r="K456" s="142"/>
      <c r="L456" s="142"/>
      <c r="M456" s="142"/>
      <c r="N456" s="142"/>
      <c r="O456" s="142"/>
      <c r="P456" s="142"/>
      <c r="Q456" s="142"/>
      <c r="R456" s="142"/>
      <c r="S456" s="142"/>
      <c r="T456" s="142"/>
      <c r="U456" s="142"/>
      <c r="V456" s="142"/>
      <c r="W456" s="142"/>
      <c r="X456" s="142"/>
      <c r="Y456" s="142"/>
      <c r="Z456" s="142"/>
      <c r="AA456" s="142"/>
      <c r="AB456" s="142"/>
      <c r="AC456" s="142"/>
      <c r="AD456" s="142"/>
      <c r="AE456" s="142"/>
      <c r="AF456" s="142"/>
      <c r="AG456" s="142"/>
      <c r="AH456" s="142"/>
      <c r="AI456" s="142"/>
      <c r="AJ456" s="142"/>
      <c r="AK456" s="142"/>
      <c r="AL456" s="142"/>
      <c r="AM456" s="142"/>
      <c r="AN456" s="142"/>
      <c r="AO456" s="142"/>
      <c r="AP456" s="142"/>
      <c r="AQ456" s="142"/>
      <c r="AR456" s="142"/>
      <c r="AS456" s="142"/>
      <c r="AT456" s="142"/>
      <c r="AU456" s="142"/>
      <c r="AV456" s="142"/>
      <c r="AW456" s="142"/>
      <c r="AX456" s="142"/>
      <c r="AY456" s="142"/>
      <c r="AZ456" s="142"/>
      <c r="BA456" s="142"/>
      <c r="BB456" s="142"/>
      <c r="BC456" s="142"/>
      <c r="BD456" s="142"/>
      <c r="BE456" s="142"/>
      <c r="BF456" s="142"/>
      <c r="BG456" s="142"/>
      <c r="BH456" s="142"/>
      <c r="BI456" s="142"/>
      <c r="BJ456" s="142"/>
      <c r="BK456" s="142"/>
      <c r="BL456" s="142"/>
      <c r="BM456" s="142"/>
      <c r="BN456" s="142"/>
      <c r="BO456" s="142"/>
      <c r="BP456" s="142"/>
      <c r="BQ456" s="142"/>
      <c r="BR456" s="142"/>
      <c r="BS456" s="142"/>
      <c r="BT456" s="142"/>
      <c r="BU456" s="142"/>
      <c r="BV456" s="142"/>
      <c r="BW456" s="142"/>
      <c r="BX456" s="142"/>
      <c r="BY456" s="142"/>
      <c r="BZ456" s="142"/>
      <c r="CA456" s="142"/>
      <c r="CB456" s="142"/>
      <c r="CC456" s="142"/>
      <c r="CD456" s="142"/>
      <c r="CE456" s="142"/>
      <c r="CF456" s="142"/>
      <c r="CG456" s="142"/>
      <c r="CH456" s="142"/>
      <c r="CI456" s="142"/>
      <c r="CJ456" s="142"/>
      <c r="CK456" s="142"/>
      <c r="CL456" s="142"/>
      <c r="CM456" s="142"/>
      <c r="CN456" s="142"/>
      <c r="CO456" s="142"/>
      <c r="CP456" s="142"/>
      <c r="CQ456" s="142"/>
      <c r="CR456" s="142"/>
      <c r="CS456" s="142"/>
      <c r="CT456" s="142"/>
      <c r="CU456" s="142"/>
      <c r="CV456" s="142"/>
      <c r="CW456" s="142"/>
      <c r="CX456" s="142"/>
      <c r="CY456" s="142"/>
      <c r="CZ456" s="142"/>
      <c r="DA456" s="142"/>
      <c r="DB456" s="142"/>
      <c r="DC456" s="142"/>
      <c r="DD456" s="142"/>
      <c r="DE456" s="142"/>
      <c r="DF456" s="142"/>
      <c r="DG456" s="142"/>
      <c r="DH456" s="142"/>
      <c r="DI456" s="142"/>
      <c r="DJ456" s="142"/>
      <c r="DK456" s="142"/>
      <c r="DL456" s="142"/>
      <c r="DM456" s="142"/>
      <c r="DN456" s="142"/>
      <c r="DO456" s="142"/>
      <c r="DP456" s="142"/>
      <c r="DQ456" s="142"/>
      <c r="DR456" s="142"/>
      <c r="DS456" s="142"/>
      <c r="DT456" s="142"/>
      <c r="DU456" s="142"/>
      <c r="DV456" s="142"/>
      <c r="DW456" s="142"/>
      <c r="DX456" s="142"/>
      <c r="DY456" s="142"/>
      <c r="DZ456" s="142"/>
      <c r="EA456" s="142"/>
      <c r="EB456" s="142"/>
      <c r="EC456" s="142"/>
      <c r="ED456" s="142"/>
      <c r="EE456" s="142"/>
      <c r="EF456" s="142"/>
      <c r="EG456" s="142"/>
      <c r="EH456" s="142"/>
      <c r="EI456" s="142"/>
      <c r="EJ456" s="142"/>
      <c r="EK456" s="142"/>
      <c r="EL456" s="142"/>
      <c r="EM456" s="142"/>
      <c r="EN456" s="142"/>
      <c r="EO456" s="142"/>
      <c r="EP456" s="142"/>
      <c r="EQ456" s="142"/>
      <c r="ER456" s="142"/>
      <c r="ES456" s="142"/>
      <c r="ET456" s="142"/>
      <c r="EU456" s="142"/>
      <c r="EV456" s="142"/>
      <c r="EW456" s="142"/>
      <c r="EX456" s="142"/>
      <c r="EY456" s="142"/>
      <c r="EZ456" s="142"/>
      <c r="FA456" s="142"/>
      <c r="FB456" s="142"/>
      <c r="FC456" s="142"/>
      <c r="FD456" s="142"/>
      <c r="FE456" s="142"/>
      <c r="FF456" s="142"/>
      <c r="FG456" s="142"/>
      <c r="FH456" s="142"/>
      <c r="FI456" s="142"/>
      <c r="FJ456" s="142"/>
      <c r="FK456" s="142"/>
      <c r="FL456" s="142"/>
      <c r="FM456" s="142"/>
      <c r="FN456" s="142"/>
      <c r="FO456" s="142"/>
      <c r="FP456" s="142"/>
      <c r="FQ456" s="142"/>
      <c r="FR456" s="142"/>
      <c r="FS456" s="142"/>
      <c r="FT456" s="142"/>
      <c r="FU456" s="142"/>
      <c r="FV456" s="142"/>
      <c r="FW456" s="142"/>
      <c r="FX456" s="142"/>
      <c r="FY456" s="142"/>
      <c r="FZ456" s="142"/>
      <c r="GA456" s="142"/>
      <c r="GB456" s="142"/>
      <c r="GC456" s="142"/>
      <c r="GD456" s="142"/>
      <c r="GE456" s="142"/>
      <c r="GF456" s="142"/>
      <c r="GG456" s="142"/>
      <c r="GH456" s="142"/>
      <c r="GI456" s="142"/>
      <c r="GJ456" s="142"/>
      <c r="GK456" s="142"/>
      <c r="GL456" s="142"/>
      <c r="GM456" s="142"/>
      <c r="GN456" s="142"/>
      <c r="GO456" s="142"/>
      <c r="GP456" s="142"/>
      <c r="GQ456" s="142"/>
      <c r="GR456" s="142"/>
      <c r="GS456" s="142"/>
      <c r="GT456" s="142"/>
      <c r="GU456" s="142"/>
      <c r="GV456" s="142"/>
      <c r="GW456" s="142"/>
      <c r="GX456" s="142"/>
      <c r="GY456" s="142"/>
      <c r="GZ456" s="142"/>
      <c r="HA456" s="142"/>
      <c r="HB456" s="142"/>
      <c r="HC456" s="142"/>
      <c r="HD456" s="142"/>
      <c r="HE456" s="142"/>
      <c r="HF456" s="142"/>
      <c r="HG456" s="142"/>
      <c r="HH456" s="142"/>
      <c r="HI456" s="142"/>
      <c r="HJ456" s="142"/>
      <c r="HK456" s="142"/>
      <c r="HL456" s="142"/>
      <c r="HM456" s="142"/>
      <c r="HN456" s="142"/>
      <c r="HO456" s="142"/>
      <c r="HP456" s="142"/>
      <c r="HQ456" s="142"/>
      <c r="HR456" s="142"/>
      <c r="HS456" s="142"/>
      <c r="HT456" s="142"/>
      <c r="HU456" s="142"/>
      <c r="HV456" s="142"/>
      <c r="HW456" s="142"/>
      <c r="HX456" s="142"/>
      <c r="HY456" s="142"/>
      <c r="HZ456" s="142"/>
      <c r="IA456" s="142"/>
      <c r="IB456" s="142"/>
      <c r="IC456" s="142"/>
      <c r="ID456" s="142"/>
      <c r="IE456" s="142"/>
      <c r="IF456" s="142"/>
      <c r="IG456" s="142"/>
      <c r="IH456" s="142"/>
      <c r="II456" s="142"/>
      <c r="IJ456" s="142"/>
      <c r="IK456" s="142"/>
      <c r="IL456" s="142"/>
      <c r="IM456" s="142"/>
      <c r="IN456" s="142"/>
      <c r="IO456" s="142"/>
      <c r="IP456" s="142"/>
      <c r="IQ456" s="142"/>
      <c r="IR456" s="142"/>
      <c r="IS456" s="142"/>
      <c r="IT456" s="142"/>
      <c r="IU456" s="142"/>
      <c r="IV456" s="142"/>
    </row>
    <row r="457" spans="1:7" s="71" customFormat="1" ht="12.75" customHeight="1">
      <c r="A457" s="71" t="s">
        <v>49</v>
      </c>
      <c r="B457" s="23" t="s">
        <v>87</v>
      </c>
      <c r="C457" s="24">
        <v>285770</v>
      </c>
      <c r="D457" s="127"/>
      <c r="E457" s="127"/>
      <c r="F457" s="14"/>
      <c r="G457" s="352"/>
    </row>
    <row r="458" spans="1:8" s="127" customFormat="1" ht="12.75" customHeight="1">
      <c r="A458" s="249" t="s">
        <v>113</v>
      </c>
      <c r="B458" s="25" t="s">
        <v>114</v>
      </c>
      <c r="C458" s="31">
        <f>SUM(C459:C460)</f>
        <v>37900</v>
      </c>
      <c r="F458" s="14"/>
      <c r="G458" s="344"/>
      <c r="H458" s="347"/>
    </row>
    <row r="459" spans="1:8" s="127" customFormat="1" ht="12.75" customHeight="1">
      <c r="A459" s="12" t="s">
        <v>163</v>
      </c>
      <c r="B459" s="12" t="s">
        <v>74</v>
      </c>
      <c r="C459" s="24">
        <v>15000</v>
      </c>
      <c r="D459" s="71"/>
      <c r="E459" s="71"/>
      <c r="F459" s="71"/>
      <c r="G459" s="404"/>
      <c r="H459" s="70"/>
    </row>
    <row r="460" spans="1:8" s="71" customFormat="1" ht="12.75" customHeight="1">
      <c r="A460" s="71" t="s">
        <v>88</v>
      </c>
      <c r="B460" s="23" t="s">
        <v>64</v>
      </c>
      <c r="C460" s="24">
        <v>22900</v>
      </c>
      <c r="G460" s="353"/>
      <c r="H460" s="12"/>
    </row>
    <row r="461" spans="1:8" s="71" customFormat="1" ht="12.75" customHeight="1">
      <c r="A461" s="249" t="s">
        <v>132</v>
      </c>
      <c r="B461" s="25" t="s">
        <v>56</v>
      </c>
      <c r="C461" s="31">
        <f>SUM(C462)</f>
        <v>55600</v>
      </c>
      <c r="G461" s="353"/>
      <c r="H461" s="347"/>
    </row>
    <row r="462" spans="1:8" s="5" customFormat="1" ht="13.5">
      <c r="A462" s="71" t="s">
        <v>55</v>
      </c>
      <c r="B462" s="71" t="s">
        <v>56</v>
      </c>
      <c r="C462" s="24">
        <v>55600</v>
      </c>
      <c r="D462" s="127"/>
      <c r="E462" s="127"/>
      <c r="F462" s="127"/>
      <c r="G462" s="353"/>
      <c r="H462" s="117"/>
    </row>
    <row r="463" spans="1:7" s="127" customFormat="1" ht="12.75" customHeight="1">
      <c r="A463" s="249" t="s">
        <v>115</v>
      </c>
      <c r="B463" s="25" t="s">
        <v>8</v>
      </c>
      <c r="C463" s="31">
        <f>SUM(C464:C467)</f>
        <v>411170</v>
      </c>
      <c r="F463" s="354"/>
      <c r="G463" s="347"/>
    </row>
    <row r="464" spans="1:7" s="127" customFormat="1" ht="12.75" customHeight="1">
      <c r="A464" s="71" t="s">
        <v>92</v>
      </c>
      <c r="B464" s="23" t="s">
        <v>8</v>
      </c>
      <c r="C464" s="24">
        <v>118720</v>
      </c>
      <c r="D464" s="71"/>
      <c r="E464" s="71"/>
      <c r="F464" s="354"/>
      <c r="G464" s="352"/>
    </row>
    <row r="465" spans="1:7" s="249" customFormat="1" ht="13.5" customHeight="1">
      <c r="A465" s="71" t="s">
        <v>182</v>
      </c>
      <c r="B465" s="23" t="s">
        <v>50</v>
      </c>
      <c r="C465" s="24">
        <v>7600</v>
      </c>
      <c r="D465" s="71"/>
      <c r="E465" s="71"/>
      <c r="F465" s="355"/>
      <c r="G465" s="344"/>
    </row>
    <row r="466" spans="1:7" s="100" customFormat="1" ht="13.5" customHeight="1">
      <c r="A466" s="71" t="s">
        <v>223</v>
      </c>
      <c r="B466" s="12" t="s">
        <v>222</v>
      </c>
      <c r="C466" s="24">
        <v>205350</v>
      </c>
      <c r="D466" s="5"/>
      <c r="E466" s="5"/>
      <c r="F466" s="117"/>
      <c r="G466" s="24"/>
    </row>
    <row r="467" spans="1:11" s="70" customFormat="1" ht="13.5" customHeight="1">
      <c r="A467" s="71" t="s">
        <v>90</v>
      </c>
      <c r="B467" s="23" t="s">
        <v>7</v>
      </c>
      <c r="C467" s="22">
        <v>79500</v>
      </c>
      <c r="E467" s="347"/>
      <c r="F467" s="355"/>
      <c r="G467" s="324"/>
      <c r="K467" s="142"/>
    </row>
    <row r="468" spans="3:7" s="71" customFormat="1" ht="13.5" customHeight="1" thickBot="1">
      <c r="C468" s="95"/>
      <c r="D468" s="14"/>
      <c r="E468" s="347"/>
      <c r="F468" s="355"/>
      <c r="G468" s="324"/>
    </row>
    <row r="469" spans="1:7" s="71" customFormat="1" ht="13.5" customHeight="1" thickBot="1">
      <c r="A469" s="1007" t="s">
        <v>5</v>
      </c>
      <c r="B469" s="1008"/>
      <c r="C469" s="604">
        <f>C470</f>
        <v>272000</v>
      </c>
      <c r="D469" s="335"/>
      <c r="E469" s="336"/>
      <c r="F469" s="337"/>
      <c r="G469" s="338"/>
    </row>
    <row r="470" spans="1:7" s="71" customFormat="1" ht="13.5" customHeight="1">
      <c r="A470" s="11" t="s">
        <v>128</v>
      </c>
      <c r="B470" s="281" t="s">
        <v>129</v>
      </c>
      <c r="C470" s="32">
        <f>SUM(C471:C473)</f>
        <v>272000</v>
      </c>
      <c r="D470" s="339"/>
      <c r="E470" s="340"/>
      <c r="F470" s="340"/>
      <c r="G470" s="341"/>
    </row>
    <row r="471" spans="1:7" s="127" customFormat="1" ht="12.75" customHeight="1">
      <c r="A471" s="12" t="s">
        <v>351</v>
      </c>
      <c r="B471" s="12" t="s">
        <v>352</v>
      </c>
      <c r="C471" s="24">
        <v>147000</v>
      </c>
      <c r="D471" s="342"/>
      <c r="E471" s="24"/>
      <c r="F471" s="343"/>
      <c r="G471" s="344"/>
    </row>
    <row r="472" spans="1:7" s="71" customFormat="1" ht="13.5">
      <c r="A472" s="12" t="s">
        <v>146</v>
      </c>
      <c r="B472" s="42" t="s">
        <v>145</v>
      </c>
      <c r="C472" s="24">
        <v>75000</v>
      </c>
      <c r="D472" s="342"/>
      <c r="E472" s="24"/>
      <c r="F472" s="343"/>
      <c r="G472" s="344"/>
    </row>
    <row r="473" spans="1:7" s="127" customFormat="1" ht="12.75" customHeight="1">
      <c r="A473" s="12" t="s">
        <v>144</v>
      </c>
      <c r="B473" s="24" t="s">
        <v>12</v>
      </c>
      <c r="C473" s="24">
        <v>50000</v>
      </c>
      <c r="D473" s="345"/>
      <c r="E473" s="336"/>
      <c r="F473" s="335"/>
      <c r="G473" s="346"/>
    </row>
    <row r="474" spans="1:7" s="127" customFormat="1" ht="12.75" customHeight="1" thickBot="1">
      <c r="A474" s="71"/>
      <c r="B474" s="24"/>
      <c r="C474" s="24"/>
      <c r="D474" s="345"/>
      <c r="E474" s="336"/>
      <c r="F474" s="335"/>
      <c r="G474" s="346"/>
    </row>
    <row r="475" spans="1:7" s="5" customFormat="1" ht="14.25" thickBot="1">
      <c r="A475" s="996" t="s">
        <v>4</v>
      </c>
      <c r="B475" s="997"/>
      <c r="C475" s="605">
        <f>+C476+C478</f>
        <v>78000</v>
      </c>
      <c r="D475" s="14"/>
      <c r="E475" s="347"/>
      <c r="F475" s="357"/>
      <c r="G475" s="324"/>
    </row>
    <row r="476" spans="1:7" s="5" customFormat="1" ht="13.5">
      <c r="A476" s="249" t="s">
        <v>116</v>
      </c>
      <c r="B476" s="249" t="s">
        <v>117</v>
      </c>
      <c r="C476" s="25">
        <f>SUM(C477)</f>
        <v>26000</v>
      </c>
      <c r="D476" s="28"/>
      <c r="E476" s="328"/>
      <c r="F476" s="187"/>
      <c r="G476" s="325"/>
    </row>
    <row r="477" spans="1:7" ht="13.5" customHeight="1">
      <c r="A477" s="71" t="s">
        <v>91</v>
      </c>
      <c r="B477" s="71" t="s">
        <v>139</v>
      </c>
      <c r="C477" s="24">
        <v>26000</v>
      </c>
      <c r="D477" s="28"/>
      <c r="E477" s="328"/>
      <c r="F477" s="187"/>
      <c r="G477" s="325"/>
    </row>
    <row r="478" spans="1:7" s="1" customFormat="1" ht="13.5" customHeight="1">
      <c r="A478" s="249" t="s">
        <v>165</v>
      </c>
      <c r="B478" s="25" t="s">
        <v>135</v>
      </c>
      <c r="C478" s="31">
        <f>SUM(C479)</f>
        <v>52000</v>
      </c>
      <c r="D478" s="28"/>
      <c r="E478" s="328"/>
      <c r="F478" s="187"/>
      <c r="G478" s="325"/>
    </row>
    <row r="479" spans="1:7" s="1" customFormat="1" ht="13.5">
      <c r="A479" s="71" t="s">
        <v>166</v>
      </c>
      <c r="B479" s="23" t="s">
        <v>51</v>
      </c>
      <c r="C479" s="24">
        <v>52000</v>
      </c>
      <c r="D479" s="18"/>
      <c r="E479" s="332"/>
      <c r="G479" s="324"/>
    </row>
    <row r="480" spans="1:7" s="1" customFormat="1" ht="13.5">
      <c r="A480" s="71"/>
      <c r="B480" s="23"/>
      <c r="C480" s="24"/>
      <c r="D480" s="18"/>
      <c r="E480" s="332"/>
      <c r="G480" s="324"/>
    </row>
    <row r="481" spans="1:5" ht="14.25" thickBot="1">
      <c r="A481" s="395"/>
      <c r="B481" s="395"/>
      <c r="C481" s="23"/>
      <c r="D481" s="22"/>
      <c r="E481" s="24"/>
    </row>
    <row r="482" spans="1:7" ht="12.75">
      <c r="A482" s="988" t="s">
        <v>906</v>
      </c>
      <c r="B482" s="1009"/>
      <c r="C482" s="989"/>
      <c r="D482" s="627" t="s">
        <v>6</v>
      </c>
      <c r="E482" s="755">
        <v>1408</v>
      </c>
      <c r="F482" s="399"/>
      <c r="G482" s="385"/>
    </row>
    <row r="483" spans="1:7" ht="13.5" thickBot="1">
      <c r="A483" s="990"/>
      <c r="B483" s="1010"/>
      <c r="C483" s="991"/>
      <c r="D483" s="669"/>
      <c r="E483" s="673"/>
      <c r="F483" s="399"/>
      <c r="G483" s="385"/>
    </row>
    <row r="484" spans="1:5" ht="12.75">
      <c r="A484" s="979" t="s">
        <v>907</v>
      </c>
      <c r="B484" s="980"/>
      <c r="C484" s="980"/>
      <c r="D484" s="980"/>
      <c r="E484" s="981"/>
    </row>
    <row r="485" spans="1:5" ht="12.75">
      <c r="A485" s="982"/>
      <c r="B485" s="983"/>
      <c r="C485" s="983"/>
      <c r="D485" s="983"/>
      <c r="E485" s="984"/>
    </row>
    <row r="486" spans="1:5" ht="12.75">
      <c r="A486" s="982"/>
      <c r="B486" s="983"/>
      <c r="C486" s="983"/>
      <c r="D486" s="983"/>
      <c r="E486" s="984"/>
    </row>
    <row r="487" spans="1:5" ht="12.75">
      <c r="A487" s="982"/>
      <c r="B487" s="983"/>
      <c r="C487" s="983"/>
      <c r="D487" s="983"/>
      <c r="E487" s="984"/>
    </row>
    <row r="488" spans="1:5" ht="27" customHeight="1" thickBot="1">
      <c r="A488" s="985"/>
      <c r="B488" s="986"/>
      <c r="C488" s="986"/>
      <c r="D488" s="986"/>
      <c r="E488" s="987"/>
    </row>
    <row r="489" spans="1:5" s="175" customFormat="1" ht="13.5">
      <c r="A489" s="40" t="s">
        <v>809</v>
      </c>
      <c r="B489" s="12"/>
      <c r="C489" s="138"/>
      <c r="D489" s="70"/>
      <c r="E489" s="136"/>
    </row>
    <row r="490" spans="1:5" s="175" customFormat="1" ht="13.5">
      <c r="A490" s="40" t="s">
        <v>626</v>
      </c>
      <c r="B490" s="12"/>
      <c r="C490" s="138"/>
      <c r="D490" s="70"/>
      <c r="E490" s="136"/>
    </row>
    <row r="491" spans="1:5" s="175" customFormat="1" ht="13.5">
      <c r="A491" s="40" t="s">
        <v>908</v>
      </c>
      <c r="B491" s="12"/>
      <c r="C491" s="138"/>
      <c r="D491" s="70"/>
      <c r="E491" s="136"/>
    </row>
    <row r="492" spans="1:5" ht="14.25" thickBot="1">
      <c r="A492" s="40" t="s">
        <v>11</v>
      </c>
      <c r="B492" s="135"/>
      <c r="C492" s="134"/>
      <c r="D492" s="427"/>
      <c r="E492" s="132"/>
    </row>
    <row r="493" spans="1:6" ht="14.25" thickBot="1">
      <c r="A493" s="697" t="s">
        <v>0</v>
      </c>
      <c r="B493" s="698"/>
      <c r="C493" s="699"/>
      <c r="D493" s="701"/>
      <c r="E493" s="707">
        <f>+C495+C511+C528+C533</f>
        <v>1902850</v>
      </c>
      <c r="F493" s="428"/>
    </row>
    <row r="494" spans="1:5" ht="14.25" thickBot="1">
      <c r="A494" s="12"/>
      <c r="B494" s="12"/>
      <c r="C494" s="24"/>
      <c r="D494" s="24"/>
      <c r="E494" s="24"/>
    </row>
    <row r="495" spans="1:5" ht="14.25" thickBot="1">
      <c r="A495" s="992" t="s">
        <v>2</v>
      </c>
      <c r="B495" s="993"/>
      <c r="C495" s="602">
        <f>C496+C498+C500+C502+C504+C506</f>
        <v>284870</v>
      </c>
      <c r="D495" s="23"/>
      <c r="E495" s="848"/>
    </row>
    <row r="496" spans="1:5" ht="13.5">
      <c r="A496" s="11" t="s">
        <v>103</v>
      </c>
      <c r="B496" s="281" t="s">
        <v>104</v>
      </c>
      <c r="C496" s="32">
        <f>SUM(C497)</f>
        <v>19870</v>
      </c>
      <c r="D496" s="849"/>
      <c r="E496" s="100"/>
    </row>
    <row r="497" spans="1:5" ht="13.5">
      <c r="A497" s="12" t="s">
        <v>46</v>
      </c>
      <c r="B497" s="71" t="s">
        <v>45</v>
      </c>
      <c r="C497" s="24">
        <v>19870</v>
      </c>
      <c r="D497" s="95"/>
      <c r="E497" s="31"/>
    </row>
    <row r="498" spans="1:5" ht="13.5">
      <c r="A498" s="11" t="s">
        <v>200</v>
      </c>
      <c r="B498" s="249" t="s">
        <v>220</v>
      </c>
      <c r="C498" s="31">
        <f>SUM(C499)</f>
        <v>20400</v>
      </c>
      <c r="D498" s="23"/>
      <c r="E498" s="23"/>
    </row>
    <row r="499" spans="1:5" ht="13.5">
      <c r="A499" s="12" t="s">
        <v>228</v>
      </c>
      <c r="B499" s="12" t="s">
        <v>227</v>
      </c>
      <c r="C499" s="24">
        <v>20400</v>
      </c>
      <c r="D499" s="77"/>
      <c r="E499" s="25"/>
    </row>
    <row r="500" spans="1:5" ht="13.5">
      <c r="A500" s="11" t="s">
        <v>105</v>
      </c>
      <c r="B500" s="249" t="s">
        <v>106</v>
      </c>
      <c r="C500" s="32">
        <f>SUM(C501)</f>
        <v>95680</v>
      </c>
      <c r="D500" s="95"/>
      <c r="E500" s="850"/>
    </row>
    <row r="501" spans="1:5" ht="13.5">
      <c r="A501" s="12" t="s">
        <v>86</v>
      </c>
      <c r="B501" s="12" t="s">
        <v>66</v>
      </c>
      <c r="C501" s="24">
        <v>95680</v>
      </c>
      <c r="D501" s="23"/>
      <c r="E501" s="23"/>
    </row>
    <row r="502" spans="1:8" s="5" customFormat="1" ht="13.5" customHeight="1">
      <c r="A502" s="11" t="s">
        <v>107</v>
      </c>
      <c r="B502" s="249" t="s">
        <v>108</v>
      </c>
      <c r="C502" s="32">
        <f>SUM(C503:C503)</f>
        <v>32400</v>
      </c>
      <c r="D502" s="95"/>
      <c r="E502" s="850"/>
      <c r="F502"/>
      <c r="G502"/>
      <c r="H502" s="142"/>
    </row>
    <row r="503" spans="1:5" ht="13.5">
      <c r="A503" s="12" t="s">
        <v>47</v>
      </c>
      <c r="B503" s="23" t="s">
        <v>48</v>
      </c>
      <c r="C503" s="24">
        <v>32400</v>
      </c>
      <c r="D503" s="23"/>
      <c r="E503" s="23"/>
    </row>
    <row r="504" spans="1:5" ht="13.5">
      <c r="A504" s="249" t="s">
        <v>124</v>
      </c>
      <c r="B504" s="249" t="s">
        <v>123</v>
      </c>
      <c r="C504" s="31">
        <f>SUM(C505)</f>
        <v>23900</v>
      </c>
      <c r="D504" s="23"/>
      <c r="E504" s="23"/>
    </row>
    <row r="505" spans="1:5" ht="13.5">
      <c r="A505" s="71" t="s">
        <v>93</v>
      </c>
      <c r="B505" s="23" t="s">
        <v>72</v>
      </c>
      <c r="C505" s="24">
        <v>23900</v>
      </c>
      <c r="D505" s="23"/>
      <c r="E505" s="23"/>
    </row>
    <row r="506" spans="1:5" ht="13.5">
      <c r="A506" s="249" t="s">
        <v>150</v>
      </c>
      <c r="B506" s="25" t="s">
        <v>133</v>
      </c>
      <c r="C506" s="31">
        <f>SUM(C507:C509)</f>
        <v>92620</v>
      </c>
      <c r="D506" s="23"/>
      <c r="E506" s="23"/>
    </row>
    <row r="507" spans="1:7" s="127" customFormat="1" ht="12.75" customHeight="1">
      <c r="A507" s="71" t="s">
        <v>152</v>
      </c>
      <c r="B507" s="23" t="s">
        <v>70</v>
      </c>
      <c r="C507" s="24">
        <v>13320</v>
      </c>
      <c r="D507" s="77"/>
      <c r="E507" s="25"/>
      <c r="F507"/>
      <c r="G507"/>
    </row>
    <row r="508" spans="1:5" ht="13.5">
      <c r="A508" s="71" t="s">
        <v>153</v>
      </c>
      <c r="B508" s="23" t="s">
        <v>125</v>
      </c>
      <c r="C508" s="24">
        <v>21300</v>
      </c>
      <c r="D508" s="23"/>
      <c r="E508" s="23"/>
    </row>
    <row r="509" spans="1:7" ht="13.5">
      <c r="A509" s="71" t="s">
        <v>643</v>
      </c>
      <c r="B509" s="42" t="s">
        <v>642</v>
      </c>
      <c r="C509" s="24">
        <v>58000</v>
      </c>
      <c r="D509" s="349"/>
      <c r="E509" s="18"/>
      <c r="F509" s="3"/>
      <c r="G509" s="324"/>
    </row>
    <row r="510" spans="1:5" ht="14.25" thickBot="1">
      <c r="A510" s="71"/>
      <c r="B510" s="23"/>
      <c r="C510" s="23"/>
      <c r="D510" s="23"/>
      <c r="E510" s="23"/>
    </row>
    <row r="511" spans="1:5" ht="14.25" thickBot="1">
      <c r="A511" s="994" t="s">
        <v>3</v>
      </c>
      <c r="B511" s="995"/>
      <c r="C511" s="603">
        <f>+C514+C516+C520+C522+C512</f>
        <v>1495280</v>
      </c>
      <c r="D511" s="23"/>
      <c r="E511" s="23"/>
    </row>
    <row r="512" spans="1:5" ht="13.5">
      <c r="A512" s="11" t="s">
        <v>110</v>
      </c>
      <c r="B512" s="281" t="s">
        <v>111</v>
      </c>
      <c r="C512" s="32">
        <f>SUM(C513:C513)</f>
        <v>32280</v>
      </c>
      <c r="D512" s="95"/>
      <c r="E512" s="95"/>
    </row>
    <row r="513" spans="1:5" ht="13.5">
      <c r="A513" s="12" t="s">
        <v>52</v>
      </c>
      <c r="B513" s="12" t="s">
        <v>15</v>
      </c>
      <c r="C513" s="24">
        <v>32280</v>
      </c>
      <c r="D513" s="23"/>
      <c r="E513" s="23"/>
    </row>
    <row r="514" spans="1:5" ht="13.5">
      <c r="A514" s="11" t="s">
        <v>120</v>
      </c>
      <c r="B514" s="11" t="s">
        <v>121</v>
      </c>
      <c r="C514" s="31">
        <f>SUM(C515)</f>
        <v>19200</v>
      </c>
      <c r="D514" s="23"/>
      <c r="E514" s="23"/>
    </row>
    <row r="515" spans="1:5" ht="13.5">
      <c r="A515" s="12" t="s">
        <v>136</v>
      </c>
      <c r="B515" s="12" t="s">
        <v>71</v>
      </c>
      <c r="C515" s="24">
        <v>19200</v>
      </c>
      <c r="D515" s="77"/>
      <c r="E515" s="25"/>
    </row>
    <row r="516" spans="1:5" ht="13.5">
      <c r="A516" s="11" t="s">
        <v>112</v>
      </c>
      <c r="B516" s="11" t="s">
        <v>156</v>
      </c>
      <c r="C516" s="31">
        <f>SUM(C517:C519)</f>
        <v>643300</v>
      </c>
      <c r="D516" s="77"/>
      <c r="E516" s="25"/>
    </row>
    <row r="517" spans="1:5" ht="13.5">
      <c r="A517" s="12" t="s">
        <v>138</v>
      </c>
      <c r="B517" s="58" t="s">
        <v>810</v>
      </c>
      <c r="C517" s="24">
        <v>9000</v>
      </c>
      <c r="D517" s="23"/>
      <c r="E517" s="23"/>
    </row>
    <row r="518" spans="1:7" ht="13.5">
      <c r="A518" s="71" t="s">
        <v>155</v>
      </c>
      <c r="B518" s="24" t="s">
        <v>87</v>
      </c>
      <c r="C518" s="24">
        <v>484300</v>
      </c>
      <c r="E518" s="71"/>
      <c r="F518" s="118"/>
      <c r="G518" s="12"/>
    </row>
    <row r="519" spans="1:10" s="71" customFormat="1" ht="13.5" customHeight="1">
      <c r="A519" s="71" t="s">
        <v>813</v>
      </c>
      <c r="B519" s="42" t="s">
        <v>814</v>
      </c>
      <c r="C519" s="24">
        <v>150000</v>
      </c>
      <c r="D519" s="346"/>
      <c r="E519" s="407"/>
      <c r="F519" s="335"/>
      <c r="G519" s="346"/>
      <c r="H519" s="12"/>
      <c r="J519" s="23"/>
    </row>
    <row r="520" spans="1:7" ht="13.5">
      <c r="A520" s="11" t="s">
        <v>132</v>
      </c>
      <c r="B520" s="31" t="s">
        <v>56</v>
      </c>
      <c r="C520" s="31">
        <f>SUM(C521)</f>
        <v>74300</v>
      </c>
      <c r="E520" s="117"/>
      <c r="G520" s="24"/>
    </row>
    <row r="521" spans="1:7" ht="13.5">
      <c r="A521" s="12" t="s">
        <v>55</v>
      </c>
      <c r="B521" s="24" t="s">
        <v>56</v>
      </c>
      <c r="C521" s="24">
        <f>24300+50000</f>
        <v>74300</v>
      </c>
      <c r="E521" s="117"/>
      <c r="G521" s="24"/>
    </row>
    <row r="522" spans="1:7" ht="13.5">
      <c r="A522" s="11" t="s">
        <v>115</v>
      </c>
      <c r="B522" s="31" t="s">
        <v>8</v>
      </c>
      <c r="C522" s="31">
        <f>SUM(C523:C526)</f>
        <v>726200</v>
      </c>
      <c r="E522" s="23"/>
      <c r="G522" s="23"/>
    </row>
    <row r="523" spans="1:7" ht="13.5">
      <c r="A523" s="12" t="s">
        <v>89</v>
      </c>
      <c r="B523" s="24" t="s">
        <v>8</v>
      </c>
      <c r="C523" s="24">
        <f>291600+200000</f>
        <v>491600</v>
      </c>
      <c r="E523" s="117"/>
      <c r="F523" s="118"/>
      <c r="G523" s="24"/>
    </row>
    <row r="524" spans="1:5" ht="13.5">
      <c r="A524" s="12" t="s">
        <v>182</v>
      </c>
      <c r="B524" s="24" t="s">
        <v>50</v>
      </c>
      <c r="C524" s="24">
        <v>8000</v>
      </c>
      <c r="D524" s="117"/>
      <c r="E524" s="117"/>
    </row>
    <row r="525" spans="1:5" ht="13.5">
      <c r="A525" s="12" t="s">
        <v>223</v>
      </c>
      <c r="B525" s="24" t="s">
        <v>462</v>
      </c>
      <c r="C525" s="24">
        <f>95000+100000</f>
        <v>195000</v>
      </c>
      <c r="D525" s="117"/>
      <c r="E525" s="117"/>
    </row>
    <row r="526" spans="1:11" ht="13.5">
      <c r="A526" s="12" t="s">
        <v>90</v>
      </c>
      <c r="B526" s="24" t="s">
        <v>7</v>
      </c>
      <c r="C526" s="24">
        <v>31600</v>
      </c>
      <c r="D526" s="31"/>
      <c r="E526" s="38"/>
      <c r="H526" s="31"/>
      <c r="I526" s="175"/>
      <c r="J526" s="175"/>
      <c r="K526" s="175"/>
    </row>
    <row r="527" spans="1:5" ht="14.25" thickBot="1">
      <c r="A527" s="12"/>
      <c r="B527" s="24"/>
      <c r="C527" s="24"/>
      <c r="D527" s="31"/>
      <c r="E527" s="38"/>
    </row>
    <row r="528" spans="1:5" ht="14.25" thickBot="1">
      <c r="A528" s="1007" t="s">
        <v>5</v>
      </c>
      <c r="B528" s="1008"/>
      <c r="C528" s="604">
        <f>+C529</f>
        <v>70400</v>
      </c>
      <c r="D528" s="12"/>
      <c r="E528" s="12"/>
    </row>
    <row r="529" spans="1:5" ht="13.5">
      <c r="A529" s="249" t="s">
        <v>128</v>
      </c>
      <c r="B529" s="249" t="s">
        <v>129</v>
      </c>
      <c r="C529" s="31">
        <f>SUM(C530:C531)</f>
        <v>70400</v>
      </c>
      <c r="D529" s="78"/>
      <c r="E529" s="25"/>
    </row>
    <row r="530" spans="1:7" ht="13.5">
      <c r="A530" s="71" t="s">
        <v>255</v>
      </c>
      <c r="B530" s="71" t="s">
        <v>256</v>
      </c>
      <c r="C530" s="24">
        <v>36000</v>
      </c>
      <c r="G530" s="24"/>
    </row>
    <row r="531" spans="1:5" ht="13.5">
      <c r="A531" s="71" t="s">
        <v>144</v>
      </c>
      <c r="B531" s="24" t="s">
        <v>12</v>
      </c>
      <c r="C531" s="24">
        <v>34400</v>
      </c>
      <c r="D531" s="77"/>
      <c r="E531" s="25"/>
    </row>
    <row r="532" spans="1:5" ht="14.25" thickBot="1">
      <c r="A532" s="12"/>
      <c r="B532" s="12"/>
      <c r="C532" s="24"/>
      <c r="D532" s="24"/>
      <c r="E532" s="23"/>
    </row>
    <row r="533" spans="1:5" ht="14.25" thickBot="1">
      <c r="A533" s="996" t="s">
        <v>4</v>
      </c>
      <c r="B533" s="997"/>
      <c r="C533" s="605">
        <f>+C534+C537</f>
        <v>52300</v>
      </c>
      <c r="D533" s="23"/>
      <c r="E533" s="23"/>
    </row>
    <row r="534" spans="1:7" s="5" customFormat="1" ht="13.5">
      <c r="A534" s="249" t="s">
        <v>116</v>
      </c>
      <c r="B534" s="281" t="s">
        <v>117</v>
      </c>
      <c r="C534" s="31">
        <f>SUM(C535:C536)</f>
        <v>38100</v>
      </c>
      <c r="D534" s="77"/>
      <c r="E534" s="77"/>
      <c r="F534"/>
      <c r="G534"/>
    </row>
    <row r="535" spans="1:5" ht="13.5">
      <c r="A535" s="71" t="s">
        <v>91</v>
      </c>
      <c r="B535" s="23" t="s">
        <v>9</v>
      </c>
      <c r="C535" s="24">
        <v>20100</v>
      </c>
      <c r="D535" s="77"/>
      <c r="E535" s="25"/>
    </row>
    <row r="536" spans="1:7" ht="13.5">
      <c r="A536" s="71" t="s">
        <v>57</v>
      </c>
      <c r="B536" s="71" t="s">
        <v>58</v>
      </c>
      <c r="C536" s="24">
        <v>18000</v>
      </c>
      <c r="D536" s="335"/>
      <c r="E536" s="335"/>
      <c r="F536" s="335"/>
      <c r="G536" s="390"/>
    </row>
    <row r="537" spans="1:5" ht="13.5">
      <c r="A537" s="249" t="s">
        <v>165</v>
      </c>
      <c r="B537" s="25" t="s">
        <v>135</v>
      </c>
      <c r="C537" s="31">
        <f>SUM(C538)</f>
        <v>14200</v>
      </c>
      <c r="D537" s="77"/>
      <c r="E537" s="25"/>
    </row>
    <row r="538" spans="1:5" ht="13.5">
      <c r="A538" s="71" t="s">
        <v>166</v>
      </c>
      <c r="B538" s="23" t="s">
        <v>51</v>
      </c>
      <c r="C538" s="24">
        <v>14200</v>
      </c>
      <c r="D538" s="77"/>
      <c r="E538" s="25"/>
    </row>
    <row r="539" spans="1:5" ht="13.5">
      <c r="A539" s="71"/>
      <c r="B539" s="23"/>
      <c r="C539" s="23"/>
      <c r="D539" s="77"/>
      <c r="E539" s="25"/>
    </row>
    <row r="540" spans="1:5" ht="14.25" thickBot="1">
      <c r="A540" s="71"/>
      <c r="B540" s="23"/>
      <c r="C540" s="23"/>
      <c r="D540" s="77"/>
      <c r="E540" s="25"/>
    </row>
    <row r="541" spans="1:7" ht="12.75">
      <c r="A541" s="988" t="s">
        <v>909</v>
      </c>
      <c r="B541" s="1009"/>
      <c r="C541" s="989"/>
      <c r="D541" s="627" t="s">
        <v>6</v>
      </c>
      <c r="E541" s="755">
        <v>1409</v>
      </c>
      <c r="F541" s="399"/>
      <c r="G541" s="385"/>
    </row>
    <row r="542" spans="1:5" ht="13.5" thickBot="1">
      <c r="A542" s="990"/>
      <c r="B542" s="1010"/>
      <c r="C542" s="991"/>
      <c r="D542" s="630"/>
      <c r="E542" s="631"/>
    </row>
    <row r="543" spans="1:5" ht="12.75">
      <c r="A543" s="979" t="s">
        <v>910</v>
      </c>
      <c r="B543" s="980"/>
      <c r="C543" s="980"/>
      <c r="D543" s="980"/>
      <c r="E543" s="981"/>
    </row>
    <row r="544" spans="1:5" ht="12.75">
      <c r="A544" s="982"/>
      <c r="B544" s="983"/>
      <c r="C544" s="983"/>
      <c r="D544" s="983"/>
      <c r="E544" s="984"/>
    </row>
    <row r="545" spans="1:5" ht="13.5">
      <c r="A545" s="982"/>
      <c r="B545" s="983"/>
      <c r="C545" s="983"/>
      <c r="D545" s="983"/>
      <c r="E545" s="984"/>
    </row>
    <row r="546" spans="1:5" ht="13.5">
      <c r="A546" s="982"/>
      <c r="B546" s="983"/>
      <c r="C546" s="983"/>
      <c r="D546" s="983"/>
      <c r="E546" s="984"/>
    </row>
    <row r="547" spans="1:5" ht="12.75">
      <c r="A547" s="982"/>
      <c r="B547" s="983"/>
      <c r="C547" s="983"/>
      <c r="D547" s="983"/>
      <c r="E547" s="984"/>
    </row>
    <row r="548" spans="1:5" ht="13.5" thickBot="1">
      <c r="A548" s="982"/>
      <c r="B548" s="983"/>
      <c r="C548" s="983"/>
      <c r="D548" s="983"/>
      <c r="E548" s="984"/>
    </row>
    <row r="549" spans="1:5" ht="13.5">
      <c r="A549" s="116" t="s">
        <v>809</v>
      </c>
      <c r="B549" s="167"/>
      <c r="C549" s="166"/>
      <c r="D549" s="760"/>
      <c r="E549" s="164"/>
    </row>
    <row r="550" spans="1:5" ht="13.5">
      <c r="A550" s="40" t="s">
        <v>626</v>
      </c>
      <c r="B550" s="12"/>
      <c r="C550" s="138"/>
      <c r="D550" s="70"/>
      <c r="E550" s="136"/>
    </row>
    <row r="551" spans="1:5" s="175" customFormat="1" ht="13.5">
      <c r="A551" s="40" t="s">
        <v>709</v>
      </c>
      <c r="B551" s="12"/>
      <c r="C551" s="138"/>
      <c r="D551" s="70"/>
      <c r="E551" s="136"/>
    </row>
    <row r="552" spans="1:5" ht="14.25" thickBot="1">
      <c r="A552" s="75" t="s">
        <v>11</v>
      </c>
      <c r="B552" s="135"/>
      <c r="C552" s="134"/>
      <c r="D552" s="427"/>
      <c r="E552" s="132"/>
    </row>
    <row r="553" spans="1:6" ht="14.25" thickBot="1">
      <c r="A553" s="697" t="s">
        <v>0</v>
      </c>
      <c r="B553" s="698"/>
      <c r="C553" s="699"/>
      <c r="D553" s="701"/>
      <c r="E553" s="707">
        <f>(C555+C577+C593+C598)</f>
        <v>3292340</v>
      </c>
      <c r="F553" s="633"/>
    </row>
    <row r="554" spans="1:5" ht="14.25" thickBot="1">
      <c r="A554" s="71"/>
      <c r="B554" s="23"/>
      <c r="C554" s="23"/>
      <c r="D554" s="77"/>
      <c r="E554" s="25"/>
    </row>
    <row r="555" spans="1:5" ht="14.25" thickBot="1">
      <c r="A555" s="992" t="s">
        <v>2</v>
      </c>
      <c r="B555" s="993"/>
      <c r="C555" s="602">
        <f>+C556+C558+C560+C562+C564+C569+C572</f>
        <v>925620</v>
      </c>
      <c r="D555" s="77"/>
      <c r="E555" s="25"/>
    </row>
    <row r="556" spans="1:5" ht="13.5">
      <c r="A556" s="11" t="s">
        <v>103</v>
      </c>
      <c r="B556" s="281" t="s">
        <v>104</v>
      </c>
      <c r="C556" s="32">
        <f>SUM(C557)</f>
        <v>318910</v>
      </c>
      <c r="D556" s="77"/>
      <c r="E556" s="25"/>
    </row>
    <row r="557" spans="1:5" ht="13.5">
      <c r="A557" s="12" t="s">
        <v>46</v>
      </c>
      <c r="B557" s="71" t="s">
        <v>45</v>
      </c>
      <c r="C557" s="24">
        <v>318910</v>
      </c>
      <c r="D557" s="77"/>
      <c r="E557" s="25"/>
    </row>
    <row r="558" spans="1:5" ht="13.5">
      <c r="A558" s="11" t="s">
        <v>200</v>
      </c>
      <c r="B558" s="249" t="s">
        <v>220</v>
      </c>
      <c r="C558" s="31">
        <f>SUM(C559)</f>
        <v>20400</v>
      </c>
      <c r="D558" s="23"/>
      <c r="E558" s="23"/>
    </row>
    <row r="559" spans="1:5" ht="13.5">
      <c r="A559" s="12" t="s">
        <v>228</v>
      </c>
      <c r="B559" s="12" t="s">
        <v>227</v>
      </c>
      <c r="C559" s="24">
        <v>20400</v>
      </c>
      <c r="D559" s="77"/>
      <c r="E559" s="25"/>
    </row>
    <row r="560" spans="1:8" s="3" customFormat="1" ht="13.5">
      <c r="A560" s="11" t="s">
        <v>105</v>
      </c>
      <c r="B560" s="11" t="s">
        <v>106</v>
      </c>
      <c r="C560" s="31">
        <f>SUM(C561)</f>
        <v>86400</v>
      </c>
      <c r="D560" s="12"/>
      <c r="E560" s="12"/>
      <c r="F560" s="383"/>
      <c r="G560" s="415"/>
      <c r="H560" s="423"/>
    </row>
    <row r="561" spans="1:8" s="3" customFormat="1" ht="13.5">
      <c r="A561" s="12" t="s">
        <v>86</v>
      </c>
      <c r="B561" s="71" t="s">
        <v>66</v>
      </c>
      <c r="C561" s="24">
        <v>86400</v>
      </c>
      <c r="F561" s="344"/>
      <c r="G561" s="423"/>
      <c r="H561" s="423"/>
    </row>
    <row r="562" spans="1:8" s="5" customFormat="1" ht="13.5">
      <c r="A562" s="11" t="s">
        <v>107</v>
      </c>
      <c r="B562" s="249" t="s">
        <v>108</v>
      </c>
      <c r="C562" s="31">
        <f>SUM(C563:C563)</f>
        <v>47750</v>
      </c>
      <c r="D562" s="3"/>
      <c r="E562" s="3"/>
      <c r="F562" s="423"/>
      <c r="G562" s="422"/>
      <c r="H562" s="142"/>
    </row>
    <row r="563" spans="1:10" s="5" customFormat="1" ht="13.5">
      <c r="A563" s="12" t="s">
        <v>47</v>
      </c>
      <c r="B563" s="23" t="s">
        <v>48</v>
      </c>
      <c r="C563" s="24">
        <v>47750</v>
      </c>
      <c r="D563" s="3"/>
      <c r="E563" s="3"/>
      <c r="F563" s="415"/>
      <c r="G563" s="336"/>
      <c r="H563" s="344"/>
      <c r="J563" s="142"/>
    </row>
    <row r="564" spans="1:7" s="3" customFormat="1" ht="13.5">
      <c r="A564" s="249" t="s">
        <v>119</v>
      </c>
      <c r="B564" s="25" t="s">
        <v>109</v>
      </c>
      <c r="C564" s="31">
        <f>SUM(C565:C568)</f>
        <v>167700</v>
      </c>
      <c r="D564" s="415"/>
      <c r="E564" s="100"/>
      <c r="F564" s="374"/>
      <c r="G564" s="374"/>
    </row>
    <row r="565" spans="1:7" s="5" customFormat="1" ht="13.5">
      <c r="A565" s="12" t="s">
        <v>641</v>
      </c>
      <c r="B565" s="42" t="s">
        <v>640</v>
      </c>
      <c r="C565" s="24">
        <v>19000</v>
      </c>
      <c r="D565" s="14"/>
      <c r="F565" s="344"/>
      <c r="G565" s="385"/>
    </row>
    <row r="566" spans="1:5" s="65" customFormat="1" ht="13.5">
      <c r="A566" s="71" t="s">
        <v>758</v>
      </c>
      <c r="B566" s="24" t="s">
        <v>753</v>
      </c>
      <c r="C566" s="24">
        <v>48700</v>
      </c>
      <c r="D566" s="77"/>
      <c r="E566" s="25"/>
    </row>
    <row r="567" spans="1:5" s="65" customFormat="1" ht="13.5">
      <c r="A567" s="71" t="s">
        <v>762</v>
      </c>
      <c r="B567" s="24" t="s">
        <v>763</v>
      </c>
      <c r="C567" s="24">
        <v>65000</v>
      </c>
      <c r="D567" s="77"/>
      <c r="E567" s="25"/>
    </row>
    <row r="568" spans="1:5" s="65" customFormat="1" ht="13.5">
      <c r="A568" s="71" t="s">
        <v>754</v>
      </c>
      <c r="B568" s="24" t="s">
        <v>755</v>
      </c>
      <c r="C568" s="24">
        <v>35000</v>
      </c>
      <c r="D568" s="77"/>
      <c r="E568" s="25"/>
    </row>
    <row r="569" spans="1:7" s="5" customFormat="1" ht="13.5">
      <c r="A569" s="249" t="s">
        <v>124</v>
      </c>
      <c r="B569" s="25" t="s">
        <v>123</v>
      </c>
      <c r="C569" s="31">
        <f>SUM(C570:C571)</f>
        <v>113040</v>
      </c>
      <c r="D569" s="3"/>
      <c r="E569" s="3"/>
      <c r="F569" s="3"/>
      <c r="G569" s="3"/>
    </row>
    <row r="570" spans="1:5" s="65" customFormat="1" ht="13.5">
      <c r="A570" s="12" t="s">
        <v>231</v>
      </c>
      <c r="B570" s="42" t="s">
        <v>230</v>
      </c>
      <c r="C570" s="24">
        <v>74400</v>
      </c>
      <c r="D570" s="56"/>
      <c r="E570" s="56"/>
    </row>
    <row r="571" spans="1:10" s="5" customFormat="1" ht="13.5">
      <c r="A571" s="71" t="s">
        <v>93</v>
      </c>
      <c r="B571" s="24" t="s">
        <v>72</v>
      </c>
      <c r="C571" s="24">
        <v>38640</v>
      </c>
      <c r="H571" s="142"/>
      <c r="I571" s="142"/>
      <c r="J571" s="142"/>
    </row>
    <row r="572" spans="1:8" s="3" customFormat="1" ht="13.5">
      <c r="A572" s="249" t="s">
        <v>150</v>
      </c>
      <c r="B572" s="25" t="s">
        <v>133</v>
      </c>
      <c r="C572" s="31">
        <f>SUM(C573:C575)</f>
        <v>171420</v>
      </c>
      <c r="D572" s="77"/>
      <c r="E572" s="25"/>
      <c r="F572"/>
      <c r="G572"/>
      <c r="H572" s="1"/>
    </row>
    <row r="573" spans="1:7" ht="13.5">
      <c r="A573" s="71" t="s">
        <v>151</v>
      </c>
      <c r="B573" s="24" t="s">
        <v>65</v>
      </c>
      <c r="C573" s="24">
        <v>92670</v>
      </c>
      <c r="D573" s="336"/>
      <c r="E573" s="336"/>
      <c r="F573" s="336"/>
      <c r="G573" s="374"/>
    </row>
    <row r="574" spans="1:7" ht="13.5">
      <c r="A574" s="71" t="s">
        <v>243</v>
      </c>
      <c r="B574" s="42" t="s">
        <v>244</v>
      </c>
      <c r="C574" s="24">
        <v>22000</v>
      </c>
      <c r="D574" s="336"/>
      <c r="E574" s="336"/>
      <c r="F574" s="336"/>
      <c r="G574" s="374"/>
    </row>
    <row r="575" spans="1:5" ht="13.5">
      <c r="A575" s="71" t="s">
        <v>153</v>
      </c>
      <c r="B575" s="23" t="s">
        <v>125</v>
      </c>
      <c r="C575" s="24">
        <v>56750</v>
      </c>
      <c r="D575" s="77"/>
      <c r="E575" s="25"/>
    </row>
    <row r="576" spans="1:5" ht="14.25" thickBot="1">
      <c r="A576" s="71"/>
      <c r="B576" s="23"/>
      <c r="C576" s="23"/>
      <c r="D576" s="77"/>
      <c r="E576" s="25"/>
    </row>
    <row r="577" spans="1:5" ht="14.25" thickBot="1">
      <c r="A577" s="994" t="s">
        <v>3</v>
      </c>
      <c r="B577" s="995"/>
      <c r="C577" s="603">
        <f>+C578+C580+C583+C585+C587+C589</f>
        <v>1757620</v>
      </c>
      <c r="D577" s="77"/>
      <c r="E577" s="25"/>
    </row>
    <row r="578" spans="1:5" ht="13.5">
      <c r="A578" s="11" t="s">
        <v>110</v>
      </c>
      <c r="B578" s="281" t="s">
        <v>111</v>
      </c>
      <c r="C578" s="32">
        <f>SUM(C579:C579)</f>
        <v>50000</v>
      </c>
      <c r="D578" s="77"/>
      <c r="E578" s="25"/>
    </row>
    <row r="579" spans="1:5" ht="13.5">
      <c r="A579" s="12" t="s">
        <v>52</v>
      </c>
      <c r="B579" s="12" t="s">
        <v>15</v>
      </c>
      <c r="C579" s="24">
        <v>50000</v>
      </c>
      <c r="D579" s="77"/>
      <c r="E579" s="25"/>
    </row>
    <row r="580" spans="1:5" ht="13.5">
      <c r="A580" s="11" t="s">
        <v>120</v>
      </c>
      <c r="B580" s="11" t="s">
        <v>121</v>
      </c>
      <c r="C580" s="31">
        <f>SUM(C581:C582)</f>
        <v>125000</v>
      </c>
      <c r="D580" s="77"/>
      <c r="E580" s="25"/>
    </row>
    <row r="581" spans="1:9" s="65" customFormat="1" ht="13.5" customHeight="1">
      <c r="A581" s="58" t="s">
        <v>140</v>
      </c>
      <c r="B581" s="42" t="s">
        <v>141</v>
      </c>
      <c r="C581" s="59">
        <v>80000</v>
      </c>
      <c r="G581" s="59"/>
      <c r="H581" s="56"/>
      <c r="I581" s="56"/>
    </row>
    <row r="582" spans="1:5" ht="13.5">
      <c r="A582" s="12" t="s">
        <v>136</v>
      </c>
      <c r="B582" s="12" t="s">
        <v>71</v>
      </c>
      <c r="C582" s="24">
        <v>45000</v>
      </c>
      <c r="D582" s="77"/>
      <c r="E582" s="25"/>
    </row>
    <row r="583" spans="1:5" ht="13.5">
      <c r="A583" s="11" t="s">
        <v>112</v>
      </c>
      <c r="B583" s="11" t="s">
        <v>156</v>
      </c>
      <c r="C583" s="31">
        <f>SUM(C584:C584)</f>
        <v>1045800</v>
      </c>
      <c r="D583" s="77"/>
      <c r="E583" s="25"/>
    </row>
    <row r="584" spans="1:6" ht="13.5">
      <c r="A584" s="71" t="s">
        <v>155</v>
      </c>
      <c r="B584" s="24" t="s">
        <v>87</v>
      </c>
      <c r="C584" s="24">
        <v>1045800</v>
      </c>
      <c r="D584" s="77"/>
      <c r="E584" s="25"/>
      <c r="F584" s="118"/>
    </row>
    <row r="585" spans="1:7" s="71" customFormat="1" ht="13.5" customHeight="1">
      <c r="A585" s="11" t="s">
        <v>113</v>
      </c>
      <c r="B585" s="31" t="s">
        <v>114</v>
      </c>
      <c r="C585" s="31">
        <f>SUM(C586:C586)</f>
        <v>65000</v>
      </c>
      <c r="D585" s="378"/>
      <c r="G585" s="344"/>
    </row>
    <row r="586" spans="1:11" s="71" customFormat="1" ht="13.5" customHeight="1">
      <c r="A586" s="12" t="s">
        <v>163</v>
      </c>
      <c r="B586" s="12" t="s">
        <v>74</v>
      </c>
      <c r="C586" s="24">
        <v>65000</v>
      </c>
      <c r="E586" s="142"/>
      <c r="G586" s="142"/>
      <c r="H586" s="378"/>
      <c r="J586" s="344"/>
      <c r="K586" s="346"/>
    </row>
    <row r="587" spans="1:5" ht="13.5">
      <c r="A587" s="11" t="s">
        <v>132</v>
      </c>
      <c r="B587" s="31" t="s">
        <v>56</v>
      </c>
      <c r="C587" s="31">
        <f>SUM(C588)</f>
        <v>74300</v>
      </c>
      <c r="D587" s="77"/>
      <c r="E587" s="25"/>
    </row>
    <row r="588" spans="1:5" ht="13.5">
      <c r="A588" s="12" t="s">
        <v>55</v>
      </c>
      <c r="B588" s="24" t="s">
        <v>56</v>
      </c>
      <c r="C588" s="24">
        <f>24300+50000</f>
        <v>74300</v>
      </c>
      <c r="D588" s="77"/>
      <c r="E588" s="25"/>
    </row>
    <row r="589" spans="1:5" ht="13.5">
      <c r="A589" s="11" t="s">
        <v>115</v>
      </c>
      <c r="B589" s="31" t="s">
        <v>8</v>
      </c>
      <c r="C589" s="31">
        <f>SUM(C590:C591)</f>
        <v>397520</v>
      </c>
      <c r="D589" s="77"/>
      <c r="E589" s="25"/>
    </row>
    <row r="590" spans="1:6" ht="13.5">
      <c r="A590" s="12" t="s">
        <v>89</v>
      </c>
      <c r="B590" s="24" t="s">
        <v>8</v>
      </c>
      <c r="C590" s="24">
        <v>290000</v>
      </c>
      <c r="D590" s="77"/>
      <c r="E590" s="25"/>
      <c r="F590" s="118"/>
    </row>
    <row r="591" spans="1:5" ht="13.5">
      <c r="A591" s="12" t="s">
        <v>90</v>
      </c>
      <c r="B591" s="24" t="s">
        <v>7</v>
      </c>
      <c r="C591" s="24">
        <v>107520</v>
      </c>
      <c r="D591" s="77"/>
      <c r="E591" s="25"/>
    </row>
    <row r="592" spans="1:5" ht="14.25" thickBot="1">
      <c r="A592" s="12"/>
      <c r="B592" s="24"/>
      <c r="C592" s="24"/>
      <c r="D592" s="77"/>
      <c r="E592" s="25"/>
    </row>
    <row r="593" spans="1:5" ht="14.25" thickBot="1">
      <c r="A593" s="1007" t="s">
        <v>5</v>
      </c>
      <c r="B593" s="1008"/>
      <c r="C593" s="604">
        <f>+C594</f>
        <v>450000</v>
      </c>
      <c r="D593" s="77"/>
      <c r="E593" s="25"/>
    </row>
    <row r="594" spans="1:5" ht="13.5">
      <c r="A594" s="249" t="s">
        <v>128</v>
      </c>
      <c r="B594" s="249" t="s">
        <v>129</v>
      </c>
      <c r="C594" s="31">
        <f>SUM(C595:C596)</f>
        <v>450000</v>
      </c>
      <c r="D594" s="77"/>
      <c r="E594" s="25"/>
    </row>
    <row r="595" spans="1:5" ht="13.5">
      <c r="A595" s="71" t="s">
        <v>255</v>
      </c>
      <c r="B595" s="71" t="s">
        <v>256</v>
      </c>
      <c r="C595" s="24">
        <v>130000</v>
      </c>
      <c r="D595" s="77"/>
      <c r="E595" s="25"/>
    </row>
    <row r="596" spans="1:5" ht="13.5">
      <c r="A596" s="71" t="s">
        <v>144</v>
      </c>
      <c r="B596" s="24" t="s">
        <v>12</v>
      </c>
      <c r="C596" s="24">
        <v>320000</v>
      </c>
      <c r="D596" s="77"/>
      <c r="E596" s="25"/>
    </row>
    <row r="597" spans="1:5" ht="14.25" thickBot="1">
      <c r="A597" s="12"/>
      <c r="B597" s="12"/>
      <c r="C597" s="24"/>
      <c r="D597" s="77"/>
      <c r="E597" s="25"/>
    </row>
    <row r="598" spans="1:5" ht="14.25" thickBot="1">
      <c r="A598" s="996" t="s">
        <v>4</v>
      </c>
      <c r="B598" s="997"/>
      <c r="C598" s="605">
        <f>+C599+C603</f>
        <v>159100</v>
      </c>
      <c r="D598" s="77"/>
      <c r="E598" s="25"/>
    </row>
    <row r="599" spans="1:256" s="5" customFormat="1" ht="13.5">
      <c r="A599" s="249" t="s">
        <v>116</v>
      </c>
      <c r="B599" s="281" t="s">
        <v>117</v>
      </c>
      <c r="C599" s="31">
        <f>SUM(C600:C602)</f>
        <v>142000</v>
      </c>
      <c r="D599" s="77"/>
      <c r="E599" s="25"/>
      <c r="F599"/>
      <c r="G599"/>
      <c r="IV599" s="21">
        <f>SUM(C599:IU599)</f>
        <v>142000</v>
      </c>
    </row>
    <row r="600" spans="1:7" ht="13.5">
      <c r="A600" s="71" t="s">
        <v>91</v>
      </c>
      <c r="B600" s="23" t="s">
        <v>9</v>
      </c>
      <c r="C600" s="24">
        <v>65000</v>
      </c>
      <c r="D600" s="77"/>
      <c r="E600" s="25"/>
      <c r="F600"/>
      <c r="G600"/>
    </row>
    <row r="601" spans="1:7" ht="13.5">
      <c r="A601" s="71" t="s">
        <v>57</v>
      </c>
      <c r="B601" s="71" t="s">
        <v>58</v>
      </c>
      <c r="C601" s="24">
        <v>17000</v>
      </c>
      <c r="D601" s="335"/>
      <c r="E601" s="335"/>
      <c r="F601" s="335"/>
      <c r="G601" s="390"/>
    </row>
    <row r="602" spans="1:8" s="8" customFormat="1" ht="13.5" customHeight="1">
      <c r="A602" s="71" t="s">
        <v>756</v>
      </c>
      <c r="B602" s="23" t="s">
        <v>757</v>
      </c>
      <c r="C602" s="24">
        <v>60000</v>
      </c>
      <c r="D602" s="77"/>
      <c r="E602" s="25"/>
      <c r="F602" s="98"/>
      <c r="G602" s="54"/>
      <c r="H602" s="42"/>
    </row>
    <row r="603" spans="1:7" ht="13.5">
      <c r="A603" s="249" t="s">
        <v>165</v>
      </c>
      <c r="B603" s="25" t="s">
        <v>135</v>
      </c>
      <c r="C603" s="31">
        <f>SUM(C604)</f>
        <v>17100</v>
      </c>
      <c r="D603" s="77"/>
      <c r="E603" s="25"/>
      <c r="F603"/>
      <c r="G603"/>
    </row>
    <row r="604" spans="1:5" ht="13.5">
      <c r="A604" s="71" t="s">
        <v>166</v>
      </c>
      <c r="B604" s="23" t="s">
        <v>51</v>
      </c>
      <c r="C604" s="24">
        <v>17100</v>
      </c>
      <c r="D604" s="77"/>
      <c r="E604" s="25"/>
    </row>
    <row r="605" spans="1:5" ht="14.25" thickBot="1">
      <c r="A605" s="69"/>
      <c r="B605" s="69"/>
      <c r="C605" s="59"/>
      <c r="D605" s="65"/>
      <c r="E605" s="65"/>
    </row>
    <row r="606" spans="1:6" s="68" customFormat="1" ht="13.5">
      <c r="A606" s="988" t="s">
        <v>911</v>
      </c>
      <c r="B606" s="1009"/>
      <c r="C606" s="989"/>
      <c r="D606" s="639" t="s">
        <v>6</v>
      </c>
      <c r="E606" s="754" t="s">
        <v>950</v>
      </c>
      <c r="F606" s="523"/>
    </row>
    <row r="607" spans="1:6" s="68" customFormat="1" ht="14.25" thickBot="1">
      <c r="A607" s="990"/>
      <c r="B607" s="1010"/>
      <c r="C607" s="991"/>
      <c r="D607" s="640"/>
      <c r="E607" s="641"/>
      <c r="F607" s="212"/>
    </row>
    <row r="608" spans="1:6" s="68" customFormat="1" ht="13.5">
      <c r="A608" s="979" t="s">
        <v>912</v>
      </c>
      <c r="B608" s="980"/>
      <c r="C608" s="980"/>
      <c r="D608" s="980"/>
      <c r="E608" s="981"/>
      <c r="F608" s="212"/>
    </row>
    <row r="609" spans="1:6" s="68" customFormat="1" ht="13.5">
      <c r="A609" s="982"/>
      <c r="B609" s="983"/>
      <c r="C609" s="983"/>
      <c r="D609" s="983"/>
      <c r="E609" s="984"/>
      <c r="F609" s="212"/>
    </row>
    <row r="610" spans="1:6" s="68" customFormat="1" ht="13.5">
      <c r="A610" s="982"/>
      <c r="B610" s="983"/>
      <c r="C610" s="983"/>
      <c r="D610" s="983"/>
      <c r="E610" s="984"/>
      <c r="F610" s="212"/>
    </row>
    <row r="611" spans="1:6" s="68" customFormat="1" ht="13.5">
      <c r="A611" s="982"/>
      <c r="B611" s="983"/>
      <c r="C611" s="983"/>
      <c r="D611" s="983"/>
      <c r="E611" s="984"/>
      <c r="F611" s="212"/>
    </row>
    <row r="612" spans="1:6" s="68" customFormat="1" ht="13.5">
      <c r="A612" s="982"/>
      <c r="B612" s="983"/>
      <c r="C612" s="983"/>
      <c r="D612" s="983"/>
      <c r="E612" s="984"/>
      <c r="F612" s="212"/>
    </row>
    <row r="613" spans="1:6" s="55" customFormat="1" ht="13.5">
      <c r="A613" s="982"/>
      <c r="B613" s="983"/>
      <c r="C613" s="983"/>
      <c r="D613" s="983"/>
      <c r="E613" s="984"/>
      <c r="F613" s="98"/>
    </row>
    <row r="614" spans="1:5" s="109" customFormat="1" ht="24.75" customHeight="1" thickBot="1">
      <c r="A614" s="985"/>
      <c r="B614" s="986"/>
      <c r="C614" s="986"/>
      <c r="D614" s="986"/>
      <c r="E614" s="987"/>
    </row>
    <row r="615" spans="1:6" s="220" customFormat="1" ht="13.5">
      <c r="A615" s="57" t="s">
        <v>809</v>
      </c>
      <c r="B615" s="58"/>
      <c r="C615" s="59"/>
      <c r="D615" s="59"/>
      <c r="E615" s="60"/>
      <c r="F615" s="212"/>
    </row>
    <row r="616" spans="1:6" s="220" customFormat="1" ht="13.5">
      <c r="A616" s="40" t="s">
        <v>581</v>
      </c>
      <c r="B616" s="58"/>
      <c r="C616" s="59"/>
      <c r="D616" s="59"/>
      <c r="E616" s="60"/>
      <c r="F616" s="212"/>
    </row>
    <row r="617" spans="1:6" s="220" customFormat="1" ht="13.5">
      <c r="A617" s="40" t="s">
        <v>602</v>
      </c>
      <c r="B617" s="58"/>
      <c r="C617" s="59"/>
      <c r="D617" s="59"/>
      <c r="E617" s="60"/>
      <c r="F617" s="212"/>
    </row>
    <row r="618" spans="1:6" s="220" customFormat="1" ht="14.25" thickBot="1">
      <c r="A618" s="57" t="s">
        <v>13</v>
      </c>
      <c r="B618" s="58"/>
      <c r="C618" s="59"/>
      <c r="D618" s="59"/>
      <c r="E618" s="60"/>
      <c r="F618" s="212"/>
    </row>
    <row r="619" spans="1:7" s="220" customFormat="1" ht="14.25" thickBot="1">
      <c r="A619" s="678" t="s">
        <v>14</v>
      </c>
      <c r="B619" s="679"/>
      <c r="C619" s="685"/>
      <c r="D619" s="686"/>
      <c r="E619" s="682">
        <f>+C621+C652+C672+C680+D702</f>
        <v>24886810</v>
      </c>
      <c r="F619" s="221"/>
      <c r="G619" s="221"/>
    </row>
    <row r="620" spans="1:6" s="220" customFormat="1" ht="14.25" thickBot="1">
      <c r="A620" s="62"/>
      <c r="B620" s="62"/>
      <c r="C620" s="63"/>
      <c r="D620" s="63"/>
      <c r="E620" s="222"/>
      <c r="F620" s="212"/>
    </row>
    <row r="621" spans="1:6" s="65" customFormat="1" ht="14.25" thickBot="1">
      <c r="A621" s="1013" t="s">
        <v>2</v>
      </c>
      <c r="B621" s="1014"/>
      <c r="C621" s="634">
        <f>C622+C624+C627+C630+C632+C635+C643+C646</f>
        <v>2561190</v>
      </c>
      <c r="D621" s="91"/>
      <c r="E621" s="851"/>
      <c r="F621" s="194"/>
    </row>
    <row r="622" spans="1:6" s="225" customFormat="1" ht="13.5">
      <c r="A622" s="11" t="s">
        <v>103</v>
      </c>
      <c r="B622" s="281" t="s">
        <v>104</v>
      </c>
      <c r="C622" s="509">
        <f>SUM(C623)</f>
        <v>475000</v>
      </c>
      <c r="D622" s="94"/>
      <c r="E622" s="824"/>
      <c r="F622" s="98"/>
    </row>
    <row r="623" spans="1:6" s="65" customFormat="1" ht="13.5">
      <c r="A623" s="12" t="s">
        <v>46</v>
      </c>
      <c r="B623" s="42" t="s">
        <v>160</v>
      </c>
      <c r="C623" s="59">
        <v>475000</v>
      </c>
      <c r="D623" s="69"/>
      <c r="E623" s="67"/>
      <c r="F623" s="194"/>
    </row>
    <row r="624" spans="1:11" s="202" customFormat="1" ht="13.5" customHeight="1">
      <c r="A624" s="249" t="s">
        <v>200</v>
      </c>
      <c r="B624" s="281" t="s">
        <v>229</v>
      </c>
      <c r="C624" s="31">
        <f>SUM(C625:C626)</f>
        <v>48720</v>
      </c>
      <c r="D624" s="24"/>
      <c r="E624" s="24"/>
      <c r="F624" s="203"/>
      <c r="G624" s="169"/>
      <c r="H624" s="169"/>
      <c r="I624" s="169"/>
      <c r="J624" s="169"/>
      <c r="K624" s="169"/>
    </row>
    <row r="625" spans="1:11" s="193" customFormat="1" ht="13.5">
      <c r="A625" s="71" t="s">
        <v>198</v>
      </c>
      <c r="B625" s="42" t="s">
        <v>197</v>
      </c>
      <c r="C625" s="24">
        <v>31320</v>
      </c>
      <c r="D625" s="23"/>
      <c r="E625" s="71"/>
      <c r="F625" s="207"/>
      <c r="G625" s="147"/>
      <c r="H625" s="147"/>
      <c r="I625" s="147"/>
      <c r="J625" s="147"/>
      <c r="K625" s="147"/>
    </row>
    <row r="626" spans="1:11" s="205" customFormat="1" ht="13.5" customHeight="1">
      <c r="A626" s="12" t="s">
        <v>228</v>
      </c>
      <c r="B626" s="8" t="s">
        <v>227</v>
      </c>
      <c r="C626" s="24">
        <v>17400</v>
      </c>
      <c r="D626" s="28"/>
      <c r="E626" s="28"/>
      <c r="F626" s="153"/>
      <c r="G626" s="151"/>
      <c r="H626" s="151"/>
      <c r="I626" s="151"/>
      <c r="J626" s="151"/>
      <c r="K626" s="151"/>
    </row>
    <row r="627" spans="1:6" s="65" customFormat="1" ht="13.5">
      <c r="A627" s="11" t="s">
        <v>105</v>
      </c>
      <c r="B627" s="502" t="s">
        <v>106</v>
      </c>
      <c r="C627" s="63">
        <f>SUM(C628:C629)</f>
        <v>488040</v>
      </c>
      <c r="D627" s="226"/>
      <c r="F627" s="194"/>
    </row>
    <row r="628" spans="1:255" s="65" customFormat="1" ht="13.5">
      <c r="A628" s="12" t="s">
        <v>67</v>
      </c>
      <c r="B628" s="8" t="s">
        <v>68</v>
      </c>
      <c r="C628" s="24">
        <v>16420</v>
      </c>
      <c r="D628" s="95"/>
      <c r="E628" s="31"/>
      <c r="F628" s="42"/>
      <c r="G628" s="54"/>
      <c r="H628" s="42"/>
      <c r="I628" s="42"/>
      <c r="J628" s="42"/>
      <c r="K628" s="42"/>
      <c r="L628" s="42"/>
      <c r="M628" s="42"/>
      <c r="N628" s="42"/>
      <c r="O628" s="42"/>
      <c r="P628" s="42"/>
      <c r="Q628" s="42"/>
      <c r="R628" s="42"/>
      <c r="S628" s="42"/>
      <c r="T628" s="42"/>
      <c r="U628" s="42"/>
      <c r="V628" s="42"/>
      <c r="W628" s="42"/>
      <c r="X628" s="42"/>
      <c r="Y628" s="42"/>
      <c r="Z628" s="42"/>
      <c r="AA628" s="42"/>
      <c r="AB628" s="42"/>
      <c r="AC628" s="42"/>
      <c r="AD628" s="42"/>
      <c r="AE628" s="42"/>
      <c r="AF628" s="42"/>
      <c r="AG628" s="42"/>
      <c r="AH628" s="42"/>
      <c r="AI628" s="42"/>
      <c r="AJ628" s="42"/>
      <c r="AK628" s="42"/>
      <c r="AL628" s="42"/>
      <c r="AM628" s="42"/>
      <c r="AN628" s="42"/>
      <c r="AO628" s="42"/>
      <c r="AP628" s="42"/>
      <c r="AQ628" s="42"/>
      <c r="AR628" s="42"/>
      <c r="AS628" s="42"/>
      <c r="AT628" s="42"/>
      <c r="AU628" s="42"/>
      <c r="AV628" s="42"/>
      <c r="AW628" s="42"/>
      <c r="AX628" s="42"/>
      <c r="AY628" s="42"/>
      <c r="AZ628" s="42"/>
      <c r="BA628" s="42"/>
      <c r="BB628" s="42"/>
      <c r="BC628" s="42"/>
      <c r="BD628" s="42"/>
      <c r="BE628" s="42"/>
      <c r="BF628" s="42"/>
      <c r="BG628" s="42"/>
      <c r="BH628" s="42"/>
      <c r="BI628" s="42"/>
      <c r="BJ628" s="42"/>
      <c r="BK628" s="42"/>
      <c r="BL628" s="42"/>
      <c r="BM628" s="42"/>
      <c r="BN628" s="42"/>
      <c r="BO628" s="42"/>
      <c r="BP628" s="42"/>
      <c r="BQ628" s="42"/>
      <c r="BR628" s="42"/>
      <c r="BS628" s="42"/>
      <c r="BT628" s="42"/>
      <c r="BU628" s="42"/>
      <c r="BV628" s="42"/>
      <c r="BW628" s="42"/>
      <c r="BX628" s="42"/>
      <c r="BY628" s="42"/>
      <c r="BZ628" s="42"/>
      <c r="CA628" s="42"/>
      <c r="CB628" s="42"/>
      <c r="CC628" s="42"/>
      <c r="CD628" s="42"/>
      <c r="CE628" s="42"/>
      <c r="CF628" s="42"/>
      <c r="CG628" s="42"/>
      <c r="CH628" s="42"/>
      <c r="CI628" s="42"/>
      <c r="CJ628" s="42"/>
      <c r="CK628" s="42"/>
      <c r="CL628" s="42"/>
      <c r="CM628" s="42"/>
      <c r="CN628" s="42"/>
      <c r="CO628" s="42"/>
      <c r="CP628" s="42"/>
      <c r="CQ628" s="42"/>
      <c r="CR628" s="42"/>
      <c r="CS628" s="42"/>
      <c r="CT628" s="42"/>
      <c r="CU628" s="42"/>
      <c r="CV628" s="42"/>
      <c r="CW628" s="42"/>
      <c r="CX628" s="42"/>
      <c r="CY628" s="42"/>
      <c r="CZ628" s="42"/>
      <c r="DA628" s="42"/>
      <c r="DB628" s="42"/>
      <c r="DC628" s="42"/>
      <c r="DD628" s="42"/>
      <c r="DE628" s="42"/>
      <c r="DF628" s="42"/>
      <c r="DG628" s="42"/>
      <c r="DH628" s="42"/>
      <c r="DI628" s="42"/>
      <c r="DJ628" s="42"/>
      <c r="DK628" s="42"/>
      <c r="DL628" s="42"/>
      <c r="DM628" s="42"/>
      <c r="DN628" s="42"/>
      <c r="DO628" s="42"/>
      <c r="DP628" s="42"/>
      <c r="DQ628" s="42"/>
      <c r="DR628" s="42"/>
      <c r="DS628" s="42"/>
      <c r="DT628" s="42"/>
      <c r="DU628" s="42"/>
      <c r="DV628" s="42"/>
      <c r="DW628" s="42"/>
      <c r="DX628" s="42"/>
      <c r="DY628" s="42"/>
      <c r="DZ628" s="42"/>
      <c r="EA628" s="42"/>
      <c r="EB628" s="42"/>
      <c r="EC628" s="42"/>
      <c r="ED628" s="42"/>
      <c r="EE628" s="42"/>
      <c r="EF628" s="42"/>
      <c r="EG628" s="42"/>
      <c r="EH628" s="42"/>
      <c r="EI628" s="42"/>
      <c r="EJ628" s="42"/>
      <c r="EK628" s="42"/>
      <c r="EL628" s="42"/>
      <c r="EM628" s="42"/>
      <c r="EN628" s="42"/>
      <c r="EO628" s="42"/>
      <c r="EP628" s="42"/>
      <c r="EQ628" s="42"/>
      <c r="ER628" s="42"/>
      <c r="ES628" s="42"/>
      <c r="ET628" s="42"/>
      <c r="EU628" s="42"/>
      <c r="EV628" s="42"/>
      <c r="EW628" s="42"/>
      <c r="EX628" s="42"/>
      <c r="EY628" s="42"/>
      <c r="EZ628" s="42"/>
      <c r="FA628" s="42"/>
      <c r="FB628" s="42"/>
      <c r="FC628" s="42"/>
      <c r="FD628" s="42"/>
      <c r="FE628" s="42"/>
      <c r="FF628" s="42"/>
      <c r="FG628" s="42"/>
      <c r="FH628" s="42"/>
      <c r="FI628" s="42"/>
      <c r="FJ628" s="42"/>
      <c r="FK628" s="42"/>
      <c r="FL628" s="42"/>
      <c r="FM628" s="42"/>
      <c r="FN628" s="42"/>
      <c r="FO628" s="42"/>
      <c r="FP628" s="42"/>
      <c r="FQ628" s="42"/>
      <c r="FR628" s="42"/>
      <c r="FS628" s="42"/>
      <c r="FT628" s="42"/>
      <c r="FU628" s="42"/>
      <c r="FV628" s="42"/>
      <c r="FW628" s="42"/>
      <c r="FX628" s="42"/>
      <c r="FY628" s="42"/>
      <c r="FZ628" s="42"/>
      <c r="GA628" s="42"/>
      <c r="GB628" s="42"/>
      <c r="GC628" s="42"/>
      <c r="GD628" s="42"/>
      <c r="GE628" s="42"/>
      <c r="GF628" s="42"/>
      <c r="GG628" s="42"/>
      <c r="GH628" s="42"/>
      <c r="GI628" s="42"/>
      <c r="GJ628" s="42"/>
      <c r="GK628" s="42"/>
      <c r="GL628" s="42"/>
      <c r="GM628" s="42"/>
      <c r="GN628" s="42"/>
      <c r="GO628" s="42"/>
      <c r="GP628" s="42"/>
      <c r="GQ628" s="42"/>
      <c r="GR628" s="42"/>
      <c r="GS628" s="42"/>
      <c r="GT628" s="42"/>
      <c r="GU628" s="42"/>
      <c r="GV628" s="42"/>
      <c r="GW628" s="42"/>
      <c r="GX628" s="42"/>
      <c r="GY628" s="42"/>
      <c r="GZ628" s="42"/>
      <c r="HA628" s="42"/>
      <c r="HB628" s="42"/>
      <c r="HC628" s="42"/>
      <c r="HD628" s="42"/>
      <c r="HE628" s="42"/>
      <c r="HF628" s="42"/>
      <c r="HG628" s="42"/>
      <c r="HH628" s="42"/>
      <c r="HI628" s="42"/>
      <c r="HJ628" s="42"/>
      <c r="HK628" s="42"/>
      <c r="HL628" s="42"/>
      <c r="HM628" s="42"/>
      <c r="HN628" s="42"/>
      <c r="HO628" s="42"/>
      <c r="HP628" s="42"/>
      <c r="HQ628" s="42"/>
      <c r="HR628" s="42"/>
      <c r="HS628" s="42"/>
      <c r="HT628" s="42"/>
      <c r="HU628" s="42"/>
      <c r="HV628" s="42"/>
      <c r="HW628" s="42"/>
      <c r="HX628" s="42"/>
      <c r="HY628" s="42"/>
      <c r="HZ628" s="42"/>
      <c r="IA628" s="42"/>
      <c r="IB628" s="42"/>
      <c r="IC628" s="42"/>
      <c r="ID628" s="42"/>
      <c r="IE628" s="42"/>
      <c r="IF628" s="42"/>
      <c r="IG628" s="42"/>
      <c r="IH628" s="42"/>
      <c r="II628" s="42"/>
      <c r="IJ628" s="42"/>
      <c r="IK628" s="42"/>
      <c r="IL628" s="42"/>
      <c r="IM628" s="42"/>
      <c r="IN628" s="42"/>
      <c r="IO628" s="42"/>
      <c r="IP628" s="42"/>
      <c r="IQ628" s="42"/>
      <c r="IR628" s="42"/>
      <c r="IS628" s="42"/>
      <c r="IT628" s="42"/>
      <c r="IU628" s="42"/>
    </row>
    <row r="629" spans="1:255" s="65" customFormat="1" ht="13.5">
      <c r="A629" s="12" t="s">
        <v>86</v>
      </c>
      <c r="B629" s="42" t="s">
        <v>66</v>
      </c>
      <c r="C629" s="24">
        <v>471620</v>
      </c>
      <c r="F629" s="95"/>
      <c r="G629" s="31"/>
      <c r="H629" s="42"/>
      <c r="I629" s="42"/>
      <c r="J629" s="42"/>
      <c r="K629" s="42"/>
      <c r="L629" s="42"/>
      <c r="M629" s="42"/>
      <c r="N629" s="42"/>
      <c r="O629" s="42"/>
      <c r="P629" s="42"/>
      <c r="Q629" s="42"/>
      <c r="R629" s="42"/>
      <c r="S629" s="42"/>
      <c r="T629" s="42"/>
      <c r="U629" s="42"/>
      <c r="V629" s="42"/>
      <c r="W629" s="42"/>
      <c r="X629" s="42"/>
      <c r="Y629" s="42"/>
      <c r="Z629" s="42"/>
      <c r="AA629" s="42"/>
      <c r="AB629" s="42"/>
      <c r="AC629" s="42"/>
      <c r="AD629" s="42"/>
      <c r="AE629" s="42"/>
      <c r="AF629" s="42"/>
      <c r="AG629" s="42"/>
      <c r="AH629" s="42"/>
      <c r="AI629" s="42"/>
      <c r="AJ629" s="42"/>
      <c r="AK629" s="42"/>
      <c r="AL629" s="42"/>
      <c r="AM629" s="42"/>
      <c r="AN629" s="42"/>
      <c r="AO629" s="42"/>
      <c r="AP629" s="42"/>
      <c r="AQ629" s="42"/>
      <c r="AR629" s="42"/>
      <c r="AS629" s="42"/>
      <c r="AT629" s="42"/>
      <c r="AU629" s="42"/>
      <c r="AV629" s="42"/>
      <c r="AW629" s="42"/>
      <c r="AX629" s="42"/>
      <c r="AY629" s="42"/>
      <c r="AZ629" s="42"/>
      <c r="BA629" s="42"/>
      <c r="BB629" s="42"/>
      <c r="BC629" s="42"/>
      <c r="BD629" s="42"/>
      <c r="BE629" s="42"/>
      <c r="BF629" s="42"/>
      <c r="BG629" s="42"/>
      <c r="BH629" s="42"/>
      <c r="BI629" s="42"/>
      <c r="BJ629" s="42"/>
      <c r="BK629" s="42"/>
      <c r="BL629" s="42"/>
      <c r="BM629" s="42"/>
      <c r="BN629" s="42"/>
      <c r="BO629" s="42"/>
      <c r="BP629" s="42"/>
      <c r="BQ629" s="42"/>
      <c r="BR629" s="42"/>
      <c r="BS629" s="42"/>
      <c r="BT629" s="42"/>
      <c r="BU629" s="42"/>
      <c r="BV629" s="42"/>
      <c r="BW629" s="42"/>
      <c r="BX629" s="42"/>
      <c r="BY629" s="42"/>
      <c r="BZ629" s="42"/>
      <c r="CA629" s="42"/>
      <c r="CB629" s="42"/>
      <c r="CC629" s="42"/>
      <c r="CD629" s="42"/>
      <c r="CE629" s="42"/>
      <c r="CF629" s="42"/>
      <c r="CG629" s="42"/>
      <c r="CH629" s="42"/>
      <c r="CI629" s="42"/>
      <c r="CJ629" s="42"/>
      <c r="CK629" s="42"/>
      <c r="CL629" s="42"/>
      <c r="CM629" s="42"/>
      <c r="CN629" s="42"/>
      <c r="CO629" s="42"/>
      <c r="CP629" s="42"/>
      <c r="CQ629" s="42"/>
      <c r="CR629" s="42"/>
      <c r="CS629" s="42"/>
      <c r="CT629" s="42"/>
      <c r="CU629" s="42"/>
      <c r="CV629" s="42"/>
      <c r="CW629" s="42"/>
      <c r="CX629" s="42"/>
      <c r="CY629" s="42"/>
      <c r="CZ629" s="42"/>
      <c r="DA629" s="42"/>
      <c r="DB629" s="42"/>
      <c r="DC629" s="42"/>
      <c r="DD629" s="42"/>
      <c r="DE629" s="42"/>
      <c r="DF629" s="42"/>
      <c r="DG629" s="42"/>
      <c r="DH629" s="42"/>
      <c r="DI629" s="42"/>
      <c r="DJ629" s="42"/>
      <c r="DK629" s="42"/>
      <c r="DL629" s="42"/>
      <c r="DM629" s="42"/>
      <c r="DN629" s="42"/>
      <c r="DO629" s="42"/>
      <c r="DP629" s="42"/>
      <c r="DQ629" s="42"/>
      <c r="DR629" s="42"/>
      <c r="DS629" s="42"/>
      <c r="DT629" s="42"/>
      <c r="DU629" s="42"/>
      <c r="DV629" s="42"/>
      <c r="DW629" s="42"/>
      <c r="DX629" s="42"/>
      <c r="DY629" s="42"/>
      <c r="DZ629" s="42"/>
      <c r="EA629" s="42"/>
      <c r="EB629" s="42"/>
      <c r="EC629" s="42"/>
      <c r="ED629" s="42"/>
      <c r="EE629" s="42"/>
      <c r="EF629" s="42"/>
      <c r="EG629" s="42"/>
      <c r="EH629" s="42"/>
      <c r="EI629" s="42"/>
      <c r="EJ629" s="42"/>
      <c r="EK629" s="42"/>
      <c r="EL629" s="42"/>
      <c r="EM629" s="42"/>
      <c r="EN629" s="42"/>
      <c r="EO629" s="42"/>
      <c r="EP629" s="42"/>
      <c r="EQ629" s="42"/>
      <c r="ER629" s="42"/>
      <c r="ES629" s="42"/>
      <c r="ET629" s="42"/>
      <c r="EU629" s="42"/>
      <c r="EV629" s="42"/>
      <c r="EW629" s="42"/>
      <c r="EX629" s="42"/>
      <c r="EY629" s="42"/>
      <c r="EZ629" s="42"/>
      <c r="FA629" s="42"/>
      <c r="FB629" s="42"/>
      <c r="FC629" s="42"/>
      <c r="FD629" s="42"/>
      <c r="FE629" s="42"/>
      <c r="FF629" s="42"/>
      <c r="FG629" s="42"/>
      <c r="FH629" s="42"/>
      <c r="FI629" s="42"/>
      <c r="FJ629" s="42"/>
      <c r="FK629" s="42"/>
      <c r="FL629" s="42"/>
      <c r="FM629" s="42"/>
      <c r="FN629" s="42"/>
      <c r="FO629" s="42"/>
      <c r="FP629" s="42"/>
      <c r="FQ629" s="42"/>
      <c r="FR629" s="42"/>
      <c r="FS629" s="42"/>
      <c r="FT629" s="42"/>
      <c r="FU629" s="42"/>
      <c r="FV629" s="42"/>
      <c r="FW629" s="42"/>
      <c r="FX629" s="42"/>
      <c r="FY629" s="42"/>
      <c r="FZ629" s="42"/>
      <c r="GA629" s="42"/>
      <c r="GB629" s="42"/>
      <c r="GC629" s="42"/>
      <c r="GD629" s="42"/>
      <c r="GE629" s="42"/>
      <c r="GF629" s="42"/>
      <c r="GG629" s="42"/>
      <c r="GH629" s="42"/>
      <c r="GI629" s="42"/>
      <c r="GJ629" s="42"/>
      <c r="GK629" s="42"/>
      <c r="GL629" s="42"/>
      <c r="GM629" s="42"/>
      <c r="GN629" s="42"/>
      <c r="GO629" s="42"/>
      <c r="GP629" s="42"/>
      <c r="GQ629" s="42"/>
      <c r="GR629" s="42"/>
      <c r="GS629" s="42"/>
      <c r="GT629" s="42"/>
      <c r="GU629" s="42"/>
      <c r="GV629" s="42"/>
      <c r="GW629" s="42"/>
      <c r="GX629" s="42"/>
      <c r="GY629" s="42"/>
      <c r="GZ629" s="42"/>
      <c r="HA629" s="42"/>
      <c r="HB629" s="42"/>
      <c r="HC629" s="42"/>
      <c r="HD629" s="42"/>
      <c r="HE629" s="42"/>
      <c r="HF629" s="42"/>
      <c r="HG629" s="42"/>
      <c r="HH629" s="42"/>
      <c r="HI629" s="42"/>
      <c r="HJ629" s="42"/>
      <c r="HK629" s="42"/>
      <c r="HL629" s="42"/>
      <c r="HM629" s="42"/>
      <c r="HN629" s="42"/>
      <c r="HO629" s="42"/>
      <c r="HP629" s="42"/>
      <c r="HQ629" s="42"/>
      <c r="HR629" s="42"/>
      <c r="HS629" s="42"/>
      <c r="HT629" s="42"/>
      <c r="HU629" s="42"/>
      <c r="HV629" s="42"/>
      <c r="HW629" s="42"/>
      <c r="HX629" s="42"/>
      <c r="HY629" s="42"/>
      <c r="HZ629" s="42"/>
      <c r="IA629" s="42"/>
      <c r="IB629" s="42"/>
      <c r="IC629" s="42"/>
      <c r="ID629" s="42"/>
      <c r="IE629" s="42"/>
      <c r="IF629" s="42"/>
      <c r="IG629" s="42"/>
      <c r="IH629" s="42"/>
      <c r="II629" s="42"/>
      <c r="IJ629" s="42"/>
      <c r="IK629" s="42"/>
      <c r="IL629" s="42"/>
      <c r="IM629" s="42"/>
      <c r="IN629" s="42"/>
      <c r="IO629" s="42"/>
      <c r="IP629" s="42"/>
      <c r="IQ629" s="42"/>
      <c r="IR629" s="42"/>
      <c r="IS629" s="42"/>
      <c r="IT629" s="42"/>
      <c r="IU629" s="42"/>
    </row>
    <row r="630" spans="1:255" s="65" customFormat="1" ht="13.5">
      <c r="A630" s="11" t="s">
        <v>107</v>
      </c>
      <c r="B630" s="502" t="s">
        <v>108</v>
      </c>
      <c r="C630" s="31">
        <f>SUM(C631)</f>
        <v>196700</v>
      </c>
      <c r="F630" s="95"/>
      <c r="G630" s="31"/>
      <c r="H630" s="42"/>
      <c r="I630" s="42"/>
      <c r="J630" s="42"/>
      <c r="K630" s="42"/>
      <c r="L630" s="42"/>
      <c r="M630" s="42"/>
      <c r="N630" s="42"/>
      <c r="O630" s="42"/>
      <c r="P630" s="42"/>
      <c r="Q630" s="42"/>
      <c r="R630" s="42"/>
      <c r="S630" s="42"/>
      <c r="T630" s="42"/>
      <c r="U630" s="42"/>
      <c r="V630" s="42"/>
      <c r="W630" s="42"/>
      <c r="X630" s="42"/>
      <c r="Y630" s="42"/>
      <c r="Z630" s="42"/>
      <c r="AA630" s="42"/>
      <c r="AB630" s="42"/>
      <c r="AC630" s="42"/>
      <c r="AD630" s="42"/>
      <c r="AE630" s="42"/>
      <c r="AF630" s="42"/>
      <c r="AG630" s="42"/>
      <c r="AH630" s="42"/>
      <c r="AI630" s="42"/>
      <c r="AJ630" s="42"/>
      <c r="AK630" s="42"/>
      <c r="AL630" s="42"/>
      <c r="AM630" s="42"/>
      <c r="AN630" s="42"/>
      <c r="AO630" s="42"/>
      <c r="AP630" s="42"/>
      <c r="AQ630" s="42"/>
      <c r="AR630" s="42"/>
      <c r="AS630" s="42"/>
      <c r="AT630" s="42"/>
      <c r="AU630" s="42"/>
      <c r="AV630" s="42"/>
      <c r="AW630" s="42"/>
      <c r="AX630" s="42"/>
      <c r="AY630" s="42"/>
      <c r="AZ630" s="42"/>
      <c r="BA630" s="42"/>
      <c r="BB630" s="42"/>
      <c r="BC630" s="42"/>
      <c r="BD630" s="42"/>
      <c r="BE630" s="42"/>
      <c r="BF630" s="42"/>
      <c r="BG630" s="42"/>
      <c r="BH630" s="42"/>
      <c r="BI630" s="42"/>
      <c r="BJ630" s="42"/>
      <c r="BK630" s="42"/>
      <c r="BL630" s="42"/>
      <c r="BM630" s="42"/>
      <c r="BN630" s="42"/>
      <c r="BO630" s="42"/>
      <c r="BP630" s="42"/>
      <c r="BQ630" s="42"/>
      <c r="BR630" s="42"/>
      <c r="BS630" s="42"/>
      <c r="BT630" s="42"/>
      <c r="BU630" s="42"/>
      <c r="BV630" s="42"/>
      <c r="BW630" s="42"/>
      <c r="BX630" s="42"/>
      <c r="BY630" s="42"/>
      <c r="BZ630" s="42"/>
      <c r="CA630" s="42"/>
      <c r="CB630" s="42"/>
      <c r="CC630" s="42"/>
      <c r="CD630" s="42"/>
      <c r="CE630" s="42"/>
      <c r="CF630" s="42"/>
      <c r="CG630" s="42"/>
      <c r="CH630" s="42"/>
      <c r="CI630" s="42"/>
      <c r="CJ630" s="42"/>
      <c r="CK630" s="42"/>
      <c r="CL630" s="42"/>
      <c r="CM630" s="42"/>
      <c r="CN630" s="42"/>
      <c r="CO630" s="42"/>
      <c r="CP630" s="42"/>
      <c r="CQ630" s="42"/>
      <c r="CR630" s="42"/>
      <c r="CS630" s="42"/>
      <c r="CT630" s="42"/>
      <c r="CU630" s="42"/>
      <c r="CV630" s="42"/>
      <c r="CW630" s="42"/>
      <c r="CX630" s="42"/>
      <c r="CY630" s="42"/>
      <c r="CZ630" s="42"/>
      <c r="DA630" s="42"/>
      <c r="DB630" s="42"/>
      <c r="DC630" s="42"/>
      <c r="DD630" s="42"/>
      <c r="DE630" s="42"/>
      <c r="DF630" s="42"/>
      <c r="DG630" s="42"/>
      <c r="DH630" s="42"/>
      <c r="DI630" s="42"/>
      <c r="DJ630" s="42"/>
      <c r="DK630" s="42"/>
      <c r="DL630" s="42"/>
      <c r="DM630" s="42"/>
      <c r="DN630" s="42"/>
      <c r="DO630" s="42"/>
      <c r="DP630" s="42"/>
      <c r="DQ630" s="42"/>
      <c r="DR630" s="42"/>
      <c r="DS630" s="42"/>
      <c r="DT630" s="42"/>
      <c r="DU630" s="42"/>
      <c r="DV630" s="42"/>
      <c r="DW630" s="42"/>
      <c r="DX630" s="42"/>
      <c r="DY630" s="42"/>
      <c r="DZ630" s="42"/>
      <c r="EA630" s="42"/>
      <c r="EB630" s="42"/>
      <c r="EC630" s="42"/>
      <c r="ED630" s="42"/>
      <c r="EE630" s="42"/>
      <c r="EF630" s="42"/>
      <c r="EG630" s="42"/>
      <c r="EH630" s="42"/>
      <c r="EI630" s="42"/>
      <c r="EJ630" s="42"/>
      <c r="EK630" s="42"/>
      <c r="EL630" s="42"/>
      <c r="EM630" s="42"/>
      <c r="EN630" s="42"/>
      <c r="EO630" s="42"/>
      <c r="EP630" s="42"/>
      <c r="EQ630" s="42"/>
      <c r="ER630" s="42"/>
      <c r="ES630" s="42"/>
      <c r="ET630" s="42"/>
      <c r="EU630" s="42"/>
      <c r="EV630" s="42"/>
      <c r="EW630" s="42"/>
      <c r="EX630" s="42"/>
      <c r="EY630" s="42"/>
      <c r="EZ630" s="42"/>
      <c r="FA630" s="42"/>
      <c r="FB630" s="42"/>
      <c r="FC630" s="42"/>
      <c r="FD630" s="42"/>
      <c r="FE630" s="42"/>
      <c r="FF630" s="42"/>
      <c r="FG630" s="42"/>
      <c r="FH630" s="42"/>
      <c r="FI630" s="42"/>
      <c r="FJ630" s="42"/>
      <c r="FK630" s="42"/>
      <c r="FL630" s="42"/>
      <c r="FM630" s="42"/>
      <c r="FN630" s="42"/>
      <c r="FO630" s="42"/>
      <c r="FP630" s="42"/>
      <c r="FQ630" s="42"/>
      <c r="FR630" s="42"/>
      <c r="FS630" s="42"/>
      <c r="FT630" s="42"/>
      <c r="FU630" s="42"/>
      <c r="FV630" s="42"/>
      <c r="FW630" s="42"/>
      <c r="FX630" s="42"/>
      <c r="FY630" s="42"/>
      <c r="FZ630" s="42"/>
      <c r="GA630" s="42"/>
      <c r="GB630" s="42"/>
      <c r="GC630" s="42"/>
      <c r="GD630" s="42"/>
      <c r="GE630" s="42"/>
      <c r="GF630" s="42"/>
      <c r="GG630" s="42"/>
      <c r="GH630" s="42"/>
      <c r="GI630" s="42"/>
      <c r="GJ630" s="42"/>
      <c r="GK630" s="42"/>
      <c r="GL630" s="42"/>
      <c r="GM630" s="42"/>
      <c r="GN630" s="42"/>
      <c r="GO630" s="42"/>
      <c r="GP630" s="42"/>
      <c r="GQ630" s="42"/>
      <c r="GR630" s="42"/>
      <c r="GS630" s="42"/>
      <c r="GT630" s="42"/>
      <c r="GU630" s="42"/>
      <c r="GV630" s="42"/>
      <c r="GW630" s="42"/>
      <c r="GX630" s="42"/>
      <c r="GY630" s="42"/>
      <c r="GZ630" s="42"/>
      <c r="HA630" s="42"/>
      <c r="HB630" s="42"/>
      <c r="HC630" s="42"/>
      <c r="HD630" s="42"/>
      <c r="HE630" s="42"/>
      <c r="HF630" s="42"/>
      <c r="HG630" s="42"/>
      <c r="HH630" s="42"/>
      <c r="HI630" s="42"/>
      <c r="HJ630" s="42"/>
      <c r="HK630" s="42"/>
      <c r="HL630" s="42"/>
      <c r="HM630" s="42"/>
      <c r="HN630" s="42"/>
      <c r="HO630" s="42"/>
      <c r="HP630" s="42"/>
      <c r="HQ630" s="42"/>
      <c r="HR630" s="42"/>
      <c r="HS630" s="42"/>
      <c r="HT630" s="42"/>
      <c r="HU630" s="42"/>
      <c r="HV630" s="42"/>
      <c r="HW630" s="42"/>
      <c r="HX630" s="42"/>
      <c r="HY630" s="42"/>
      <c r="HZ630" s="42"/>
      <c r="IA630" s="42"/>
      <c r="IB630" s="42"/>
      <c r="IC630" s="42"/>
      <c r="ID630" s="42"/>
      <c r="IE630" s="42"/>
      <c r="IF630" s="42"/>
      <c r="IG630" s="42"/>
      <c r="IH630" s="42"/>
      <c r="II630" s="42"/>
      <c r="IJ630" s="42"/>
      <c r="IK630" s="42"/>
      <c r="IL630" s="42"/>
      <c r="IM630" s="42"/>
      <c r="IN630" s="42"/>
      <c r="IO630" s="42"/>
      <c r="IP630" s="42"/>
      <c r="IQ630" s="42"/>
      <c r="IR630" s="42"/>
      <c r="IS630" s="42"/>
      <c r="IT630" s="42"/>
      <c r="IU630" s="42"/>
    </row>
    <row r="631" spans="1:255" s="42" customFormat="1" ht="13.5" customHeight="1">
      <c r="A631" s="12" t="s">
        <v>47</v>
      </c>
      <c r="B631" s="42" t="s">
        <v>48</v>
      </c>
      <c r="C631" s="59">
        <v>196700</v>
      </c>
      <c r="F631" s="66"/>
      <c r="G631" s="67"/>
      <c r="H631" s="65"/>
      <c r="I631" s="65"/>
      <c r="J631" s="65"/>
      <c r="K631" s="65"/>
      <c r="L631" s="65"/>
      <c r="M631" s="65"/>
      <c r="N631" s="65"/>
      <c r="O631" s="65"/>
      <c r="P631" s="65"/>
      <c r="Q631" s="65"/>
      <c r="R631" s="65"/>
      <c r="S631" s="65"/>
      <c r="T631" s="65"/>
      <c r="U631" s="65"/>
      <c r="V631" s="65"/>
      <c r="W631" s="65"/>
      <c r="X631" s="65"/>
      <c r="Y631" s="65"/>
      <c r="Z631" s="65"/>
      <c r="AA631" s="65"/>
      <c r="AB631" s="65"/>
      <c r="AC631" s="65"/>
      <c r="AD631" s="65"/>
      <c r="AE631" s="65"/>
      <c r="AF631" s="65"/>
      <c r="AG631" s="65"/>
      <c r="AH631" s="65"/>
      <c r="AI631" s="65"/>
      <c r="AJ631" s="65"/>
      <c r="AK631" s="65"/>
      <c r="AL631" s="65"/>
      <c r="AM631" s="65"/>
      <c r="AN631" s="65"/>
      <c r="AO631" s="65"/>
      <c r="AP631" s="65"/>
      <c r="AQ631" s="65"/>
      <c r="AR631" s="65"/>
      <c r="AS631" s="65"/>
      <c r="AT631" s="65"/>
      <c r="AU631" s="65"/>
      <c r="AV631" s="65"/>
      <c r="AW631" s="65"/>
      <c r="AX631" s="65"/>
      <c r="AY631" s="65"/>
      <c r="AZ631" s="65"/>
      <c r="BA631" s="65"/>
      <c r="BB631" s="65"/>
      <c r="BC631" s="65"/>
      <c r="BD631" s="65"/>
      <c r="BE631" s="65"/>
      <c r="BF631" s="65"/>
      <c r="BG631" s="65"/>
      <c r="BH631" s="65"/>
      <c r="BI631" s="65"/>
      <c r="BJ631" s="65"/>
      <c r="BK631" s="65"/>
      <c r="BL631" s="65"/>
      <c r="BM631" s="65"/>
      <c r="BN631" s="65"/>
      <c r="BO631" s="65"/>
      <c r="BP631" s="65"/>
      <c r="BQ631" s="65"/>
      <c r="BR631" s="65"/>
      <c r="BS631" s="65"/>
      <c r="BT631" s="65"/>
      <c r="BU631" s="65"/>
      <c r="BV631" s="65"/>
      <c r="BW631" s="65"/>
      <c r="BX631" s="65"/>
      <c r="BY631" s="65"/>
      <c r="BZ631" s="65"/>
      <c r="CA631" s="65"/>
      <c r="CB631" s="65"/>
      <c r="CC631" s="65"/>
      <c r="CD631" s="65"/>
      <c r="CE631" s="65"/>
      <c r="CF631" s="65"/>
      <c r="CG631" s="65"/>
      <c r="CH631" s="65"/>
      <c r="CI631" s="65"/>
      <c r="CJ631" s="65"/>
      <c r="CK631" s="65"/>
      <c r="CL631" s="65"/>
      <c r="CM631" s="65"/>
      <c r="CN631" s="65"/>
      <c r="CO631" s="65"/>
      <c r="CP631" s="65"/>
      <c r="CQ631" s="65"/>
      <c r="CR631" s="65"/>
      <c r="CS631" s="65"/>
      <c r="CT631" s="65"/>
      <c r="CU631" s="65"/>
      <c r="CV631" s="65"/>
      <c r="CW631" s="65"/>
      <c r="CX631" s="65"/>
      <c r="CY631" s="65"/>
      <c r="CZ631" s="65"/>
      <c r="DA631" s="65"/>
      <c r="DB631" s="65"/>
      <c r="DC631" s="65"/>
      <c r="DD631" s="65"/>
      <c r="DE631" s="65"/>
      <c r="DF631" s="65"/>
      <c r="DG631" s="65"/>
      <c r="DH631" s="65"/>
      <c r="DI631" s="65"/>
      <c r="DJ631" s="65"/>
      <c r="DK631" s="65"/>
      <c r="DL631" s="65"/>
      <c r="DM631" s="65"/>
      <c r="DN631" s="65"/>
      <c r="DO631" s="65"/>
      <c r="DP631" s="65"/>
      <c r="DQ631" s="65"/>
      <c r="DR631" s="65"/>
      <c r="DS631" s="65"/>
      <c r="DT631" s="65"/>
      <c r="DU631" s="65"/>
      <c r="DV631" s="65"/>
      <c r="DW631" s="65"/>
      <c r="DX631" s="65"/>
      <c r="DY631" s="65"/>
      <c r="DZ631" s="65"/>
      <c r="EA631" s="65"/>
      <c r="EB631" s="65"/>
      <c r="EC631" s="65"/>
      <c r="ED631" s="65"/>
      <c r="EE631" s="65"/>
      <c r="EF631" s="65"/>
      <c r="EG631" s="65"/>
      <c r="EH631" s="65"/>
      <c r="EI631" s="65"/>
      <c r="EJ631" s="65"/>
      <c r="EK631" s="65"/>
      <c r="EL631" s="65"/>
      <c r="EM631" s="65"/>
      <c r="EN631" s="65"/>
      <c r="EO631" s="65"/>
      <c r="EP631" s="65"/>
      <c r="EQ631" s="65"/>
      <c r="ER631" s="65"/>
      <c r="ES631" s="65"/>
      <c r="ET631" s="65"/>
      <c r="EU631" s="65"/>
      <c r="EV631" s="65"/>
      <c r="EW631" s="65"/>
      <c r="EX631" s="65"/>
      <c r="EY631" s="65"/>
      <c r="EZ631" s="65"/>
      <c r="FA631" s="65"/>
      <c r="FB631" s="65"/>
      <c r="FC631" s="65"/>
      <c r="FD631" s="65"/>
      <c r="FE631" s="65"/>
      <c r="FF631" s="65"/>
      <c r="FG631" s="65"/>
      <c r="FH631" s="65"/>
      <c r="FI631" s="65"/>
      <c r="FJ631" s="65"/>
      <c r="FK631" s="65"/>
      <c r="FL631" s="65"/>
      <c r="FM631" s="65"/>
      <c r="FN631" s="65"/>
      <c r="FO631" s="65"/>
      <c r="FP631" s="65"/>
      <c r="FQ631" s="65"/>
      <c r="FR631" s="65"/>
      <c r="FS631" s="65"/>
      <c r="FT631" s="65"/>
      <c r="FU631" s="65"/>
      <c r="FV631" s="65"/>
      <c r="FW631" s="65"/>
      <c r="FX631" s="65"/>
      <c r="FY631" s="65"/>
      <c r="FZ631" s="65"/>
      <c r="GA631" s="65"/>
      <c r="GB631" s="65"/>
      <c r="GC631" s="65"/>
      <c r="GD631" s="65"/>
      <c r="GE631" s="65"/>
      <c r="GF631" s="65"/>
      <c r="GG631" s="65"/>
      <c r="GH631" s="65"/>
      <c r="GI631" s="65"/>
      <c r="GJ631" s="65"/>
      <c r="GK631" s="65"/>
      <c r="GL631" s="65"/>
      <c r="GM631" s="65"/>
      <c r="GN631" s="65"/>
      <c r="GO631" s="65"/>
      <c r="GP631" s="65"/>
      <c r="GQ631" s="65"/>
      <c r="GR631" s="65"/>
      <c r="GS631" s="65"/>
      <c r="GT631" s="65"/>
      <c r="GU631" s="65"/>
      <c r="GV631" s="65"/>
      <c r="GW631" s="65"/>
      <c r="GX631" s="65"/>
      <c r="GY631" s="65"/>
      <c r="GZ631" s="65"/>
      <c r="HA631" s="65"/>
      <c r="HB631" s="65"/>
      <c r="HC631" s="65"/>
      <c r="HD631" s="65"/>
      <c r="HE631" s="65"/>
      <c r="HF631" s="65"/>
      <c r="HG631" s="65"/>
      <c r="HH631" s="65"/>
      <c r="HI631" s="65"/>
      <c r="HJ631" s="65"/>
      <c r="HK631" s="65"/>
      <c r="HL631" s="65"/>
      <c r="HM631" s="65"/>
      <c r="HN631" s="65"/>
      <c r="HO631" s="65"/>
      <c r="HP631" s="65"/>
      <c r="HQ631" s="65"/>
      <c r="HR631" s="65"/>
      <c r="HS631" s="65"/>
      <c r="HT631" s="65"/>
      <c r="HU631" s="65"/>
      <c r="HV631" s="65"/>
      <c r="HW631" s="65"/>
      <c r="HX631" s="65"/>
      <c r="HY631" s="65"/>
      <c r="HZ631" s="65"/>
      <c r="IA631" s="65"/>
      <c r="IB631" s="65"/>
      <c r="IC631" s="65"/>
      <c r="ID631" s="65"/>
      <c r="IE631" s="65"/>
      <c r="IF631" s="65"/>
      <c r="IG631" s="65"/>
      <c r="IH631" s="65"/>
      <c r="II631" s="65"/>
      <c r="IJ631" s="65"/>
      <c r="IK631" s="65"/>
      <c r="IL631" s="65"/>
      <c r="IM631" s="65"/>
      <c r="IN631" s="65"/>
      <c r="IO631" s="65"/>
      <c r="IP631" s="65"/>
      <c r="IQ631" s="65"/>
      <c r="IR631" s="65"/>
      <c r="IS631" s="65"/>
      <c r="IT631" s="65"/>
      <c r="IU631" s="65"/>
    </row>
    <row r="632" spans="1:255" s="42" customFormat="1" ht="13.5" customHeight="1">
      <c r="A632" s="11" t="s">
        <v>196</v>
      </c>
      <c r="B632" s="25" t="s">
        <v>195</v>
      </c>
      <c r="C632" s="63">
        <f>SUM(C633:C634)</f>
        <v>404560</v>
      </c>
      <c r="F632" s="66"/>
      <c r="G632" s="67"/>
      <c r="H632" s="65"/>
      <c r="I632" s="65"/>
      <c r="J632" s="65"/>
      <c r="K632" s="65"/>
      <c r="L632" s="65"/>
      <c r="M632" s="65"/>
      <c r="N632" s="65"/>
      <c r="O632" s="65"/>
      <c r="P632" s="65"/>
      <c r="Q632" s="65"/>
      <c r="R632" s="65"/>
      <c r="S632" s="65"/>
      <c r="T632" s="65"/>
      <c r="U632" s="65"/>
      <c r="V632" s="65"/>
      <c r="W632" s="65"/>
      <c r="X632" s="65"/>
      <c r="Y632" s="65"/>
      <c r="Z632" s="65"/>
      <c r="AA632" s="65"/>
      <c r="AB632" s="65"/>
      <c r="AC632" s="65"/>
      <c r="AD632" s="65"/>
      <c r="AE632" s="65"/>
      <c r="AF632" s="65"/>
      <c r="AG632" s="65"/>
      <c r="AH632" s="65"/>
      <c r="AI632" s="65"/>
      <c r="AJ632" s="65"/>
      <c r="AK632" s="65"/>
      <c r="AL632" s="65"/>
      <c r="AM632" s="65"/>
      <c r="AN632" s="65"/>
      <c r="AO632" s="65"/>
      <c r="AP632" s="65"/>
      <c r="AQ632" s="65"/>
      <c r="AR632" s="65"/>
      <c r="AS632" s="65"/>
      <c r="AT632" s="65"/>
      <c r="AU632" s="65"/>
      <c r="AV632" s="65"/>
      <c r="AW632" s="65"/>
      <c r="AX632" s="65"/>
      <c r="AY632" s="65"/>
      <c r="AZ632" s="65"/>
      <c r="BA632" s="65"/>
      <c r="BB632" s="65"/>
      <c r="BC632" s="65"/>
      <c r="BD632" s="65"/>
      <c r="BE632" s="65"/>
      <c r="BF632" s="65"/>
      <c r="BG632" s="65"/>
      <c r="BH632" s="65"/>
      <c r="BI632" s="65"/>
      <c r="BJ632" s="65"/>
      <c r="BK632" s="65"/>
      <c r="BL632" s="65"/>
      <c r="BM632" s="65"/>
      <c r="BN632" s="65"/>
      <c r="BO632" s="65"/>
      <c r="BP632" s="65"/>
      <c r="BQ632" s="65"/>
      <c r="BR632" s="65"/>
      <c r="BS632" s="65"/>
      <c r="BT632" s="65"/>
      <c r="BU632" s="65"/>
      <c r="BV632" s="65"/>
      <c r="BW632" s="65"/>
      <c r="BX632" s="65"/>
      <c r="BY632" s="65"/>
      <c r="BZ632" s="65"/>
      <c r="CA632" s="65"/>
      <c r="CB632" s="65"/>
      <c r="CC632" s="65"/>
      <c r="CD632" s="65"/>
      <c r="CE632" s="65"/>
      <c r="CF632" s="65"/>
      <c r="CG632" s="65"/>
      <c r="CH632" s="65"/>
      <c r="CI632" s="65"/>
      <c r="CJ632" s="65"/>
      <c r="CK632" s="65"/>
      <c r="CL632" s="65"/>
      <c r="CM632" s="65"/>
      <c r="CN632" s="65"/>
      <c r="CO632" s="65"/>
      <c r="CP632" s="65"/>
      <c r="CQ632" s="65"/>
      <c r="CR632" s="65"/>
      <c r="CS632" s="65"/>
      <c r="CT632" s="65"/>
      <c r="CU632" s="65"/>
      <c r="CV632" s="65"/>
      <c r="CW632" s="65"/>
      <c r="CX632" s="65"/>
      <c r="CY632" s="65"/>
      <c r="CZ632" s="65"/>
      <c r="DA632" s="65"/>
      <c r="DB632" s="65"/>
      <c r="DC632" s="65"/>
      <c r="DD632" s="65"/>
      <c r="DE632" s="65"/>
      <c r="DF632" s="65"/>
      <c r="DG632" s="65"/>
      <c r="DH632" s="65"/>
      <c r="DI632" s="65"/>
      <c r="DJ632" s="65"/>
      <c r="DK632" s="65"/>
      <c r="DL632" s="65"/>
      <c r="DM632" s="65"/>
      <c r="DN632" s="65"/>
      <c r="DO632" s="65"/>
      <c r="DP632" s="65"/>
      <c r="DQ632" s="65"/>
      <c r="DR632" s="65"/>
      <c r="DS632" s="65"/>
      <c r="DT632" s="65"/>
      <c r="DU632" s="65"/>
      <c r="DV632" s="65"/>
      <c r="DW632" s="65"/>
      <c r="DX632" s="65"/>
      <c r="DY632" s="65"/>
      <c r="DZ632" s="65"/>
      <c r="EA632" s="65"/>
      <c r="EB632" s="65"/>
      <c r="EC632" s="65"/>
      <c r="ED632" s="65"/>
      <c r="EE632" s="65"/>
      <c r="EF632" s="65"/>
      <c r="EG632" s="65"/>
      <c r="EH632" s="65"/>
      <c r="EI632" s="65"/>
      <c r="EJ632" s="65"/>
      <c r="EK632" s="65"/>
      <c r="EL632" s="65"/>
      <c r="EM632" s="65"/>
      <c r="EN632" s="65"/>
      <c r="EO632" s="65"/>
      <c r="EP632" s="65"/>
      <c r="EQ632" s="65"/>
      <c r="ER632" s="65"/>
      <c r="ES632" s="65"/>
      <c r="ET632" s="65"/>
      <c r="EU632" s="65"/>
      <c r="EV632" s="65"/>
      <c r="EW632" s="65"/>
      <c r="EX632" s="65"/>
      <c r="EY632" s="65"/>
      <c r="EZ632" s="65"/>
      <c r="FA632" s="65"/>
      <c r="FB632" s="65"/>
      <c r="FC632" s="65"/>
      <c r="FD632" s="65"/>
      <c r="FE632" s="65"/>
      <c r="FF632" s="65"/>
      <c r="FG632" s="65"/>
      <c r="FH632" s="65"/>
      <c r="FI632" s="65"/>
      <c r="FJ632" s="65"/>
      <c r="FK632" s="65"/>
      <c r="FL632" s="65"/>
      <c r="FM632" s="65"/>
      <c r="FN632" s="65"/>
      <c r="FO632" s="65"/>
      <c r="FP632" s="65"/>
      <c r="FQ632" s="65"/>
      <c r="FR632" s="65"/>
      <c r="FS632" s="65"/>
      <c r="FT632" s="65"/>
      <c r="FU632" s="65"/>
      <c r="FV632" s="65"/>
      <c r="FW632" s="65"/>
      <c r="FX632" s="65"/>
      <c r="FY632" s="65"/>
      <c r="FZ632" s="65"/>
      <c r="GA632" s="65"/>
      <c r="GB632" s="65"/>
      <c r="GC632" s="65"/>
      <c r="GD632" s="65"/>
      <c r="GE632" s="65"/>
      <c r="GF632" s="65"/>
      <c r="GG632" s="65"/>
      <c r="GH632" s="65"/>
      <c r="GI632" s="65"/>
      <c r="GJ632" s="65"/>
      <c r="GK632" s="65"/>
      <c r="GL632" s="65"/>
      <c r="GM632" s="65"/>
      <c r="GN632" s="65"/>
      <c r="GO632" s="65"/>
      <c r="GP632" s="65"/>
      <c r="GQ632" s="65"/>
      <c r="GR632" s="65"/>
      <c r="GS632" s="65"/>
      <c r="GT632" s="65"/>
      <c r="GU632" s="65"/>
      <c r="GV632" s="65"/>
      <c r="GW632" s="65"/>
      <c r="GX632" s="65"/>
      <c r="GY632" s="65"/>
      <c r="GZ632" s="65"/>
      <c r="HA632" s="65"/>
      <c r="HB632" s="65"/>
      <c r="HC632" s="65"/>
      <c r="HD632" s="65"/>
      <c r="HE632" s="65"/>
      <c r="HF632" s="65"/>
      <c r="HG632" s="65"/>
      <c r="HH632" s="65"/>
      <c r="HI632" s="65"/>
      <c r="HJ632" s="65"/>
      <c r="HK632" s="65"/>
      <c r="HL632" s="65"/>
      <c r="HM632" s="65"/>
      <c r="HN632" s="65"/>
      <c r="HO632" s="65"/>
      <c r="HP632" s="65"/>
      <c r="HQ632" s="65"/>
      <c r="HR632" s="65"/>
      <c r="HS632" s="65"/>
      <c r="HT632" s="65"/>
      <c r="HU632" s="65"/>
      <c r="HV632" s="65"/>
      <c r="HW632" s="65"/>
      <c r="HX632" s="65"/>
      <c r="HY632" s="65"/>
      <c r="HZ632" s="65"/>
      <c r="IA632" s="65"/>
      <c r="IB632" s="65"/>
      <c r="IC632" s="65"/>
      <c r="ID632" s="65"/>
      <c r="IE632" s="65"/>
      <c r="IF632" s="65"/>
      <c r="IG632" s="65"/>
      <c r="IH632" s="65"/>
      <c r="II632" s="65"/>
      <c r="IJ632" s="65"/>
      <c r="IK632" s="65"/>
      <c r="IL632" s="65"/>
      <c r="IM632" s="65"/>
      <c r="IN632" s="65"/>
      <c r="IO632" s="65"/>
      <c r="IP632" s="65"/>
      <c r="IQ632" s="65"/>
      <c r="IR632" s="65"/>
      <c r="IS632" s="65"/>
      <c r="IT632" s="65"/>
      <c r="IU632" s="65"/>
    </row>
    <row r="633" spans="1:255" s="42" customFormat="1" ht="13.5" customHeight="1">
      <c r="A633" s="12" t="s">
        <v>194</v>
      </c>
      <c r="B633" s="8" t="s">
        <v>216</v>
      </c>
      <c r="C633" s="59">
        <v>361500</v>
      </c>
      <c r="F633" s="66"/>
      <c r="G633" s="67"/>
      <c r="H633" s="65"/>
      <c r="I633" s="65"/>
      <c r="J633" s="65"/>
      <c r="K633" s="65"/>
      <c r="L633" s="65"/>
      <c r="M633" s="65"/>
      <c r="N633" s="65"/>
      <c r="O633" s="65"/>
      <c r="P633" s="65"/>
      <c r="Q633" s="65"/>
      <c r="R633" s="65"/>
      <c r="S633" s="65"/>
      <c r="T633" s="65"/>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c r="AQ633" s="65"/>
      <c r="AR633" s="65"/>
      <c r="AS633" s="65"/>
      <c r="AT633" s="65"/>
      <c r="AU633" s="65"/>
      <c r="AV633" s="65"/>
      <c r="AW633" s="65"/>
      <c r="AX633" s="65"/>
      <c r="AY633" s="65"/>
      <c r="AZ633" s="65"/>
      <c r="BA633" s="65"/>
      <c r="BB633" s="65"/>
      <c r="BC633" s="65"/>
      <c r="BD633" s="65"/>
      <c r="BE633" s="65"/>
      <c r="BF633" s="65"/>
      <c r="BG633" s="65"/>
      <c r="BH633" s="65"/>
      <c r="BI633" s="65"/>
      <c r="BJ633" s="65"/>
      <c r="BK633" s="65"/>
      <c r="BL633" s="65"/>
      <c r="BM633" s="65"/>
      <c r="BN633" s="65"/>
      <c r="BO633" s="65"/>
      <c r="BP633" s="65"/>
      <c r="BQ633" s="65"/>
      <c r="BR633" s="65"/>
      <c r="BS633" s="65"/>
      <c r="BT633" s="65"/>
      <c r="BU633" s="65"/>
      <c r="BV633" s="65"/>
      <c r="BW633" s="65"/>
      <c r="BX633" s="65"/>
      <c r="BY633" s="65"/>
      <c r="BZ633" s="65"/>
      <c r="CA633" s="65"/>
      <c r="CB633" s="65"/>
      <c r="CC633" s="65"/>
      <c r="CD633" s="65"/>
      <c r="CE633" s="65"/>
      <c r="CF633" s="65"/>
      <c r="CG633" s="65"/>
      <c r="CH633" s="65"/>
      <c r="CI633" s="65"/>
      <c r="CJ633" s="65"/>
      <c r="CK633" s="65"/>
      <c r="CL633" s="65"/>
      <c r="CM633" s="65"/>
      <c r="CN633" s="65"/>
      <c r="CO633" s="65"/>
      <c r="CP633" s="65"/>
      <c r="CQ633" s="65"/>
      <c r="CR633" s="65"/>
      <c r="CS633" s="65"/>
      <c r="CT633" s="65"/>
      <c r="CU633" s="65"/>
      <c r="CV633" s="65"/>
      <c r="CW633" s="65"/>
      <c r="CX633" s="65"/>
      <c r="CY633" s="65"/>
      <c r="CZ633" s="65"/>
      <c r="DA633" s="65"/>
      <c r="DB633" s="65"/>
      <c r="DC633" s="65"/>
      <c r="DD633" s="65"/>
      <c r="DE633" s="65"/>
      <c r="DF633" s="65"/>
      <c r="DG633" s="65"/>
      <c r="DH633" s="65"/>
      <c r="DI633" s="65"/>
      <c r="DJ633" s="65"/>
      <c r="DK633" s="65"/>
      <c r="DL633" s="65"/>
      <c r="DM633" s="65"/>
      <c r="DN633" s="65"/>
      <c r="DO633" s="65"/>
      <c r="DP633" s="65"/>
      <c r="DQ633" s="65"/>
      <c r="DR633" s="65"/>
      <c r="DS633" s="65"/>
      <c r="DT633" s="65"/>
      <c r="DU633" s="65"/>
      <c r="DV633" s="65"/>
      <c r="DW633" s="65"/>
      <c r="DX633" s="65"/>
      <c r="DY633" s="65"/>
      <c r="DZ633" s="65"/>
      <c r="EA633" s="65"/>
      <c r="EB633" s="65"/>
      <c r="EC633" s="65"/>
      <c r="ED633" s="65"/>
      <c r="EE633" s="65"/>
      <c r="EF633" s="65"/>
      <c r="EG633" s="65"/>
      <c r="EH633" s="65"/>
      <c r="EI633" s="65"/>
      <c r="EJ633" s="65"/>
      <c r="EK633" s="65"/>
      <c r="EL633" s="65"/>
      <c r="EM633" s="65"/>
      <c r="EN633" s="65"/>
      <c r="EO633" s="65"/>
      <c r="EP633" s="65"/>
      <c r="EQ633" s="65"/>
      <c r="ER633" s="65"/>
      <c r="ES633" s="65"/>
      <c r="ET633" s="65"/>
      <c r="EU633" s="65"/>
      <c r="EV633" s="65"/>
      <c r="EW633" s="65"/>
      <c r="EX633" s="65"/>
      <c r="EY633" s="65"/>
      <c r="EZ633" s="65"/>
      <c r="FA633" s="65"/>
      <c r="FB633" s="65"/>
      <c r="FC633" s="65"/>
      <c r="FD633" s="65"/>
      <c r="FE633" s="65"/>
      <c r="FF633" s="65"/>
      <c r="FG633" s="65"/>
      <c r="FH633" s="65"/>
      <c r="FI633" s="65"/>
      <c r="FJ633" s="65"/>
      <c r="FK633" s="65"/>
      <c r="FL633" s="65"/>
      <c r="FM633" s="65"/>
      <c r="FN633" s="65"/>
      <c r="FO633" s="65"/>
      <c r="FP633" s="65"/>
      <c r="FQ633" s="65"/>
      <c r="FR633" s="65"/>
      <c r="FS633" s="65"/>
      <c r="FT633" s="65"/>
      <c r="FU633" s="65"/>
      <c r="FV633" s="65"/>
      <c r="FW633" s="65"/>
      <c r="FX633" s="65"/>
      <c r="FY633" s="65"/>
      <c r="FZ633" s="65"/>
      <c r="GA633" s="65"/>
      <c r="GB633" s="65"/>
      <c r="GC633" s="65"/>
      <c r="GD633" s="65"/>
      <c r="GE633" s="65"/>
      <c r="GF633" s="65"/>
      <c r="GG633" s="65"/>
      <c r="GH633" s="65"/>
      <c r="GI633" s="65"/>
      <c r="GJ633" s="65"/>
      <c r="GK633" s="65"/>
      <c r="GL633" s="65"/>
      <c r="GM633" s="65"/>
      <c r="GN633" s="65"/>
      <c r="GO633" s="65"/>
      <c r="GP633" s="65"/>
      <c r="GQ633" s="65"/>
      <c r="GR633" s="65"/>
      <c r="GS633" s="65"/>
      <c r="GT633" s="65"/>
      <c r="GU633" s="65"/>
      <c r="GV633" s="65"/>
      <c r="GW633" s="65"/>
      <c r="GX633" s="65"/>
      <c r="GY633" s="65"/>
      <c r="GZ633" s="65"/>
      <c r="HA633" s="65"/>
      <c r="HB633" s="65"/>
      <c r="HC633" s="65"/>
      <c r="HD633" s="65"/>
      <c r="HE633" s="65"/>
      <c r="HF633" s="65"/>
      <c r="HG633" s="65"/>
      <c r="HH633" s="65"/>
      <c r="HI633" s="65"/>
      <c r="HJ633" s="65"/>
      <c r="HK633" s="65"/>
      <c r="HL633" s="65"/>
      <c r="HM633" s="65"/>
      <c r="HN633" s="65"/>
      <c r="HO633" s="65"/>
      <c r="HP633" s="65"/>
      <c r="HQ633" s="65"/>
      <c r="HR633" s="65"/>
      <c r="HS633" s="65"/>
      <c r="HT633" s="65"/>
      <c r="HU633" s="65"/>
      <c r="HV633" s="65"/>
      <c r="HW633" s="65"/>
      <c r="HX633" s="65"/>
      <c r="HY633" s="65"/>
      <c r="HZ633" s="65"/>
      <c r="IA633" s="65"/>
      <c r="IB633" s="65"/>
      <c r="IC633" s="65"/>
      <c r="ID633" s="65"/>
      <c r="IE633" s="65"/>
      <c r="IF633" s="65"/>
      <c r="IG633" s="65"/>
      <c r="IH633" s="65"/>
      <c r="II633" s="65"/>
      <c r="IJ633" s="65"/>
      <c r="IK633" s="65"/>
      <c r="IL633" s="65"/>
      <c r="IM633" s="65"/>
      <c r="IN633" s="65"/>
      <c r="IO633" s="65"/>
      <c r="IP633" s="65"/>
      <c r="IQ633" s="65"/>
      <c r="IR633" s="65"/>
      <c r="IS633" s="65"/>
      <c r="IT633" s="65"/>
      <c r="IU633" s="65"/>
    </row>
    <row r="634" spans="1:255" s="42" customFormat="1" ht="13.5" customHeight="1">
      <c r="A634" s="12" t="s">
        <v>215</v>
      </c>
      <c r="B634" s="8" t="s">
        <v>214</v>
      </c>
      <c r="C634" s="59">
        <v>43060</v>
      </c>
      <c r="F634" s="66"/>
      <c r="G634" s="67"/>
      <c r="H634" s="65"/>
      <c r="I634" s="65"/>
      <c r="J634" s="65"/>
      <c r="K634" s="65"/>
      <c r="L634" s="65"/>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c r="AQ634" s="65"/>
      <c r="AR634" s="65"/>
      <c r="AS634" s="65"/>
      <c r="AT634" s="65"/>
      <c r="AU634" s="65"/>
      <c r="AV634" s="65"/>
      <c r="AW634" s="65"/>
      <c r="AX634" s="65"/>
      <c r="AY634" s="65"/>
      <c r="AZ634" s="65"/>
      <c r="BA634" s="65"/>
      <c r="BB634" s="65"/>
      <c r="BC634" s="65"/>
      <c r="BD634" s="65"/>
      <c r="BE634" s="65"/>
      <c r="BF634" s="65"/>
      <c r="BG634" s="65"/>
      <c r="BH634" s="65"/>
      <c r="BI634" s="65"/>
      <c r="BJ634" s="65"/>
      <c r="BK634" s="65"/>
      <c r="BL634" s="65"/>
      <c r="BM634" s="65"/>
      <c r="BN634" s="65"/>
      <c r="BO634" s="65"/>
      <c r="BP634" s="65"/>
      <c r="BQ634" s="65"/>
      <c r="BR634" s="65"/>
      <c r="BS634" s="65"/>
      <c r="BT634" s="65"/>
      <c r="BU634" s="65"/>
      <c r="BV634" s="65"/>
      <c r="BW634" s="65"/>
      <c r="BX634" s="65"/>
      <c r="BY634" s="65"/>
      <c r="BZ634" s="65"/>
      <c r="CA634" s="65"/>
      <c r="CB634" s="65"/>
      <c r="CC634" s="65"/>
      <c r="CD634" s="65"/>
      <c r="CE634" s="65"/>
      <c r="CF634" s="65"/>
      <c r="CG634" s="65"/>
      <c r="CH634" s="65"/>
      <c r="CI634" s="65"/>
      <c r="CJ634" s="65"/>
      <c r="CK634" s="65"/>
      <c r="CL634" s="65"/>
      <c r="CM634" s="65"/>
      <c r="CN634" s="65"/>
      <c r="CO634" s="65"/>
      <c r="CP634" s="65"/>
      <c r="CQ634" s="65"/>
      <c r="CR634" s="65"/>
      <c r="CS634" s="65"/>
      <c r="CT634" s="65"/>
      <c r="CU634" s="65"/>
      <c r="CV634" s="65"/>
      <c r="CW634" s="65"/>
      <c r="CX634" s="65"/>
      <c r="CY634" s="65"/>
      <c r="CZ634" s="65"/>
      <c r="DA634" s="65"/>
      <c r="DB634" s="65"/>
      <c r="DC634" s="65"/>
      <c r="DD634" s="65"/>
      <c r="DE634" s="65"/>
      <c r="DF634" s="65"/>
      <c r="DG634" s="65"/>
      <c r="DH634" s="65"/>
      <c r="DI634" s="65"/>
      <c r="DJ634" s="65"/>
      <c r="DK634" s="65"/>
      <c r="DL634" s="65"/>
      <c r="DM634" s="65"/>
      <c r="DN634" s="65"/>
      <c r="DO634" s="65"/>
      <c r="DP634" s="65"/>
      <c r="DQ634" s="65"/>
      <c r="DR634" s="65"/>
      <c r="DS634" s="65"/>
      <c r="DT634" s="65"/>
      <c r="DU634" s="65"/>
      <c r="DV634" s="65"/>
      <c r="DW634" s="65"/>
      <c r="DX634" s="65"/>
      <c r="DY634" s="65"/>
      <c r="DZ634" s="65"/>
      <c r="EA634" s="65"/>
      <c r="EB634" s="65"/>
      <c r="EC634" s="65"/>
      <c r="ED634" s="65"/>
      <c r="EE634" s="65"/>
      <c r="EF634" s="65"/>
      <c r="EG634" s="65"/>
      <c r="EH634" s="65"/>
      <c r="EI634" s="65"/>
      <c r="EJ634" s="65"/>
      <c r="EK634" s="65"/>
      <c r="EL634" s="65"/>
      <c r="EM634" s="65"/>
      <c r="EN634" s="65"/>
      <c r="EO634" s="65"/>
      <c r="EP634" s="65"/>
      <c r="EQ634" s="65"/>
      <c r="ER634" s="65"/>
      <c r="ES634" s="65"/>
      <c r="ET634" s="65"/>
      <c r="EU634" s="65"/>
      <c r="EV634" s="65"/>
      <c r="EW634" s="65"/>
      <c r="EX634" s="65"/>
      <c r="EY634" s="65"/>
      <c r="EZ634" s="65"/>
      <c r="FA634" s="65"/>
      <c r="FB634" s="65"/>
      <c r="FC634" s="65"/>
      <c r="FD634" s="65"/>
      <c r="FE634" s="65"/>
      <c r="FF634" s="65"/>
      <c r="FG634" s="65"/>
      <c r="FH634" s="65"/>
      <c r="FI634" s="65"/>
      <c r="FJ634" s="65"/>
      <c r="FK634" s="65"/>
      <c r="FL634" s="65"/>
      <c r="FM634" s="65"/>
      <c r="FN634" s="65"/>
      <c r="FO634" s="65"/>
      <c r="FP634" s="65"/>
      <c r="FQ634" s="65"/>
      <c r="FR634" s="65"/>
      <c r="FS634" s="65"/>
      <c r="FT634" s="65"/>
      <c r="FU634" s="65"/>
      <c r="FV634" s="65"/>
      <c r="FW634" s="65"/>
      <c r="FX634" s="65"/>
      <c r="FY634" s="65"/>
      <c r="FZ634" s="65"/>
      <c r="GA634" s="65"/>
      <c r="GB634" s="65"/>
      <c r="GC634" s="65"/>
      <c r="GD634" s="65"/>
      <c r="GE634" s="65"/>
      <c r="GF634" s="65"/>
      <c r="GG634" s="65"/>
      <c r="GH634" s="65"/>
      <c r="GI634" s="65"/>
      <c r="GJ634" s="65"/>
      <c r="GK634" s="65"/>
      <c r="GL634" s="65"/>
      <c r="GM634" s="65"/>
      <c r="GN634" s="65"/>
      <c r="GO634" s="65"/>
      <c r="GP634" s="65"/>
      <c r="GQ634" s="65"/>
      <c r="GR634" s="65"/>
      <c r="GS634" s="65"/>
      <c r="GT634" s="65"/>
      <c r="GU634" s="65"/>
      <c r="GV634" s="65"/>
      <c r="GW634" s="65"/>
      <c r="GX634" s="65"/>
      <c r="GY634" s="65"/>
      <c r="GZ634" s="65"/>
      <c r="HA634" s="65"/>
      <c r="HB634" s="65"/>
      <c r="HC634" s="65"/>
      <c r="HD634" s="65"/>
      <c r="HE634" s="65"/>
      <c r="HF634" s="65"/>
      <c r="HG634" s="65"/>
      <c r="HH634" s="65"/>
      <c r="HI634" s="65"/>
      <c r="HJ634" s="65"/>
      <c r="HK634" s="65"/>
      <c r="HL634" s="65"/>
      <c r="HM634" s="65"/>
      <c r="HN634" s="65"/>
      <c r="HO634" s="65"/>
      <c r="HP634" s="65"/>
      <c r="HQ634" s="65"/>
      <c r="HR634" s="65"/>
      <c r="HS634" s="65"/>
      <c r="HT634" s="65"/>
      <c r="HU634" s="65"/>
      <c r="HV634" s="65"/>
      <c r="HW634" s="65"/>
      <c r="HX634" s="65"/>
      <c r="HY634" s="65"/>
      <c r="HZ634" s="65"/>
      <c r="IA634" s="65"/>
      <c r="IB634" s="65"/>
      <c r="IC634" s="65"/>
      <c r="ID634" s="65"/>
      <c r="IE634" s="65"/>
      <c r="IF634" s="65"/>
      <c r="IG634" s="65"/>
      <c r="IH634" s="65"/>
      <c r="II634" s="65"/>
      <c r="IJ634" s="65"/>
      <c r="IK634" s="65"/>
      <c r="IL634" s="65"/>
      <c r="IM634" s="65"/>
      <c r="IN634" s="65"/>
      <c r="IO634" s="65"/>
      <c r="IP634" s="65"/>
      <c r="IQ634" s="65"/>
      <c r="IR634" s="65"/>
      <c r="IS634" s="65"/>
      <c r="IT634" s="65"/>
      <c r="IU634" s="65"/>
    </row>
    <row r="635" spans="1:255" s="42" customFormat="1" ht="13.5" customHeight="1">
      <c r="A635" s="11" t="s">
        <v>119</v>
      </c>
      <c r="B635" s="502" t="s">
        <v>109</v>
      </c>
      <c r="C635" s="63">
        <f>SUM(C636:C642)</f>
        <v>204500</v>
      </c>
      <c r="F635" s="66"/>
      <c r="G635" s="67"/>
      <c r="H635" s="65"/>
      <c r="I635" s="65"/>
      <c r="J635" s="65"/>
      <c r="K635" s="65"/>
      <c r="L635" s="65"/>
      <c r="M635" s="65"/>
      <c r="N635" s="65"/>
      <c r="O635" s="65"/>
      <c r="P635" s="65"/>
      <c r="Q635" s="65"/>
      <c r="R635" s="65"/>
      <c r="S635" s="65"/>
      <c r="T635" s="65"/>
      <c r="U635" s="65"/>
      <c r="V635" s="65"/>
      <c r="W635" s="65"/>
      <c r="X635" s="65"/>
      <c r="Y635" s="65"/>
      <c r="Z635" s="65"/>
      <c r="AA635" s="65"/>
      <c r="AB635" s="65"/>
      <c r="AC635" s="65"/>
      <c r="AD635" s="65"/>
      <c r="AE635" s="65"/>
      <c r="AF635" s="65"/>
      <c r="AG635" s="65"/>
      <c r="AH635" s="65"/>
      <c r="AI635" s="65"/>
      <c r="AJ635" s="65"/>
      <c r="AK635" s="65"/>
      <c r="AL635" s="65"/>
      <c r="AM635" s="65"/>
      <c r="AN635" s="65"/>
      <c r="AO635" s="65"/>
      <c r="AP635" s="65"/>
      <c r="AQ635" s="65"/>
      <c r="AR635" s="65"/>
      <c r="AS635" s="65"/>
      <c r="AT635" s="65"/>
      <c r="AU635" s="65"/>
      <c r="AV635" s="65"/>
      <c r="AW635" s="65"/>
      <c r="AX635" s="65"/>
      <c r="AY635" s="65"/>
      <c r="AZ635" s="65"/>
      <c r="BA635" s="65"/>
      <c r="BB635" s="65"/>
      <c r="BC635" s="65"/>
      <c r="BD635" s="65"/>
      <c r="BE635" s="65"/>
      <c r="BF635" s="65"/>
      <c r="BG635" s="65"/>
      <c r="BH635" s="65"/>
      <c r="BI635" s="65"/>
      <c r="BJ635" s="65"/>
      <c r="BK635" s="65"/>
      <c r="BL635" s="65"/>
      <c r="BM635" s="65"/>
      <c r="BN635" s="65"/>
      <c r="BO635" s="65"/>
      <c r="BP635" s="65"/>
      <c r="BQ635" s="65"/>
      <c r="BR635" s="65"/>
      <c r="BS635" s="65"/>
      <c r="BT635" s="65"/>
      <c r="BU635" s="65"/>
      <c r="BV635" s="65"/>
      <c r="BW635" s="65"/>
      <c r="BX635" s="65"/>
      <c r="BY635" s="65"/>
      <c r="BZ635" s="65"/>
      <c r="CA635" s="65"/>
      <c r="CB635" s="65"/>
      <c r="CC635" s="65"/>
      <c r="CD635" s="65"/>
      <c r="CE635" s="65"/>
      <c r="CF635" s="65"/>
      <c r="CG635" s="65"/>
      <c r="CH635" s="65"/>
      <c r="CI635" s="65"/>
      <c r="CJ635" s="65"/>
      <c r="CK635" s="65"/>
      <c r="CL635" s="65"/>
      <c r="CM635" s="65"/>
      <c r="CN635" s="65"/>
      <c r="CO635" s="65"/>
      <c r="CP635" s="65"/>
      <c r="CQ635" s="65"/>
      <c r="CR635" s="65"/>
      <c r="CS635" s="65"/>
      <c r="CT635" s="65"/>
      <c r="CU635" s="65"/>
      <c r="CV635" s="65"/>
      <c r="CW635" s="65"/>
      <c r="CX635" s="65"/>
      <c r="CY635" s="65"/>
      <c r="CZ635" s="65"/>
      <c r="DA635" s="65"/>
      <c r="DB635" s="65"/>
      <c r="DC635" s="65"/>
      <c r="DD635" s="65"/>
      <c r="DE635" s="65"/>
      <c r="DF635" s="65"/>
      <c r="DG635" s="65"/>
      <c r="DH635" s="65"/>
      <c r="DI635" s="65"/>
      <c r="DJ635" s="65"/>
      <c r="DK635" s="65"/>
      <c r="DL635" s="65"/>
      <c r="DM635" s="65"/>
      <c r="DN635" s="65"/>
      <c r="DO635" s="65"/>
      <c r="DP635" s="65"/>
      <c r="DQ635" s="65"/>
      <c r="DR635" s="65"/>
      <c r="DS635" s="65"/>
      <c r="DT635" s="65"/>
      <c r="DU635" s="65"/>
      <c r="DV635" s="65"/>
      <c r="DW635" s="65"/>
      <c r="DX635" s="65"/>
      <c r="DY635" s="65"/>
      <c r="DZ635" s="65"/>
      <c r="EA635" s="65"/>
      <c r="EB635" s="65"/>
      <c r="EC635" s="65"/>
      <c r="ED635" s="65"/>
      <c r="EE635" s="65"/>
      <c r="EF635" s="65"/>
      <c r="EG635" s="65"/>
      <c r="EH635" s="65"/>
      <c r="EI635" s="65"/>
      <c r="EJ635" s="65"/>
      <c r="EK635" s="65"/>
      <c r="EL635" s="65"/>
      <c r="EM635" s="65"/>
      <c r="EN635" s="65"/>
      <c r="EO635" s="65"/>
      <c r="EP635" s="65"/>
      <c r="EQ635" s="65"/>
      <c r="ER635" s="65"/>
      <c r="ES635" s="65"/>
      <c r="ET635" s="65"/>
      <c r="EU635" s="65"/>
      <c r="EV635" s="65"/>
      <c r="EW635" s="65"/>
      <c r="EX635" s="65"/>
      <c r="EY635" s="65"/>
      <c r="EZ635" s="65"/>
      <c r="FA635" s="65"/>
      <c r="FB635" s="65"/>
      <c r="FC635" s="65"/>
      <c r="FD635" s="65"/>
      <c r="FE635" s="65"/>
      <c r="FF635" s="65"/>
      <c r="FG635" s="65"/>
      <c r="FH635" s="65"/>
      <c r="FI635" s="65"/>
      <c r="FJ635" s="65"/>
      <c r="FK635" s="65"/>
      <c r="FL635" s="65"/>
      <c r="FM635" s="65"/>
      <c r="FN635" s="65"/>
      <c r="FO635" s="65"/>
      <c r="FP635" s="65"/>
      <c r="FQ635" s="65"/>
      <c r="FR635" s="65"/>
      <c r="FS635" s="65"/>
      <c r="FT635" s="65"/>
      <c r="FU635" s="65"/>
      <c r="FV635" s="65"/>
      <c r="FW635" s="65"/>
      <c r="FX635" s="65"/>
      <c r="FY635" s="65"/>
      <c r="FZ635" s="65"/>
      <c r="GA635" s="65"/>
      <c r="GB635" s="65"/>
      <c r="GC635" s="65"/>
      <c r="GD635" s="65"/>
      <c r="GE635" s="65"/>
      <c r="GF635" s="65"/>
      <c r="GG635" s="65"/>
      <c r="GH635" s="65"/>
      <c r="GI635" s="65"/>
      <c r="GJ635" s="65"/>
      <c r="GK635" s="65"/>
      <c r="GL635" s="65"/>
      <c r="GM635" s="65"/>
      <c r="GN635" s="65"/>
      <c r="GO635" s="65"/>
      <c r="GP635" s="65"/>
      <c r="GQ635" s="65"/>
      <c r="GR635" s="65"/>
      <c r="GS635" s="65"/>
      <c r="GT635" s="65"/>
      <c r="GU635" s="65"/>
      <c r="GV635" s="65"/>
      <c r="GW635" s="65"/>
      <c r="GX635" s="65"/>
      <c r="GY635" s="65"/>
      <c r="GZ635" s="65"/>
      <c r="HA635" s="65"/>
      <c r="HB635" s="65"/>
      <c r="HC635" s="65"/>
      <c r="HD635" s="65"/>
      <c r="HE635" s="65"/>
      <c r="HF635" s="65"/>
      <c r="HG635" s="65"/>
      <c r="HH635" s="65"/>
      <c r="HI635" s="65"/>
      <c r="HJ635" s="65"/>
      <c r="HK635" s="65"/>
      <c r="HL635" s="65"/>
      <c r="HM635" s="65"/>
      <c r="HN635" s="65"/>
      <c r="HO635" s="65"/>
      <c r="HP635" s="65"/>
      <c r="HQ635" s="65"/>
      <c r="HR635" s="65"/>
      <c r="HS635" s="65"/>
      <c r="HT635" s="65"/>
      <c r="HU635" s="65"/>
      <c r="HV635" s="65"/>
      <c r="HW635" s="65"/>
      <c r="HX635" s="65"/>
      <c r="HY635" s="65"/>
      <c r="HZ635" s="65"/>
      <c r="IA635" s="65"/>
      <c r="IB635" s="65"/>
      <c r="IC635" s="65"/>
      <c r="ID635" s="65"/>
      <c r="IE635" s="65"/>
      <c r="IF635" s="65"/>
      <c r="IG635" s="65"/>
      <c r="IH635" s="65"/>
      <c r="II635" s="65"/>
      <c r="IJ635" s="65"/>
      <c r="IK635" s="65"/>
      <c r="IL635" s="65"/>
      <c r="IM635" s="65"/>
      <c r="IN635" s="65"/>
      <c r="IO635" s="65"/>
      <c r="IP635" s="65"/>
      <c r="IQ635" s="65"/>
      <c r="IR635" s="65"/>
      <c r="IS635" s="65"/>
      <c r="IT635" s="65"/>
      <c r="IU635" s="65"/>
    </row>
    <row r="636" spans="1:255" s="42" customFormat="1" ht="13.5" customHeight="1">
      <c r="A636" s="12" t="s">
        <v>191</v>
      </c>
      <c r="B636" s="42" t="s">
        <v>190</v>
      </c>
      <c r="C636" s="59">
        <v>20000</v>
      </c>
      <c r="F636" s="66"/>
      <c r="G636" s="67"/>
      <c r="H636" s="65"/>
      <c r="I636" s="65"/>
      <c r="J636" s="65"/>
      <c r="K636" s="65"/>
      <c r="L636" s="65"/>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c r="AQ636" s="65"/>
      <c r="AR636" s="65"/>
      <c r="AS636" s="65"/>
      <c r="AT636" s="65"/>
      <c r="AU636" s="65"/>
      <c r="AV636" s="65"/>
      <c r="AW636" s="65"/>
      <c r="AX636" s="65"/>
      <c r="AY636" s="65"/>
      <c r="AZ636" s="65"/>
      <c r="BA636" s="65"/>
      <c r="BB636" s="65"/>
      <c r="BC636" s="65"/>
      <c r="BD636" s="65"/>
      <c r="BE636" s="65"/>
      <c r="BF636" s="65"/>
      <c r="BG636" s="65"/>
      <c r="BH636" s="65"/>
      <c r="BI636" s="65"/>
      <c r="BJ636" s="65"/>
      <c r="BK636" s="65"/>
      <c r="BL636" s="65"/>
      <c r="BM636" s="65"/>
      <c r="BN636" s="65"/>
      <c r="BO636" s="65"/>
      <c r="BP636" s="65"/>
      <c r="BQ636" s="65"/>
      <c r="BR636" s="65"/>
      <c r="BS636" s="65"/>
      <c r="BT636" s="65"/>
      <c r="BU636" s="65"/>
      <c r="BV636" s="65"/>
      <c r="BW636" s="65"/>
      <c r="BX636" s="65"/>
      <c r="BY636" s="65"/>
      <c r="BZ636" s="65"/>
      <c r="CA636" s="65"/>
      <c r="CB636" s="65"/>
      <c r="CC636" s="65"/>
      <c r="CD636" s="65"/>
      <c r="CE636" s="65"/>
      <c r="CF636" s="65"/>
      <c r="CG636" s="65"/>
      <c r="CH636" s="65"/>
      <c r="CI636" s="65"/>
      <c r="CJ636" s="65"/>
      <c r="CK636" s="65"/>
      <c r="CL636" s="65"/>
      <c r="CM636" s="65"/>
      <c r="CN636" s="65"/>
      <c r="CO636" s="65"/>
      <c r="CP636" s="65"/>
      <c r="CQ636" s="65"/>
      <c r="CR636" s="65"/>
      <c r="CS636" s="65"/>
      <c r="CT636" s="65"/>
      <c r="CU636" s="65"/>
      <c r="CV636" s="65"/>
      <c r="CW636" s="65"/>
      <c r="CX636" s="65"/>
      <c r="CY636" s="65"/>
      <c r="CZ636" s="65"/>
      <c r="DA636" s="65"/>
      <c r="DB636" s="65"/>
      <c r="DC636" s="65"/>
      <c r="DD636" s="65"/>
      <c r="DE636" s="65"/>
      <c r="DF636" s="65"/>
      <c r="DG636" s="65"/>
      <c r="DH636" s="65"/>
      <c r="DI636" s="65"/>
      <c r="DJ636" s="65"/>
      <c r="DK636" s="65"/>
      <c r="DL636" s="65"/>
      <c r="DM636" s="65"/>
      <c r="DN636" s="65"/>
      <c r="DO636" s="65"/>
      <c r="DP636" s="65"/>
      <c r="DQ636" s="65"/>
      <c r="DR636" s="65"/>
      <c r="DS636" s="65"/>
      <c r="DT636" s="65"/>
      <c r="DU636" s="65"/>
      <c r="DV636" s="65"/>
      <c r="DW636" s="65"/>
      <c r="DX636" s="65"/>
      <c r="DY636" s="65"/>
      <c r="DZ636" s="65"/>
      <c r="EA636" s="65"/>
      <c r="EB636" s="65"/>
      <c r="EC636" s="65"/>
      <c r="ED636" s="65"/>
      <c r="EE636" s="65"/>
      <c r="EF636" s="65"/>
      <c r="EG636" s="65"/>
      <c r="EH636" s="65"/>
      <c r="EI636" s="65"/>
      <c r="EJ636" s="65"/>
      <c r="EK636" s="65"/>
      <c r="EL636" s="65"/>
      <c r="EM636" s="65"/>
      <c r="EN636" s="65"/>
      <c r="EO636" s="65"/>
      <c r="EP636" s="65"/>
      <c r="EQ636" s="65"/>
      <c r="ER636" s="65"/>
      <c r="ES636" s="65"/>
      <c r="ET636" s="65"/>
      <c r="EU636" s="65"/>
      <c r="EV636" s="65"/>
      <c r="EW636" s="65"/>
      <c r="EX636" s="65"/>
      <c r="EY636" s="65"/>
      <c r="EZ636" s="65"/>
      <c r="FA636" s="65"/>
      <c r="FB636" s="65"/>
      <c r="FC636" s="65"/>
      <c r="FD636" s="65"/>
      <c r="FE636" s="65"/>
      <c r="FF636" s="65"/>
      <c r="FG636" s="65"/>
      <c r="FH636" s="65"/>
      <c r="FI636" s="65"/>
      <c r="FJ636" s="65"/>
      <c r="FK636" s="65"/>
      <c r="FL636" s="65"/>
      <c r="FM636" s="65"/>
      <c r="FN636" s="65"/>
      <c r="FO636" s="65"/>
      <c r="FP636" s="65"/>
      <c r="FQ636" s="65"/>
      <c r="FR636" s="65"/>
      <c r="FS636" s="65"/>
      <c r="FT636" s="65"/>
      <c r="FU636" s="65"/>
      <c r="FV636" s="65"/>
      <c r="FW636" s="65"/>
      <c r="FX636" s="65"/>
      <c r="FY636" s="65"/>
      <c r="FZ636" s="65"/>
      <c r="GA636" s="65"/>
      <c r="GB636" s="65"/>
      <c r="GC636" s="65"/>
      <c r="GD636" s="65"/>
      <c r="GE636" s="65"/>
      <c r="GF636" s="65"/>
      <c r="GG636" s="65"/>
      <c r="GH636" s="65"/>
      <c r="GI636" s="65"/>
      <c r="GJ636" s="65"/>
      <c r="GK636" s="65"/>
      <c r="GL636" s="65"/>
      <c r="GM636" s="65"/>
      <c r="GN636" s="65"/>
      <c r="GO636" s="65"/>
      <c r="GP636" s="65"/>
      <c r="GQ636" s="65"/>
      <c r="GR636" s="65"/>
      <c r="GS636" s="65"/>
      <c r="GT636" s="65"/>
      <c r="GU636" s="65"/>
      <c r="GV636" s="65"/>
      <c r="GW636" s="65"/>
      <c r="GX636" s="65"/>
      <c r="GY636" s="65"/>
      <c r="GZ636" s="65"/>
      <c r="HA636" s="65"/>
      <c r="HB636" s="65"/>
      <c r="HC636" s="65"/>
      <c r="HD636" s="65"/>
      <c r="HE636" s="65"/>
      <c r="HF636" s="65"/>
      <c r="HG636" s="65"/>
      <c r="HH636" s="65"/>
      <c r="HI636" s="65"/>
      <c r="HJ636" s="65"/>
      <c r="HK636" s="65"/>
      <c r="HL636" s="65"/>
      <c r="HM636" s="65"/>
      <c r="HN636" s="65"/>
      <c r="HO636" s="65"/>
      <c r="HP636" s="65"/>
      <c r="HQ636" s="65"/>
      <c r="HR636" s="65"/>
      <c r="HS636" s="65"/>
      <c r="HT636" s="65"/>
      <c r="HU636" s="65"/>
      <c r="HV636" s="65"/>
      <c r="HW636" s="65"/>
      <c r="HX636" s="65"/>
      <c r="HY636" s="65"/>
      <c r="HZ636" s="65"/>
      <c r="IA636" s="65"/>
      <c r="IB636" s="65"/>
      <c r="IC636" s="65"/>
      <c r="ID636" s="65"/>
      <c r="IE636" s="65"/>
      <c r="IF636" s="65"/>
      <c r="IG636" s="65"/>
      <c r="IH636" s="65"/>
      <c r="II636" s="65"/>
      <c r="IJ636" s="65"/>
      <c r="IK636" s="65"/>
      <c r="IL636" s="65"/>
      <c r="IM636" s="65"/>
      <c r="IN636" s="65"/>
      <c r="IO636" s="65"/>
      <c r="IP636" s="65"/>
      <c r="IQ636" s="65"/>
      <c r="IR636" s="65"/>
      <c r="IS636" s="65"/>
      <c r="IT636" s="65"/>
      <c r="IU636" s="65"/>
    </row>
    <row r="637" spans="1:255" s="42" customFormat="1" ht="13.5" customHeight="1">
      <c r="A637" s="12" t="s">
        <v>189</v>
      </c>
      <c r="B637" s="42" t="s">
        <v>188</v>
      </c>
      <c r="C637" s="59">
        <v>25000</v>
      </c>
      <c r="F637" s="66"/>
      <c r="G637" s="67"/>
      <c r="H637" s="65"/>
      <c r="I637" s="65"/>
      <c r="J637" s="65"/>
      <c r="K637" s="65"/>
      <c r="L637" s="65"/>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c r="AQ637" s="65"/>
      <c r="AR637" s="65"/>
      <c r="AS637" s="65"/>
      <c r="AT637" s="65"/>
      <c r="AU637" s="65"/>
      <c r="AV637" s="65"/>
      <c r="AW637" s="65"/>
      <c r="AX637" s="65"/>
      <c r="AY637" s="65"/>
      <c r="AZ637" s="65"/>
      <c r="BA637" s="65"/>
      <c r="BB637" s="65"/>
      <c r="BC637" s="65"/>
      <c r="BD637" s="65"/>
      <c r="BE637" s="65"/>
      <c r="BF637" s="65"/>
      <c r="BG637" s="65"/>
      <c r="BH637" s="65"/>
      <c r="BI637" s="65"/>
      <c r="BJ637" s="65"/>
      <c r="BK637" s="65"/>
      <c r="BL637" s="65"/>
      <c r="BM637" s="65"/>
      <c r="BN637" s="65"/>
      <c r="BO637" s="65"/>
      <c r="BP637" s="65"/>
      <c r="BQ637" s="65"/>
      <c r="BR637" s="65"/>
      <c r="BS637" s="65"/>
      <c r="BT637" s="65"/>
      <c r="BU637" s="65"/>
      <c r="BV637" s="65"/>
      <c r="BW637" s="65"/>
      <c r="BX637" s="65"/>
      <c r="BY637" s="65"/>
      <c r="BZ637" s="65"/>
      <c r="CA637" s="65"/>
      <c r="CB637" s="65"/>
      <c r="CC637" s="65"/>
      <c r="CD637" s="65"/>
      <c r="CE637" s="65"/>
      <c r="CF637" s="65"/>
      <c r="CG637" s="65"/>
      <c r="CH637" s="65"/>
      <c r="CI637" s="65"/>
      <c r="CJ637" s="65"/>
      <c r="CK637" s="65"/>
      <c r="CL637" s="65"/>
      <c r="CM637" s="65"/>
      <c r="CN637" s="65"/>
      <c r="CO637" s="65"/>
      <c r="CP637" s="65"/>
      <c r="CQ637" s="65"/>
      <c r="CR637" s="65"/>
      <c r="CS637" s="65"/>
      <c r="CT637" s="65"/>
      <c r="CU637" s="65"/>
      <c r="CV637" s="65"/>
      <c r="CW637" s="65"/>
      <c r="CX637" s="65"/>
      <c r="CY637" s="65"/>
      <c r="CZ637" s="65"/>
      <c r="DA637" s="65"/>
      <c r="DB637" s="65"/>
      <c r="DC637" s="65"/>
      <c r="DD637" s="65"/>
      <c r="DE637" s="65"/>
      <c r="DF637" s="65"/>
      <c r="DG637" s="65"/>
      <c r="DH637" s="65"/>
      <c r="DI637" s="65"/>
      <c r="DJ637" s="65"/>
      <c r="DK637" s="65"/>
      <c r="DL637" s="65"/>
      <c r="DM637" s="65"/>
      <c r="DN637" s="65"/>
      <c r="DO637" s="65"/>
      <c r="DP637" s="65"/>
      <c r="DQ637" s="65"/>
      <c r="DR637" s="65"/>
      <c r="DS637" s="65"/>
      <c r="DT637" s="65"/>
      <c r="DU637" s="65"/>
      <c r="DV637" s="65"/>
      <c r="DW637" s="65"/>
      <c r="DX637" s="65"/>
      <c r="DY637" s="65"/>
      <c r="DZ637" s="65"/>
      <c r="EA637" s="65"/>
      <c r="EB637" s="65"/>
      <c r="EC637" s="65"/>
      <c r="ED637" s="65"/>
      <c r="EE637" s="65"/>
      <c r="EF637" s="65"/>
      <c r="EG637" s="65"/>
      <c r="EH637" s="65"/>
      <c r="EI637" s="65"/>
      <c r="EJ637" s="65"/>
      <c r="EK637" s="65"/>
      <c r="EL637" s="65"/>
      <c r="EM637" s="65"/>
      <c r="EN637" s="65"/>
      <c r="EO637" s="65"/>
      <c r="EP637" s="65"/>
      <c r="EQ637" s="65"/>
      <c r="ER637" s="65"/>
      <c r="ES637" s="65"/>
      <c r="ET637" s="65"/>
      <c r="EU637" s="65"/>
      <c r="EV637" s="65"/>
      <c r="EW637" s="65"/>
      <c r="EX637" s="65"/>
      <c r="EY637" s="65"/>
      <c r="EZ637" s="65"/>
      <c r="FA637" s="65"/>
      <c r="FB637" s="65"/>
      <c r="FC637" s="65"/>
      <c r="FD637" s="65"/>
      <c r="FE637" s="65"/>
      <c r="FF637" s="65"/>
      <c r="FG637" s="65"/>
      <c r="FH637" s="65"/>
      <c r="FI637" s="65"/>
      <c r="FJ637" s="65"/>
      <c r="FK637" s="65"/>
      <c r="FL637" s="65"/>
      <c r="FM637" s="65"/>
      <c r="FN637" s="65"/>
      <c r="FO637" s="65"/>
      <c r="FP637" s="65"/>
      <c r="FQ637" s="65"/>
      <c r="FR637" s="65"/>
      <c r="FS637" s="65"/>
      <c r="FT637" s="65"/>
      <c r="FU637" s="65"/>
      <c r="FV637" s="65"/>
      <c r="FW637" s="65"/>
      <c r="FX637" s="65"/>
      <c r="FY637" s="65"/>
      <c r="FZ637" s="65"/>
      <c r="GA637" s="65"/>
      <c r="GB637" s="65"/>
      <c r="GC637" s="65"/>
      <c r="GD637" s="65"/>
      <c r="GE637" s="65"/>
      <c r="GF637" s="65"/>
      <c r="GG637" s="65"/>
      <c r="GH637" s="65"/>
      <c r="GI637" s="65"/>
      <c r="GJ637" s="65"/>
      <c r="GK637" s="65"/>
      <c r="GL637" s="65"/>
      <c r="GM637" s="65"/>
      <c r="GN637" s="65"/>
      <c r="GO637" s="65"/>
      <c r="GP637" s="65"/>
      <c r="GQ637" s="65"/>
      <c r="GR637" s="65"/>
      <c r="GS637" s="65"/>
      <c r="GT637" s="65"/>
      <c r="GU637" s="65"/>
      <c r="GV637" s="65"/>
      <c r="GW637" s="65"/>
      <c r="GX637" s="65"/>
      <c r="GY637" s="65"/>
      <c r="GZ637" s="65"/>
      <c r="HA637" s="65"/>
      <c r="HB637" s="65"/>
      <c r="HC637" s="65"/>
      <c r="HD637" s="65"/>
      <c r="HE637" s="65"/>
      <c r="HF637" s="65"/>
      <c r="HG637" s="65"/>
      <c r="HH637" s="65"/>
      <c r="HI637" s="65"/>
      <c r="HJ637" s="65"/>
      <c r="HK637" s="65"/>
      <c r="HL637" s="65"/>
      <c r="HM637" s="65"/>
      <c r="HN637" s="65"/>
      <c r="HO637" s="65"/>
      <c r="HP637" s="65"/>
      <c r="HQ637" s="65"/>
      <c r="HR637" s="65"/>
      <c r="HS637" s="65"/>
      <c r="HT637" s="65"/>
      <c r="HU637" s="65"/>
      <c r="HV637" s="65"/>
      <c r="HW637" s="65"/>
      <c r="HX637" s="65"/>
      <c r="HY637" s="65"/>
      <c r="HZ637" s="65"/>
      <c r="IA637" s="65"/>
      <c r="IB637" s="65"/>
      <c r="IC637" s="65"/>
      <c r="ID637" s="65"/>
      <c r="IE637" s="65"/>
      <c r="IF637" s="65"/>
      <c r="IG637" s="65"/>
      <c r="IH637" s="65"/>
      <c r="II637" s="65"/>
      <c r="IJ637" s="65"/>
      <c r="IK637" s="65"/>
      <c r="IL637" s="65"/>
      <c r="IM637" s="65"/>
      <c r="IN637" s="65"/>
      <c r="IO637" s="65"/>
      <c r="IP637" s="65"/>
      <c r="IQ637" s="65"/>
      <c r="IR637" s="65"/>
      <c r="IS637" s="65"/>
      <c r="IT637" s="65"/>
      <c r="IU637" s="65"/>
    </row>
    <row r="638" spans="1:255" s="42" customFormat="1" ht="13.5" customHeight="1">
      <c r="A638" s="12" t="s">
        <v>187</v>
      </c>
      <c r="B638" s="42" t="s">
        <v>186</v>
      </c>
      <c r="C638" s="59">
        <v>6500</v>
      </c>
      <c r="F638" s="66"/>
      <c r="G638" s="67"/>
      <c r="H638" s="65"/>
      <c r="I638" s="65"/>
      <c r="J638" s="65"/>
      <c r="K638" s="65"/>
      <c r="L638" s="65"/>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c r="AQ638" s="65"/>
      <c r="AR638" s="65"/>
      <c r="AS638" s="65"/>
      <c r="AT638" s="65"/>
      <c r="AU638" s="65"/>
      <c r="AV638" s="65"/>
      <c r="AW638" s="65"/>
      <c r="AX638" s="65"/>
      <c r="AY638" s="65"/>
      <c r="AZ638" s="65"/>
      <c r="BA638" s="65"/>
      <c r="BB638" s="65"/>
      <c r="BC638" s="65"/>
      <c r="BD638" s="65"/>
      <c r="BE638" s="65"/>
      <c r="BF638" s="65"/>
      <c r="BG638" s="65"/>
      <c r="BH638" s="65"/>
      <c r="BI638" s="65"/>
      <c r="BJ638" s="65"/>
      <c r="BK638" s="65"/>
      <c r="BL638" s="65"/>
      <c r="BM638" s="65"/>
      <c r="BN638" s="65"/>
      <c r="BO638" s="65"/>
      <c r="BP638" s="65"/>
      <c r="BQ638" s="65"/>
      <c r="BR638" s="65"/>
      <c r="BS638" s="65"/>
      <c r="BT638" s="65"/>
      <c r="BU638" s="65"/>
      <c r="BV638" s="65"/>
      <c r="BW638" s="65"/>
      <c r="BX638" s="65"/>
      <c r="BY638" s="65"/>
      <c r="BZ638" s="65"/>
      <c r="CA638" s="65"/>
      <c r="CB638" s="65"/>
      <c r="CC638" s="65"/>
      <c r="CD638" s="65"/>
      <c r="CE638" s="65"/>
      <c r="CF638" s="65"/>
      <c r="CG638" s="65"/>
      <c r="CH638" s="65"/>
      <c r="CI638" s="65"/>
      <c r="CJ638" s="65"/>
      <c r="CK638" s="65"/>
      <c r="CL638" s="65"/>
      <c r="CM638" s="65"/>
      <c r="CN638" s="65"/>
      <c r="CO638" s="65"/>
      <c r="CP638" s="65"/>
      <c r="CQ638" s="65"/>
      <c r="CR638" s="65"/>
      <c r="CS638" s="65"/>
      <c r="CT638" s="65"/>
      <c r="CU638" s="65"/>
      <c r="CV638" s="65"/>
      <c r="CW638" s="65"/>
      <c r="CX638" s="65"/>
      <c r="CY638" s="65"/>
      <c r="CZ638" s="65"/>
      <c r="DA638" s="65"/>
      <c r="DB638" s="65"/>
      <c r="DC638" s="65"/>
      <c r="DD638" s="65"/>
      <c r="DE638" s="65"/>
      <c r="DF638" s="65"/>
      <c r="DG638" s="65"/>
      <c r="DH638" s="65"/>
      <c r="DI638" s="65"/>
      <c r="DJ638" s="65"/>
      <c r="DK638" s="65"/>
      <c r="DL638" s="65"/>
      <c r="DM638" s="65"/>
      <c r="DN638" s="65"/>
      <c r="DO638" s="65"/>
      <c r="DP638" s="65"/>
      <c r="DQ638" s="65"/>
      <c r="DR638" s="65"/>
      <c r="DS638" s="65"/>
      <c r="DT638" s="65"/>
      <c r="DU638" s="65"/>
      <c r="DV638" s="65"/>
      <c r="DW638" s="65"/>
      <c r="DX638" s="65"/>
      <c r="DY638" s="65"/>
      <c r="DZ638" s="65"/>
      <c r="EA638" s="65"/>
      <c r="EB638" s="65"/>
      <c r="EC638" s="65"/>
      <c r="ED638" s="65"/>
      <c r="EE638" s="65"/>
      <c r="EF638" s="65"/>
      <c r="EG638" s="65"/>
      <c r="EH638" s="65"/>
      <c r="EI638" s="65"/>
      <c r="EJ638" s="65"/>
      <c r="EK638" s="65"/>
      <c r="EL638" s="65"/>
      <c r="EM638" s="65"/>
      <c r="EN638" s="65"/>
      <c r="EO638" s="65"/>
      <c r="EP638" s="65"/>
      <c r="EQ638" s="65"/>
      <c r="ER638" s="65"/>
      <c r="ES638" s="65"/>
      <c r="ET638" s="65"/>
      <c r="EU638" s="65"/>
      <c r="EV638" s="65"/>
      <c r="EW638" s="65"/>
      <c r="EX638" s="65"/>
      <c r="EY638" s="65"/>
      <c r="EZ638" s="65"/>
      <c r="FA638" s="65"/>
      <c r="FB638" s="65"/>
      <c r="FC638" s="65"/>
      <c r="FD638" s="65"/>
      <c r="FE638" s="65"/>
      <c r="FF638" s="65"/>
      <c r="FG638" s="65"/>
      <c r="FH638" s="65"/>
      <c r="FI638" s="65"/>
      <c r="FJ638" s="65"/>
      <c r="FK638" s="65"/>
      <c r="FL638" s="65"/>
      <c r="FM638" s="65"/>
      <c r="FN638" s="65"/>
      <c r="FO638" s="65"/>
      <c r="FP638" s="65"/>
      <c r="FQ638" s="65"/>
      <c r="FR638" s="65"/>
      <c r="FS638" s="65"/>
      <c r="FT638" s="65"/>
      <c r="FU638" s="65"/>
      <c r="FV638" s="65"/>
      <c r="FW638" s="65"/>
      <c r="FX638" s="65"/>
      <c r="FY638" s="65"/>
      <c r="FZ638" s="65"/>
      <c r="GA638" s="65"/>
      <c r="GB638" s="65"/>
      <c r="GC638" s="65"/>
      <c r="GD638" s="65"/>
      <c r="GE638" s="65"/>
      <c r="GF638" s="65"/>
      <c r="GG638" s="65"/>
      <c r="GH638" s="65"/>
      <c r="GI638" s="65"/>
      <c r="GJ638" s="65"/>
      <c r="GK638" s="65"/>
      <c r="GL638" s="65"/>
      <c r="GM638" s="65"/>
      <c r="GN638" s="65"/>
      <c r="GO638" s="65"/>
      <c r="GP638" s="65"/>
      <c r="GQ638" s="65"/>
      <c r="GR638" s="65"/>
      <c r="GS638" s="65"/>
      <c r="GT638" s="65"/>
      <c r="GU638" s="65"/>
      <c r="GV638" s="65"/>
      <c r="GW638" s="65"/>
      <c r="GX638" s="65"/>
      <c r="GY638" s="65"/>
      <c r="GZ638" s="65"/>
      <c r="HA638" s="65"/>
      <c r="HB638" s="65"/>
      <c r="HC638" s="65"/>
      <c r="HD638" s="65"/>
      <c r="HE638" s="65"/>
      <c r="HF638" s="65"/>
      <c r="HG638" s="65"/>
      <c r="HH638" s="65"/>
      <c r="HI638" s="65"/>
      <c r="HJ638" s="65"/>
      <c r="HK638" s="65"/>
      <c r="HL638" s="65"/>
      <c r="HM638" s="65"/>
      <c r="HN638" s="65"/>
      <c r="HO638" s="65"/>
      <c r="HP638" s="65"/>
      <c r="HQ638" s="65"/>
      <c r="HR638" s="65"/>
      <c r="HS638" s="65"/>
      <c r="HT638" s="65"/>
      <c r="HU638" s="65"/>
      <c r="HV638" s="65"/>
      <c r="HW638" s="65"/>
      <c r="HX638" s="65"/>
      <c r="HY638" s="65"/>
      <c r="HZ638" s="65"/>
      <c r="IA638" s="65"/>
      <c r="IB638" s="65"/>
      <c r="IC638" s="65"/>
      <c r="ID638" s="65"/>
      <c r="IE638" s="65"/>
      <c r="IF638" s="65"/>
      <c r="IG638" s="65"/>
      <c r="IH638" s="65"/>
      <c r="II638" s="65"/>
      <c r="IJ638" s="65"/>
      <c r="IK638" s="65"/>
      <c r="IL638" s="65"/>
      <c r="IM638" s="65"/>
      <c r="IN638" s="65"/>
      <c r="IO638" s="65"/>
      <c r="IP638" s="65"/>
      <c r="IQ638" s="65"/>
      <c r="IR638" s="65"/>
      <c r="IS638" s="65"/>
      <c r="IT638" s="65"/>
      <c r="IU638" s="65"/>
    </row>
    <row r="639" spans="1:255" s="42" customFormat="1" ht="13.5" customHeight="1">
      <c r="A639" s="12" t="s">
        <v>641</v>
      </c>
      <c r="B639" s="42" t="s">
        <v>640</v>
      </c>
      <c r="C639" s="59">
        <v>38000</v>
      </c>
      <c r="F639" s="66"/>
      <c r="G639" s="67"/>
      <c r="H639" s="65"/>
      <c r="I639" s="65"/>
      <c r="J639" s="65"/>
      <c r="K639" s="65"/>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c r="AQ639" s="65"/>
      <c r="AR639" s="65"/>
      <c r="AS639" s="65"/>
      <c r="AT639" s="65"/>
      <c r="AU639" s="65"/>
      <c r="AV639" s="65"/>
      <c r="AW639" s="65"/>
      <c r="AX639" s="65"/>
      <c r="AY639" s="65"/>
      <c r="AZ639" s="65"/>
      <c r="BA639" s="65"/>
      <c r="BB639" s="65"/>
      <c r="BC639" s="65"/>
      <c r="BD639" s="65"/>
      <c r="BE639" s="65"/>
      <c r="BF639" s="65"/>
      <c r="BG639" s="65"/>
      <c r="BH639" s="65"/>
      <c r="BI639" s="65"/>
      <c r="BJ639" s="65"/>
      <c r="BK639" s="65"/>
      <c r="BL639" s="65"/>
      <c r="BM639" s="65"/>
      <c r="BN639" s="65"/>
      <c r="BO639" s="65"/>
      <c r="BP639" s="65"/>
      <c r="BQ639" s="65"/>
      <c r="BR639" s="65"/>
      <c r="BS639" s="65"/>
      <c r="BT639" s="65"/>
      <c r="BU639" s="65"/>
      <c r="BV639" s="65"/>
      <c r="BW639" s="65"/>
      <c r="BX639" s="65"/>
      <c r="BY639" s="65"/>
      <c r="BZ639" s="65"/>
      <c r="CA639" s="65"/>
      <c r="CB639" s="65"/>
      <c r="CC639" s="65"/>
      <c r="CD639" s="65"/>
      <c r="CE639" s="65"/>
      <c r="CF639" s="65"/>
      <c r="CG639" s="65"/>
      <c r="CH639" s="65"/>
      <c r="CI639" s="65"/>
      <c r="CJ639" s="65"/>
      <c r="CK639" s="65"/>
      <c r="CL639" s="65"/>
      <c r="CM639" s="65"/>
      <c r="CN639" s="65"/>
      <c r="CO639" s="65"/>
      <c r="CP639" s="65"/>
      <c r="CQ639" s="65"/>
      <c r="CR639" s="65"/>
      <c r="CS639" s="65"/>
      <c r="CT639" s="65"/>
      <c r="CU639" s="65"/>
      <c r="CV639" s="65"/>
      <c r="CW639" s="65"/>
      <c r="CX639" s="65"/>
      <c r="CY639" s="65"/>
      <c r="CZ639" s="65"/>
      <c r="DA639" s="65"/>
      <c r="DB639" s="65"/>
      <c r="DC639" s="65"/>
      <c r="DD639" s="65"/>
      <c r="DE639" s="65"/>
      <c r="DF639" s="65"/>
      <c r="DG639" s="65"/>
      <c r="DH639" s="65"/>
      <c r="DI639" s="65"/>
      <c r="DJ639" s="65"/>
      <c r="DK639" s="65"/>
      <c r="DL639" s="65"/>
      <c r="DM639" s="65"/>
      <c r="DN639" s="65"/>
      <c r="DO639" s="65"/>
      <c r="DP639" s="65"/>
      <c r="DQ639" s="65"/>
      <c r="DR639" s="65"/>
      <c r="DS639" s="65"/>
      <c r="DT639" s="65"/>
      <c r="DU639" s="65"/>
      <c r="DV639" s="65"/>
      <c r="DW639" s="65"/>
      <c r="DX639" s="65"/>
      <c r="DY639" s="65"/>
      <c r="DZ639" s="65"/>
      <c r="EA639" s="65"/>
      <c r="EB639" s="65"/>
      <c r="EC639" s="65"/>
      <c r="ED639" s="65"/>
      <c r="EE639" s="65"/>
      <c r="EF639" s="65"/>
      <c r="EG639" s="65"/>
      <c r="EH639" s="65"/>
      <c r="EI639" s="65"/>
      <c r="EJ639" s="65"/>
      <c r="EK639" s="65"/>
      <c r="EL639" s="65"/>
      <c r="EM639" s="65"/>
      <c r="EN639" s="65"/>
      <c r="EO639" s="65"/>
      <c r="EP639" s="65"/>
      <c r="EQ639" s="65"/>
      <c r="ER639" s="65"/>
      <c r="ES639" s="65"/>
      <c r="ET639" s="65"/>
      <c r="EU639" s="65"/>
      <c r="EV639" s="65"/>
      <c r="EW639" s="65"/>
      <c r="EX639" s="65"/>
      <c r="EY639" s="65"/>
      <c r="EZ639" s="65"/>
      <c r="FA639" s="65"/>
      <c r="FB639" s="65"/>
      <c r="FC639" s="65"/>
      <c r="FD639" s="65"/>
      <c r="FE639" s="65"/>
      <c r="FF639" s="65"/>
      <c r="FG639" s="65"/>
      <c r="FH639" s="65"/>
      <c r="FI639" s="65"/>
      <c r="FJ639" s="65"/>
      <c r="FK639" s="65"/>
      <c r="FL639" s="65"/>
      <c r="FM639" s="65"/>
      <c r="FN639" s="65"/>
      <c r="FO639" s="65"/>
      <c r="FP639" s="65"/>
      <c r="FQ639" s="65"/>
      <c r="FR639" s="65"/>
      <c r="FS639" s="65"/>
      <c r="FT639" s="65"/>
      <c r="FU639" s="65"/>
      <c r="FV639" s="65"/>
      <c r="FW639" s="65"/>
      <c r="FX639" s="65"/>
      <c r="FY639" s="65"/>
      <c r="FZ639" s="65"/>
      <c r="GA639" s="65"/>
      <c r="GB639" s="65"/>
      <c r="GC639" s="65"/>
      <c r="GD639" s="65"/>
      <c r="GE639" s="65"/>
      <c r="GF639" s="65"/>
      <c r="GG639" s="65"/>
      <c r="GH639" s="65"/>
      <c r="GI639" s="65"/>
      <c r="GJ639" s="65"/>
      <c r="GK639" s="65"/>
      <c r="GL639" s="65"/>
      <c r="GM639" s="65"/>
      <c r="GN639" s="65"/>
      <c r="GO639" s="65"/>
      <c r="GP639" s="65"/>
      <c r="GQ639" s="65"/>
      <c r="GR639" s="65"/>
      <c r="GS639" s="65"/>
      <c r="GT639" s="65"/>
      <c r="GU639" s="65"/>
      <c r="GV639" s="65"/>
      <c r="GW639" s="65"/>
      <c r="GX639" s="65"/>
      <c r="GY639" s="65"/>
      <c r="GZ639" s="65"/>
      <c r="HA639" s="65"/>
      <c r="HB639" s="65"/>
      <c r="HC639" s="65"/>
      <c r="HD639" s="65"/>
      <c r="HE639" s="65"/>
      <c r="HF639" s="65"/>
      <c r="HG639" s="65"/>
      <c r="HH639" s="65"/>
      <c r="HI639" s="65"/>
      <c r="HJ639" s="65"/>
      <c r="HK639" s="65"/>
      <c r="HL639" s="65"/>
      <c r="HM639" s="65"/>
      <c r="HN639" s="65"/>
      <c r="HO639" s="65"/>
      <c r="HP639" s="65"/>
      <c r="HQ639" s="65"/>
      <c r="HR639" s="65"/>
      <c r="HS639" s="65"/>
      <c r="HT639" s="65"/>
      <c r="HU639" s="65"/>
      <c r="HV639" s="65"/>
      <c r="HW639" s="65"/>
      <c r="HX639" s="65"/>
      <c r="HY639" s="65"/>
      <c r="HZ639" s="65"/>
      <c r="IA639" s="65"/>
      <c r="IB639" s="65"/>
      <c r="IC639" s="65"/>
      <c r="ID639" s="65"/>
      <c r="IE639" s="65"/>
      <c r="IF639" s="65"/>
      <c r="IG639" s="65"/>
      <c r="IH639" s="65"/>
      <c r="II639" s="65"/>
      <c r="IJ639" s="65"/>
      <c r="IK639" s="65"/>
      <c r="IL639" s="65"/>
      <c r="IM639" s="65"/>
      <c r="IN639" s="65"/>
      <c r="IO639" s="65"/>
      <c r="IP639" s="65"/>
      <c r="IQ639" s="65"/>
      <c r="IR639" s="65"/>
      <c r="IS639" s="65"/>
      <c r="IT639" s="65"/>
      <c r="IU639" s="65"/>
    </row>
    <row r="640" spans="1:5" s="65" customFormat="1" ht="13.5">
      <c r="A640" s="71" t="s">
        <v>758</v>
      </c>
      <c r="B640" s="24" t="s">
        <v>753</v>
      </c>
      <c r="C640" s="24">
        <v>35000</v>
      </c>
      <c r="D640" s="77"/>
      <c r="E640" s="25"/>
    </row>
    <row r="641" spans="1:5" s="65" customFormat="1" ht="13.5">
      <c r="A641" s="71" t="s">
        <v>762</v>
      </c>
      <c r="B641" s="24" t="s">
        <v>763</v>
      </c>
      <c r="C641" s="24">
        <v>55000</v>
      </c>
      <c r="D641" s="77"/>
      <c r="E641" s="25"/>
    </row>
    <row r="642" spans="1:5" s="65" customFormat="1" ht="13.5">
      <c r="A642" s="71" t="s">
        <v>754</v>
      </c>
      <c r="B642" s="24" t="s">
        <v>755</v>
      </c>
      <c r="C642" s="24">
        <v>25000</v>
      </c>
      <c r="D642" s="77"/>
      <c r="E642" s="25"/>
    </row>
    <row r="643" spans="1:255" s="42" customFormat="1" ht="13.5" customHeight="1">
      <c r="A643" s="249" t="s">
        <v>124</v>
      </c>
      <c r="B643" s="502" t="s">
        <v>123</v>
      </c>
      <c r="C643" s="63">
        <f>SUM(C644:C645)</f>
        <v>99700</v>
      </c>
      <c r="G643" s="67"/>
      <c r="H643" s="65"/>
      <c r="I643" s="65"/>
      <c r="J643" s="65"/>
      <c r="K643" s="65"/>
      <c r="L643" s="65"/>
      <c r="M643" s="65"/>
      <c r="N643" s="65"/>
      <c r="O643" s="65"/>
      <c r="P643" s="65"/>
      <c r="Q643" s="65"/>
      <c r="R643" s="65"/>
      <c r="S643" s="65"/>
      <c r="T643" s="65"/>
      <c r="U643" s="65"/>
      <c r="V643" s="65"/>
      <c r="W643" s="65"/>
      <c r="X643" s="65"/>
      <c r="Y643" s="65"/>
      <c r="Z643" s="65"/>
      <c r="AA643" s="65"/>
      <c r="AB643" s="65"/>
      <c r="AC643" s="65"/>
      <c r="AD643" s="65"/>
      <c r="AE643" s="65"/>
      <c r="AF643" s="65"/>
      <c r="AG643" s="65"/>
      <c r="AH643" s="65"/>
      <c r="AI643" s="65"/>
      <c r="AJ643" s="65"/>
      <c r="AK643" s="65"/>
      <c r="AL643" s="65"/>
      <c r="AM643" s="65"/>
      <c r="AN643" s="65"/>
      <c r="AO643" s="65"/>
      <c r="AP643" s="65"/>
      <c r="AQ643" s="65"/>
      <c r="AR643" s="65"/>
      <c r="AS643" s="65"/>
      <c r="AT643" s="65"/>
      <c r="AU643" s="65"/>
      <c r="AV643" s="65"/>
      <c r="AW643" s="65"/>
      <c r="AX643" s="65"/>
      <c r="AY643" s="65"/>
      <c r="AZ643" s="65"/>
      <c r="BA643" s="65"/>
      <c r="BB643" s="65"/>
      <c r="BC643" s="65"/>
      <c r="BD643" s="65"/>
      <c r="BE643" s="65"/>
      <c r="BF643" s="65"/>
      <c r="BG643" s="65"/>
      <c r="BH643" s="65"/>
      <c r="BI643" s="65"/>
      <c r="BJ643" s="65"/>
      <c r="BK643" s="65"/>
      <c r="BL643" s="65"/>
      <c r="BM643" s="65"/>
      <c r="BN643" s="65"/>
      <c r="BO643" s="65"/>
      <c r="BP643" s="65"/>
      <c r="BQ643" s="65"/>
      <c r="BR643" s="65"/>
      <c r="BS643" s="65"/>
      <c r="BT643" s="65"/>
      <c r="BU643" s="65"/>
      <c r="BV643" s="65"/>
      <c r="BW643" s="65"/>
      <c r="BX643" s="65"/>
      <c r="BY643" s="65"/>
      <c r="BZ643" s="65"/>
      <c r="CA643" s="65"/>
      <c r="CB643" s="65"/>
      <c r="CC643" s="65"/>
      <c r="CD643" s="65"/>
      <c r="CE643" s="65"/>
      <c r="CF643" s="65"/>
      <c r="CG643" s="65"/>
      <c r="CH643" s="65"/>
      <c r="CI643" s="65"/>
      <c r="CJ643" s="65"/>
      <c r="CK643" s="65"/>
      <c r="CL643" s="65"/>
      <c r="CM643" s="65"/>
      <c r="CN643" s="65"/>
      <c r="CO643" s="65"/>
      <c r="CP643" s="65"/>
      <c r="CQ643" s="65"/>
      <c r="CR643" s="65"/>
      <c r="CS643" s="65"/>
      <c r="CT643" s="65"/>
      <c r="CU643" s="65"/>
      <c r="CV643" s="65"/>
      <c r="CW643" s="65"/>
      <c r="CX643" s="65"/>
      <c r="CY643" s="65"/>
      <c r="CZ643" s="65"/>
      <c r="DA643" s="65"/>
      <c r="DB643" s="65"/>
      <c r="DC643" s="65"/>
      <c r="DD643" s="65"/>
      <c r="DE643" s="65"/>
      <c r="DF643" s="65"/>
      <c r="DG643" s="65"/>
      <c r="DH643" s="65"/>
      <c r="DI643" s="65"/>
      <c r="DJ643" s="65"/>
      <c r="DK643" s="65"/>
      <c r="DL643" s="65"/>
      <c r="DM643" s="65"/>
      <c r="DN643" s="65"/>
      <c r="DO643" s="65"/>
      <c r="DP643" s="65"/>
      <c r="DQ643" s="65"/>
      <c r="DR643" s="65"/>
      <c r="DS643" s="65"/>
      <c r="DT643" s="65"/>
      <c r="DU643" s="65"/>
      <c r="DV643" s="65"/>
      <c r="DW643" s="65"/>
      <c r="DX643" s="65"/>
      <c r="DY643" s="65"/>
      <c r="DZ643" s="65"/>
      <c r="EA643" s="65"/>
      <c r="EB643" s="65"/>
      <c r="EC643" s="65"/>
      <c r="ED643" s="65"/>
      <c r="EE643" s="65"/>
      <c r="EF643" s="65"/>
      <c r="EG643" s="65"/>
      <c r="EH643" s="65"/>
      <c r="EI643" s="65"/>
      <c r="EJ643" s="65"/>
      <c r="EK643" s="65"/>
      <c r="EL643" s="65"/>
      <c r="EM643" s="65"/>
      <c r="EN643" s="65"/>
      <c r="EO643" s="65"/>
      <c r="EP643" s="65"/>
      <c r="EQ643" s="65"/>
      <c r="ER643" s="65"/>
      <c r="ES643" s="65"/>
      <c r="ET643" s="65"/>
      <c r="EU643" s="65"/>
      <c r="EV643" s="65"/>
      <c r="EW643" s="65"/>
      <c r="EX643" s="65"/>
      <c r="EY643" s="65"/>
      <c r="EZ643" s="65"/>
      <c r="FA643" s="65"/>
      <c r="FB643" s="65"/>
      <c r="FC643" s="65"/>
      <c r="FD643" s="65"/>
      <c r="FE643" s="65"/>
      <c r="FF643" s="65"/>
      <c r="FG643" s="65"/>
      <c r="FH643" s="65"/>
      <c r="FI643" s="65"/>
      <c r="FJ643" s="65"/>
      <c r="FK643" s="65"/>
      <c r="FL643" s="65"/>
      <c r="FM643" s="65"/>
      <c r="FN643" s="65"/>
      <c r="FO643" s="65"/>
      <c r="FP643" s="65"/>
      <c r="FQ643" s="65"/>
      <c r="FR643" s="65"/>
      <c r="FS643" s="65"/>
      <c r="FT643" s="65"/>
      <c r="FU643" s="65"/>
      <c r="FV643" s="65"/>
      <c r="FW643" s="65"/>
      <c r="FX643" s="65"/>
      <c r="FY643" s="65"/>
      <c r="FZ643" s="65"/>
      <c r="GA643" s="65"/>
      <c r="GB643" s="65"/>
      <c r="GC643" s="65"/>
      <c r="GD643" s="65"/>
      <c r="GE643" s="65"/>
      <c r="GF643" s="65"/>
      <c r="GG643" s="65"/>
      <c r="GH643" s="65"/>
      <c r="GI643" s="65"/>
      <c r="GJ643" s="65"/>
      <c r="GK643" s="65"/>
      <c r="GL643" s="65"/>
      <c r="GM643" s="65"/>
      <c r="GN643" s="65"/>
      <c r="GO643" s="65"/>
      <c r="GP643" s="65"/>
      <c r="GQ643" s="65"/>
      <c r="GR643" s="65"/>
      <c r="GS643" s="65"/>
      <c r="GT643" s="65"/>
      <c r="GU643" s="65"/>
      <c r="GV643" s="65"/>
      <c r="GW643" s="65"/>
      <c r="GX643" s="65"/>
      <c r="GY643" s="65"/>
      <c r="GZ643" s="65"/>
      <c r="HA643" s="65"/>
      <c r="HB643" s="65"/>
      <c r="HC643" s="65"/>
      <c r="HD643" s="65"/>
      <c r="HE643" s="65"/>
      <c r="HF643" s="65"/>
      <c r="HG643" s="65"/>
      <c r="HH643" s="65"/>
      <c r="HI643" s="65"/>
      <c r="HJ643" s="65"/>
      <c r="HK643" s="65"/>
      <c r="HL643" s="65"/>
      <c r="HM643" s="65"/>
      <c r="HN643" s="65"/>
      <c r="HO643" s="65"/>
      <c r="HP643" s="65"/>
      <c r="HQ643" s="65"/>
      <c r="HR643" s="65"/>
      <c r="HS643" s="65"/>
      <c r="HT643" s="65"/>
      <c r="HU643" s="65"/>
      <c r="HV643" s="65"/>
      <c r="HW643" s="65"/>
      <c r="HX643" s="65"/>
      <c r="HY643" s="65"/>
      <c r="HZ643" s="65"/>
      <c r="IA643" s="65"/>
      <c r="IB643" s="65"/>
      <c r="IC643" s="65"/>
      <c r="ID643" s="65"/>
      <c r="IE643" s="65"/>
      <c r="IF643" s="65"/>
      <c r="IG643" s="65"/>
      <c r="IH643" s="65"/>
      <c r="II643" s="65"/>
      <c r="IJ643" s="65"/>
      <c r="IK643" s="65"/>
      <c r="IL643" s="65"/>
      <c r="IM643" s="65"/>
      <c r="IN643" s="65"/>
      <c r="IO643" s="65"/>
      <c r="IP643" s="65"/>
      <c r="IQ643" s="65"/>
      <c r="IR643" s="65"/>
      <c r="IS643" s="65"/>
      <c r="IT643" s="65"/>
      <c r="IU643" s="65"/>
    </row>
    <row r="644" spans="1:255" s="42" customFormat="1" ht="13.5" customHeight="1">
      <c r="A644" s="12" t="s">
        <v>231</v>
      </c>
      <c r="B644" s="42" t="s">
        <v>230</v>
      </c>
      <c r="C644" s="59">
        <v>43000</v>
      </c>
      <c r="F644" s="66"/>
      <c r="G644" s="67"/>
      <c r="H644" s="65"/>
      <c r="I644" s="65"/>
      <c r="J644" s="65"/>
      <c r="K644" s="65"/>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c r="AQ644" s="65"/>
      <c r="AR644" s="65"/>
      <c r="AS644" s="65"/>
      <c r="AT644" s="65"/>
      <c r="AU644" s="65"/>
      <c r="AV644" s="65"/>
      <c r="AW644" s="65"/>
      <c r="AX644" s="65"/>
      <c r="AY644" s="65"/>
      <c r="AZ644" s="65"/>
      <c r="BA644" s="65"/>
      <c r="BB644" s="65"/>
      <c r="BC644" s="65"/>
      <c r="BD644" s="65"/>
      <c r="BE644" s="65"/>
      <c r="BF644" s="65"/>
      <c r="BG644" s="65"/>
      <c r="BH644" s="65"/>
      <c r="BI644" s="65"/>
      <c r="BJ644" s="65"/>
      <c r="BK644" s="65"/>
      <c r="BL644" s="65"/>
      <c r="BM644" s="65"/>
      <c r="BN644" s="65"/>
      <c r="BO644" s="65"/>
      <c r="BP644" s="65"/>
      <c r="BQ644" s="65"/>
      <c r="BR644" s="65"/>
      <c r="BS644" s="65"/>
      <c r="BT644" s="65"/>
      <c r="BU644" s="65"/>
      <c r="BV644" s="65"/>
      <c r="BW644" s="65"/>
      <c r="BX644" s="65"/>
      <c r="BY644" s="65"/>
      <c r="BZ644" s="65"/>
      <c r="CA644" s="65"/>
      <c r="CB644" s="65"/>
      <c r="CC644" s="65"/>
      <c r="CD644" s="65"/>
      <c r="CE644" s="65"/>
      <c r="CF644" s="65"/>
      <c r="CG644" s="65"/>
      <c r="CH644" s="65"/>
      <c r="CI644" s="65"/>
      <c r="CJ644" s="65"/>
      <c r="CK644" s="65"/>
      <c r="CL644" s="65"/>
      <c r="CM644" s="65"/>
      <c r="CN644" s="65"/>
      <c r="CO644" s="65"/>
      <c r="CP644" s="65"/>
      <c r="CQ644" s="65"/>
      <c r="CR644" s="65"/>
      <c r="CS644" s="65"/>
      <c r="CT644" s="65"/>
      <c r="CU644" s="65"/>
      <c r="CV644" s="65"/>
      <c r="CW644" s="65"/>
      <c r="CX644" s="65"/>
      <c r="CY644" s="65"/>
      <c r="CZ644" s="65"/>
      <c r="DA644" s="65"/>
      <c r="DB644" s="65"/>
      <c r="DC644" s="65"/>
      <c r="DD644" s="65"/>
      <c r="DE644" s="65"/>
      <c r="DF644" s="65"/>
      <c r="DG644" s="65"/>
      <c r="DH644" s="65"/>
      <c r="DI644" s="65"/>
      <c r="DJ644" s="65"/>
      <c r="DK644" s="65"/>
      <c r="DL644" s="65"/>
      <c r="DM644" s="65"/>
      <c r="DN644" s="65"/>
      <c r="DO644" s="65"/>
      <c r="DP644" s="65"/>
      <c r="DQ644" s="65"/>
      <c r="DR644" s="65"/>
      <c r="DS644" s="65"/>
      <c r="DT644" s="65"/>
      <c r="DU644" s="65"/>
      <c r="DV644" s="65"/>
      <c r="DW644" s="65"/>
      <c r="DX644" s="65"/>
      <c r="DY644" s="65"/>
      <c r="DZ644" s="65"/>
      <c r="EA644" s="65"/>
      <c r="EB644" s="65"/>
      <c r="EC644" s="65"/>
      <c r="ED644" s="65"/>
      <c r="EE644" s="65"/>
      <c r="EF644" s="65"/>
      <c r="EG644" s="65"/>
      <c r="EH644" s="65"/>
      <c r="EI644" s="65"/>
      <c r="EJ644" s="65"/>
      <c r="EK644" s="65"/>
      <c r="EL644" s="65"/>
      <c r="EM644" s="65"/>
      <c r="EN644" s="65"/>
      <c r="EO644" s="65"/>
      <c r="EP644" s="65"/>
      <c r="EQ644" s="65"/>
      <c r="ER644" s="65"/>
      <c r="ES644" s="65"/>
      <c r="ET644" s="65"/>
      <c r="EU644" s="65"/>
      <c r="EV644" s="65"/>
      <c r="EW644" s="65"/>
      <c r="EX644" s="65"/>
      <c r="EY644" s="65"/>
      <c r="EZ644" s="65"/>
      <c r="FA644" s="65"/>
      <c r="FB644" s="65"/>
      <c r="FC644" s="65"/>
      <c r="FD644" s="65"/>
      <c r="FE644" s="65"/>
      <c r="FF644" s="65"/>
      <c r="FG644" s="65"/>
      <c r="FH644" s="65"/>
      <c r="FI644" s="65"/>
      <c r="FJ644" s="65"/>
      <c r="FK644" s="65"/>
      <c r="FL644" s="65"/>
      <c r="FM644" s="65"/>
      <c r="FN644" s="65"/>
      <c r="FO644" s="65"/>
      <c r="FP644" s="65"/>
      <c r="FQ644" s="65"/>
      <c r="FR644" s="65"/>
      <c r="FS644" s="65"/>
      <c r="FT644" s="65"/>
      <c r="FU644" s="65"/>
      <c r="FV644" s="65"/>
      <c r="FW644" s="65"/>
      <c r="FX644" s="65"/>
      <c r="FY644" s="65"/>
      <c r="FZ644" s="65"/>
      <c r="GA644" s="65"/>
      <c r="GB644" s="65"/>
      <c r="GC644" s="65"/>
      <c r="GD644" s="65"/>
      <c r="GE644" s="65"/>
      <c r="GF644" s="65"/>
      <c r="GG644" s="65"/>
      <c r="GH644" s="65"/>
      <c r="GI644" s="65"/>
      <c r="GJ644" s="65"/>
      <c r="GK644" s="65"/>
      <c r="GL644" s="65"/>
      <c r="GM644" s="65"/>
      <c r="GN644" s="65"/>
      <c r="GO644" s="65"/>
      <c r="GP644" s="65"/>
      <c r="GQ644" s="65"/>
      <c r="GR644" s="65"/>
      <c r="GS644" s="65"/>
      <c r="GT644" s="65"/>
      <c r="GU644" s="65"/>
      <c r="GV644" s="65"/>
      <c r="GW644" s="65"/>
      <c r="GX644" s="65"/>
      <c r="GY644" s="65"/>
      <c r="GZ644" s="65"/>
      <c r="HA644" s="65"/>
      <c r="HB644" s="65"/>
      <c r="HC644" s="65"/>
      <c r="HD644" s="65"/>
      <c r="HE644" s="65"/>
      <c r="HF644" s="65"/>
      <c r="HG644" s="65"/>
      <c r="HH644" s="65"/>
      <c r="HI644" s="65"/>
      <c r="HJ644" s="65"/>
      <c r="HK644" s="65"/>
      <c r="HL644" s="65"/>
      <c r="HM644" s="65"/>
      <c r="HN644" s="65"/>
      <c r="HO644" s="65"/>
      <c r="HP644" s="65"/>
      <c r="HQ644" s="65"/>
      <c r="HR644" s="65"/>
      <c r="HS644" s="65"/>
      <c r="HT644" s="65"/>
      <c r="HU644" s="65"/>
      <c r="HV644" s="65"/>
      <c r="HW644" s="65"/>
      <c r="HX644" s="65"/>
      <c r="HY644" s="65"/>
      <c r="HZ644" s="65"/>
      <c r="IA644" s="65"/>
      <c r="IB644" s="65"/>
      <c r="IC644" s="65"/>
      <c r="ID644" s="65"/>
      <c r="IE644" s="65"/>
      <c r="IF644" s="65"/>
      <c r="IG644" s="65"/>
      <c r="IH644" s="65"/>
      <c r="II644" s="65"/>
      <c r="IJ644" s="65"/>
      <c r="IK644" s="65"/>
      <c r="IL644" s="65"/>
      <c r="IM644" s="65"/>
      <c r="IN644" s="65"/>
      <c r="IO644" s="65"/>
      <c r="IP644" s="65"/>
      <c r="IQ644" s="65"/>
      <c r="IR644" s="65"/>
      <c r="IS644" s="65"/>
      <c r="IT644" s="65"/>
      <c r="IU644" s="65"/>
    </row>
    <row r="645" spans="1:255" s="42" customFormat="1" ht="13.5" customHeight="1">
      <c r="A645" s="12" t="s">
        <v>93</v>
      </c>
      <c r="B645" s="42" t="s">
        <v>72</v>
      </c>
      <c r="C645" s="59">
        <v>56700</v>
      </c>
      <c r="E645" s="67"/>
      <c r="F645" s="194"/>
      <c r="G645" s="65"/>
      <c r="H645" s="65"/>
      <c r="I645" s="65"/>
      <c r="J645" s="65"/>
      <c r="K645" s="65"/>
      <c r="L645" s="65"/>
      <c r="M645" s="65"/>
      <c r="N645" s="65"/>
      <c r="O645" s="65"/>
      <c r="P645" s="65"/>
      <c r="Q645" s="65"/>
      <c r="R645" s="65"/>
      <c r="S645" s="65"/>
      <c r="T645" s="65"/>
      <c r="U645" s="65"/>
      <c r="V645" s="65"/>
      <c r="W645" s="65"/>
      <c r="X645" s="65"/>
      <c r="Y645" s="65"/>
      <c r="Z645" s="65"/>
      <c r="AA645" s="65"/>
      <c r="AB645" s="65"/>
      <c r="AC645" s="65"/>
      <c r="AD645" s="65"/>
      <c r="AE645" s="65"/>
      <c r="AF645" s="65"/>
      <c r="AG645" s="65"/>
      <c r="AH645" s="65"/>
      <c r="AI645" s="65"/>
      <c r="AJ645" s="65"/>
      <c r="AK645" s="65"/>
      <c r="AL645" s="65"/>
      <c r="AM645" s="65"/>
      <c r="AN645" s="65"/>
      <c r="AO645" s="65"/>
      <c r="AP645" s="65"/>
      <c r="AQ645" s="65"/>
      <c r="AR645" s="65"/>
      <c r="AS645" s="65"/>
      <c r="AT645" s="65"/>
      <c r="AU645" s="65"/>
      <c r="AV645" s="65"/>
      <c r="AW645" s="65"/>
      <c r="AX645" s="65"/>
      <c r="AY645" s="65"/>
      <c r="AZ645" s="65"/>
      <c r="BA645" s="65"/>
      <c r="BB645" s="65"/>
      <c r="BC645" s="65"/>
      <c r="BD645" s="65"/>
      <c r="BE645" s="65"/>
      <c r="BF645" s="65"/>
      <c r="BG645" s="65"/>
      <c r="BH645" s="65"/>
      <c r="BI645" s="65"/>
      <c r="BJ645" s="65"/>
      <c r="BK645" s="65"/>
      <c r="BL645" s="65"/>
      <c r="BM645" s="65"/>
      <c r="BN645" s="65"/>
      <c r="BO645" s="65"/>
      <c r="BP645" s="65"/>
      <c r="BQ645" s="65"/>
      <c r="BR645" s="65"/>
      <c r="BS645" s="65"/>
      <c r="BT645" s="65"/>
      <c r="BU645" s="65"/>
      <c r="BV645" s="65"/>
      <c r="BW645" s="65"/>
      <c r="BX645" s="65"/>
      <c r="BY645" s="65"/>
      <c r="BZ645" s="65"/>
      <c r="CA645" s="65"/>
      <c r="CB645" s="65"/>
      <c r="CC645" s="65"/>
      <c r="CD645" s="65"/>
      <c r="CE645" s="65"/>
      <c r="CF645" s="65"/>
      <c r="CG645" s="65"/>
      <c r="CH645" s="65"/>
      <c r="CI645" s="65"/>
      <c r="CJ645" s="65"/>
      <c r="CK645" s="65"/>
      <c r="CL645" s="65"/>
      <c r="CM645" s="65"/>
      <c r="CN645" s="65"/>
      <c r="CO645" s="65"/>
      <c r="CP645" s="65"/>
      <c r="CQ645" s="65"/>
      <c r="CR645" s="65"/>
      <c r="CS645" s="65"/>
      <c r="CT645" s="65"/>
      <c r="CU645" s="65"/>
      <c r="CV645" s="65"/>
      <c r="CW645" s="65"/>
      <c r="CX645" s="65"/>
      <c r="CY645" s="65"/>
      <c r="CZ645" s="65"/>
      <c r="DA645" s="65"/>
      <c r="DB645" s="65"/>
      <c r="DC645" s="65"/>
      <c r="DD645" s="65"/>
      <c r="DE645" s="65"/>
      <c r="DF645" s="65"/>
      <c r="DG645" s="65"/>
      <c r="DH645" s="65"/>
      <c r="DI645" s="65"/>
      <c r="DJ645" s="65"/>
      <c r="DK645" s="65"/>
      <c r="DL645" s="65"/>
      <c r="DM645" s="65"/>
      <c r="DN645" s="65"/>
      <c r="DO645" s="65"/>
      <c r="DP645" s="65"/>
      <c r="DQ645" s="65"/>
      <c r="DR645" s="65"/>
      <c r="DS645" s="65"/>
      <c r="DT645" s="65"/>
      <c r="DU645" s="65"/>
      <c r="DV645" s="65"/>
      <c r="DW645" s="65"/>
      <c r="DX645" s="65"/>
      <c r="DY645" s="65"/>
      <c r="DZ645" s="65"/>
      <c r="EA645" s="65"/>
      <c r="EB645" s="65"/>
      <c r="EC645" s="65"/>
      <c r="ED645" s="65"/>
      <c r="EE645" s="65"/>
      <c r="EF645" s="65"/>
      <c r="EG645" s="65"/>
      <c r="EH645" s="65"/>
      <c r="EI645" s="65"/>
      <c r="EJ645" s="65"/>
      <c r="EK645" s="65"/>
      <c r="EL645" s="65"/>
      <c r="EM645" s="65"/>
      <c r="EN645" s="65"/>
      <c r="EO645" s="65"/>
      <c r="EP645" s="65"/>
      <c r="EQ645" s="65"/>
      <c r="ER645" s="65"/>
      <c r="ES645" s="65"/>
      <c r="ET645" s="65"/>
      <c r="EU645" s="65"/>
      <c r="EV645" s="65"/>
      <c r="EW645" s="65"/>
      <c r="EX645" s="65"/>
      <c r="EY645" s="65"/>
      <c r="EZ645" s="65"/>
      <c r="FA645" s="65"/>
      <c r="FB645" s="65"/>
      <c r="FC645" s="65"/>
      <c r="FD645" s="65"/>
      <c r="FE645" s="65"/>
      <c r="FF645" s="65"/>
      <c r="FG645" s="65"/>
      <c r="FH645" s="65"/>
      <c r="FI645" s="65"/>
      <c r="FJ645" s="65"/>
      <c r="FK645" s="65"/>
      <c r="FL645" s="65"/>
      <c r="FM645" s="65"/>
      <c r="FN645" s="65"/>
      <c r="FO645" s="65"/>
      <c r="FP645" s="65"/>
      <c r="FQ645" s="65"/>
      <c r="FR645" s="65"/>
      <c r="FS645" s="65"/>
      <c r="FT645" s="65"/>
      <c r="FU645" s="65"/>
      <c r="FV645" s="65"/>
      <c r="FW645" s="65"/>
      <c r="FX645" s="65"/>
      <c r="FY645" s="65"/>
      <c r="FZ645" s="65"/>
      <c r="GA645" s="65"/>
      <c r="GB645" s="65"/>
      <c r="GC645" s="65"/>
      <c r="GD645" s="65"/>
      <c r="GE645" s="65"/>
      <c r="GF645" s="65"/>
      <c r="GG645" s="65"/>
      <c r="GH645" s="65"/>
      <c r="GI645" s="65"/>
      <c r="GJ645" s="65"/>
      <c r="GK645" s="65"/>
      <c r="GL645" s="65"/>
      <c r="GM645" s="65"/>
      <c r="GN645" s="65"/>
      <c r="GO645" s="65"/>
      <c r="GP645" s="65"/>
      <c r="GQ645" s="65"/>
      <c r="GR645" s="65"/>
      <c r="GS645" s="65"/>
      <c r="GT645" s="65"/>
      <c r="GU645" s="65"/>
      <c r="GV645" s="65"/>
      <c r="GW645" s="65"/>
      <c r="GX645" s="65"/>
      <c r="GY645" s="65"/>
      <c r="GZ645" s="65"/>
      <c r="HA645" s="65"/>
      <c r="HB645" s="65"/>
      <c r="HC645" s="65"/>
      <c r="HD645" s="65"/>
      <c r="HE645" s="65"/>
      <c r="HF645" s="65"/>
      <c r="HG645" s="65"/>
      <c r="HH645" s="65"/>
      <c r="HI645" s="65"/>
      <c r="HJ645" s="65"/>
      <c r="HK645" s="65"/>
      <c r="HL645" s="65"/>
      <c r="HM645" s="65"/>
      <c r="HN645" s="65"/>
      <c r="HO645" s="65"/>
      <c r="HP645" s="65"/>
      <c r="HQ645" s="65"/>
      <c r="HR645" s="65"/>
      <c r="HS645" s="65"/>
      <c r="HT645" s="65"/>
      <c r="HU645" s="65"/>
      <c r="HV645" s="65"/>
      <c r="HW645" s="65"/>
      <c r="HX645" s="65"/>
      <c r="HY645" s="65"/>
      <c r="HZ645" s="65"/>
      <c r="IA645" s="65"/>
      <c r="IB645" s="65"/>
      <c r="IC645" s="65"/>
      <c r="ID645" s="65"/>
      <c r="IE645" s="65"/>
      <c r="IF645" s="65"/>
      <c r="IG645" s="65"/>
      <c r="IH645" s="65"/>
      <c r="II645" s="65"/>
      <c r="IJ645" s="65"/>
      <c r="IK645" s="65"/>
      <c r="IL645" s="65"/>
      <c r="IM645" s="65"/>
      <c r="IN645" s="65"/>
      <c r="IO645" s="65"/>
      <c r="IP645" s="65"/>
      <c r="IQ645" s="65"/>
      <c r="IR645" s="65"/>
      <c r="IS645" s="65"/>
      <c r="IT645" s="65"/>
      <c r="IU645" s="65"/>
    </row>
    <row r="646" spans="1:255" s="42" customFormat="1" ht="13.5" customHeight="1">
      <c r="A646" s="249" t="s">
        <v>150</v>
      </c>
      <c r="B646" s="25" t="s">
        <v>133</v>
      </c>
      <c r="C646" s="63">
        <f>SUM(C647:C650)</f>
        <v>643970</v>
      </c>
      <c r="D646" s="67"/>
      <c r="E646" s="67"/>
      <c r="F646" s="194"/>
      <c r="G646" s="65"/>
      <c r="H646" s="65"/>
      <c r="I646" s="65"/>
      <c r="J646" s="65"/>
      <c r="K646" s="65"/>
      <c r="L646" s="65"/>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c r="AQ646" s="65"/>
      <c r="AR646" s="65"/>
      <c r="AS646" s="65"/>
      <c r="AT646" s="65"/>
      <c r="AU646" s="65"/>
      <c r="AV646" s="65"/>
      <c r="AW646" s="65"/>
      <c r="AX646" s="65"/>
      <c r="AY646" s="65"/>
      <c r="AZ646" s="65"/>
      <c r="BA646" s="65"/>
      <c r="BB646" s="65"/>
      <c r="BC646" s="65"/>
      <c r="BD646" s="65"/>
      <c r="BE646" s="65"/>
      <c r="BF646" s="65"/>
      <c r="BG646" s="65"/>
      <c r="BH646" s="65"/>
      <c r="BI646" s="65"/>
      <c r="BJ646" s="65"/>
      <c r="BK646" s="65"/>
      <c r="BL646" s="65"/>
      <c r="BM646" s="65"/>
      <c r="BN646" s="65"/>
      <c r="BO646" s="65"/>
      <c r="BP646" s="65"/>
      <c r="BQ646" s="65"/>
      <c r="BR646" s="65"/>
      <c r="BS646" s="65"/>
      <c r="BT646" s="65"/>
      <c r="BU646" s="65"/>
      <c r="BV646" s="65"/>
      <c r="BW646" s="65"/>
      <c r="BX646" s="65"/>
      <c r="BY646" s="65"/>
      <c r="BZ646" s="65"/>
      <c r="CA646" s="65"/>
      <c r="CB646" s="65"/>
      <c r="CC646" s="65"/>
      <c r="CD646" s="65"/>
      <c r="CE646" s="65"/>
      <c r="CF646" s="65"/>
      <c r="CG646" s="65"/>
      <c r="CH646" s="65"/>
      <c r="CI646" s="65"/>
      <c r="CJ646" s="65"/>
      <c r="CK646" s="65"/>
      <c r="CL646" s="65"/>
      <c r="CM646" s="65"/>
      <c r="CN646" s="65"/>
      <c r="CO646" s="65"/>
      <c r="CP646" s="65"/>
      <c r="CQ646" s="65"/>
      <c r="CR646" s="65"/>
      <c r="CS646" s="65"/>
      <c r="CT646" s="65"/>
      <c r="CU646" s="65"/>
      <c r="CV646" s="65"/>
      <c r="CW646" s="65"/>
      <c r="CX646" s="65"/>
      <c r="CY646" s="65"/>
      <c r="CZ646" s="65"/>
      <c r="DA646" s="65"/>
      <c r="DB646" s="65"/>
      <c r="DC646" s="65"/>
      <c r="DD646" s="65"/>
      <c r="DE646" s="65"/>
      <c r="DF646" s="65"/>
      <c r="DG646" s="65"/>
      <c r="DH646" s="65"/>
      <c r="DI646" s="65"/>
      <c r="DJ646" s="65"/>
      <c r="DK646" s="65"/>
      <c r="DL646" s="65"/>
      <c r="DM646" s="65"/>
      <c r="DN646" s="65"/>
      <c r="DO646" s="65"/>
      <c r="DP646" s="65"/>
      <c r="DQ646" s="65"/>
      <c r="DR646" s="65"/>
      <c r="DS646" s="65"/>
      <c r="DT646" s="65"/>
      <c r="DU646" s="65"/>
      <c r="DV646" s="65"/>
      <c r="DW646" s="65"/>
      <c r="DX646" s="65"/>
      <c r="DY646" s="65"/>
      <c r="DZ646" s="65"/>
      <c r="EA646" s="65"/>
      <c r="EB646" s="65"/>
      <c r="EC646" s="65"/>
      <c r="ED646" s="65"/>
      <c r="EE646" s="65"/>
      <c r="EF646" s="65"/>
      <c r="EG646" s="65"/>
      <c r="EH646" s="65"/>
      <c r="EI646" s="65"/>
      <c r="EJ646" s="65"/>
      <c r="EK646" s="65"/>
      <c r="EL646" s="65"/>
      <c r="EM646" s="65"/>
      <c r="EN646" s="65"/>
      <c r="EO646" s="65"/>
      <c r="EP646" s="65"/>
      <c r="EQ646" s="65"/>
      <c r="ER646" s="65"/>
      <c r="ES646" s="65"/>
      <c r="ET646" s="65"/>
      <c r="EU646" s="65"/>
      <c r="EV646" s="65"/>
      <c r="EW646" s="65"/>
      <c r="EX646" s="65"/>
      <c r="EY646" s="65"/>
      <c r="EZ646" s="65"/>
      <c r="FA646" s="65"/>
      <c r="FB646" s="65"/>
      <c r="FC646" s="65"/>
      <c r="FD646" s="65"/>
      <c r="FE646" s="65"/>
      <c r="FF646" s="65"/>
      <c r="FG646" s="65"/>
      <c r="FH646" s="65"/>
      <c r="FI646" s="65"/>
      <c r="FJ646" s="65"/>
      <c r="FK646" s="65"/>
      <c r="FL646" s="65"/>
      <c r="FM646" s="65"/>
      <c r="FN646" s="65"/>
      <c r="FO646" s="65"/>
      <c r="FP646" s="65"/>
      <c r="FQ646" s="65"/>
      <c r="FR646" s="65"/>
      <c r="FS646" s="65"/>
      <c r="FT646" s="65"/>
      <c r="FU646" s="65"/>
      <c r="FV646" s="65"/>
      <c r="FW646" s="65"/>
      <c r="FX646" s="65"/>
      <c r="FY646" s="65"/>
      <c r="FZ646" s="65"/>
      <c r="GA646" s="65"/>
      <c r="GB646" s="65"/>
      <c r="GC646" s="65"/>
      <c r="GD646" s="65"/>
      <c r="GE646" s="65"/>
      <c r="GF646" s="65"/>
      <c r="GG646" s="65"/>
      <c r="GH646" s="65"/>
      <c r="GI646" s="65"/>
      <c r="GJ646" s="65"/>
      <c r="GK646" s="65"/>
      <c r="GL646" s="65"/>
      <c r="GM646" s="65"/>
      <c r="GN646" s="65"/>
      <c r="GO646" s="65"/>
      <c r="GP646" s="65"/>
      <c r="GQ646" s="65"/>
      <c r="GR646" s="65"/>
      <c r="GS646" s="65"/>
      <c r="GT646" s="65"/>
      <c r="GU646" s="65"/>
      <c r="GV646" s="65"/>
      <c r="GW646" s="65"/>
      <c r="GX646" s="65"/>
      <c r="GY646" s="65"/>
      <c r="GZ646" s="65"/>
      <c r="HA646" s="65"/>
      <c r="HB646" s="65"/>
      <c r="HC646" s="65"/>
      <c r="HD646" s="65"/>
      <c r="HE646" s="65"/>
      <c r="HF646" s="65"/>
      <c r="HG646" s="65"/>
      <c r="HH646" s="65"/>
      <c r="HI646" s="65"/>
      <c r="HJ646" s="65"/>
      <c r="HK646" s="65"/>
      <c r="HL646" s="65"/>
      <c r="HM646" s="65"/>
      <c r="HN646" s="65"/>
      <c r="HO646" s="65"/>
      <c r="HP646" s="65"/>
      <c r="HQ646" s="65"/>
      <c r="HR646" s="65"/>
      <c r="HS646" s="65"/>
      <c r="HT646" s="65"/>
      <c r="HU646" s="65"/>
      <c r="HV646" s="65"/>
      <c r="HW646" s="65"/>
      <c r="HX646" s="65"/>
      <c r="HY646" s="65"/>
      <c r="HZ646" s="65"/>
      <c r="IA646" s="65"/>
      <c r="IB646" s="65"/>
      <c r="IC646" s="65"/>
      <c r="ID646" s="65"/>
      <c r="IE646" s="65"/>
      <c r="IF646" s="65"/>
      <c r="IG646" s="65"/>
      <c r="IH646" s="65"/>
      <c r="II646" s="65"/>
      <c r="IJ646" s="65"/>
      <c r="IK646" s="65"/>
      <c r="IL646" s="65"/>
      <c r="IM646" s="65"/>
      <c r="IN646" s="65"/>
      <c r="IO646" s="65"/>
      <c r="IP646" s="65"/>
      <c r="IQ646" s="65"/>
      <c r="IR646" s="65"/>
      <c r="IS646" s="65"/>
      <c r="IT646" s="65"/>
      <c r="IU646" s="65"/>
    </row>
    <row r="647" spans="1:6" s="65" customFormat="1" ht="13.5">
      <c r="A647" s="12" t="s">
        <v>151</v>
      </c>
      <c r="B647" s="42" t="s">
        <v>65</v>
      </c>
      <c r="C647" s="59">
        <v>66720</v>
      </c>
      <c r="D647" s="66"/>
      <c r="E647" s="67"/>
      <c r="F647" s="194"/>
    </row>
    <row r="648" spans="1:6" s="65" customFormat="1" ht="13.5">
      <c r="A648" s="12" t="s">
        <v>152</v>
      </c>
      <c r="B648" s="42" t="s">
        <v>70</v>
      </c>
      <c r="C648" s="59">
        <v>63250</v>
      </c>
      <c r="D648" s="67"/>
      <c r="E648" s="67"/>
      <c r="F648" s="194"/>
    </row>
    <row r="649" spans="1:6" s="65" customFormat="1" ht="13.5">
      <c r="A649" s="12" t="s">
        <v>153</v>
      </c>
      <c r="B649" s="42" t="s">
        <v>125</v>
      </c>
      <c r="C649" s="59">
        <v>60000</v>
      </c>
      <c r="D649" s="66"/>
      <c r="E649" s="67"/>
      <c r="F649" s="194"/>
    </row>
    <row r="650" spans="1:7" s="8" customFormat="1" ht="13.5" customHeight="1">
      <c r="A650" s="12" t="s">
        <v>643</v>
      </c>
      <c r="B650" s="42" t="s">
        <v>642</v>
      </c>
      <c r="C650" s="24">
        <v>454000</v>
      </c>
      <c r="F650" s="100"/>
      <c r="G650" s="9"/>
    </row>
    <row r="651" spans="1:6" s="65" customFormat="1" ht="14.25" thickBot="1">
      <c r="A651" s="12"/>
      <c r="B651" s="42"/>
      <c r="C651" s="59"/>
      <c r="D651" s="66"/>
      <c r="E651" s="67"/>
      <c r="F651" s="194"/>
    </row>
    <row r="652" spans="1:6" s="65" customFormat="1" ht="14.25" thickBot="1">
      <c r="A652" s="1015" t="s">
        <v>3</v>
      </c>
      <c r="B652" s="1016"/>
      <c r="C652" s="635">
        <f>C653+C656+C660+C663+C665</f>
        <v>18564200</v>
      </c>
      <c r="D652" s="67"/>
      <c r="E652" s="67"/>
      <c r="F652" s="194"/>
    </row>
    <row r="653" spans="1:6" s="225" customFormat="1" ht="13.5">
      <c r="A653" s="62" t="s">
        <v>110</v>
      </c>
      <c r="B653" s="281" t="s">
        <v>111</v>
      </c>
      <c r="C653" s="509">
        <f>SUM(C654:C655)</f>
        <v>2340960</v>
      </c>
      <c r="D653" s="94"/>
      <c r="E653" s="94"/>
      <c r="F653" s="98"/>
    </row>
    <row r="654" spans="1:255" s="55" customFormat="1" ht="13.5">
      <c r="A654" s="58" t="s">
        <v>159</v>
      </c>
      <c r="B654" s="100" t="s">
        <v>250</v>
      </c>
      <c r="C654" s="59">
        <v>1504250</v>
      </c>
      <c r="D654" s="66"/>
      <c r="E654" s="67"/>
      <c r="F654" s="194"/>
      <c r="G654" s="65"/>
      <c r="H654" s="65"/>
      <c r="I654" s="65"/>
      <c r="J654" s="65"/>
      <c r="K654" s="65"/>
      <c r="L654" s="65"/>
      <c r="M654" s="65"/>
      <c r="N654" s="65"/>
      <c r="O654" s="65"/>
      <c r="P654" s="65"/>
      <c r="Q654" s="65"/>
      <c r="R654" s="65"/>
      <c r="S654" s="65"/>
      <c r="T654" s="65"/>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c r="AQ654" s="65"/>
      <c r="AR654" s="65"/>
      <c r="AS654" s="65"/>
      <c r="AT654" s="65"/>
      <c r="AU654" s="65"/>
      <c r="AV654" s="65"/>
      <c r="AW654" s="65"/>
      <c r="AX654" s="65"/>
      <c r="AY654" s="65"/>
      <c r="AZ654" s="65"/>
      <c r="BA654" s="65"/>
      <c r="BB654" s="65"/>
      <c r="BC654" s="65"/>
      <c r="BD654" s="65"/>
      <c r="BE654" s="65"/>
      <c r="BF654" s="65"/>
      <c r="BG654" s="65"/>
      <c r="BH654" s="65"/>
      <c r="BI654" s="65"/>
      <c r="BJ654" s="65"/>
      <c r="BK654" s="65"/>
      <c r="BL654" s="65"/>
      <c r="BM654" s="65"/>
      <c r="BN654" s="65"/>
      <c r="BO654" s="65"/>
      <c r="BP654" s="65"/>
      <c r="BQ654" s="65"/>
      <c r="BR654" s="65"/>
      <c r="BS654" s="65"/>
      <c r="BT654" s="65"/>
      <c r="BU654" s="65"/>
      <c r="BV654" s="65"/>
      <c r="BW654" s="65"/>
      <c r="BX654" s="65"/>
      <c r="BY654" s="65"/>
      <c r="BZ654" s="65"/>
      <c r="CA654" s="65"/>
      <c r="CB654" s="65"/>
      <c r="CC654" s="65"/>
      <c r="CD654" s="65"/>
      <c r="CE654" s="65"/>
      <c r="CF654" s="65"/>
      <c r="CG654" s="65"/>
      <c r="CH654" s="65"/>
      <c r="CI654" s="65"/>
      <c r="CJ654" s="65"/>
      <c r="CK654" s="65"/>
      <c r="CL654" s="65"/>
      <c r="CM654" s="65"/>
      <c r="CN654" s="65"/>
      <c r="CO654" s="65"/>
      <c r="CP654" s="65"/>
      <c r="CQ654" s="65"/>
      <c r="CR654" s="65"/>
      <c r="CS654" s="65"/>
      <c r="CT654" s="65"/>
      <c r="CU654" s="65"/>
      <c r="CV654" s="65"/>
      <c r="CW654" s="65"/>
      <c r="CX654" s="65"/>
      <c r="CY654" s="65"/>
      <c r="CZ654" s="65"/>
      <c r="DA654" s="65"/>
      <c r="DB654" s="65"/>
      <c r="DC654" s="65"/>
      <c r="DD654" s="65"/>
      <c r="DE654" s="65"/>
      <c r="DF654" s="65"/>
      <c r="DG654" s="65"/>
      <c r="DH654" s="65"/>
      <c r="DI654" s="65"/>
      <c r="DJ654" s="65"/>
      <c r="DK654" s="65"/>
      <c r="DL654" s="65"/>
      <c r="DM654" s="65"/>
      <c r="DN654" s="65"/>
      <c r="DO654" s="65"/>
      <c r="DP654" s="65"/>
      <c r="DQ654" s="65"/>
      <c r="DR654" s="65"/>
      <c r="DS654" s="65"/>
      <c r="DT654" s="65"/>
      <c r="DU654" s="65"/>
      <c r="DV654" s="65"/>
      <c r="DW654" s="65"/>
      <c r="DX654" s="65"/>
      <c r="DY654" s="65"/>
      <c r="DZ654" s="65"/>
      <c r="EA654" s="65"/>
      <c r="EB654" s="65"/>
      <c r="EC654" s="65"/>
      <c r="ED654" s="65"/>
      <c r="EE654" s="65"/>
      <c r="EF654" s="65"/>
      <c r="EG654" s="65"/>
      <c r="EH654" s="65"/>
      <c r="EI654" s="65"/>
      <c r="EJ654" s="65"/>
      <c r="EK654" s="65"/>
      <c r="EL654" s="65"/>
      <c r="EM654" s="65"/>
      <c r="EN654" s="65"/>
      <c r="EO654" s="65"/>
      <c r="EP654" s="65"/>
      <c r="EQ654" s="65"/>
      <c r="ER654" s="65"/>
      <c r="ES654" s="65"/>
      <c r="ET654" s="65"/>
      <c r="EU654" s="65"/>
      <c r="EV654" s="65"/>
      <c r="EW654" s="65"/>
      <c r="EX654" s="65"/>
      <c r="EY654" s="65"/>
      <c r="EZ654" s="65"/>
      <c r="FA654" s="65"/>
      <c r="FB654" s="65"/>
      <c r="FC654" s="65"/>
      <c r="FD654" s="65"/>
      <c r="FE654" s="65"/>
      <c r="FF654" s="65"/>
      <c r="FG654" s="65"/>
      <c r="FH654" s="65"/>
      <c r="FI654" s="65"/>
      <c r="FJ654" s="65"/>
      <c r="FK654" s="65"/>
      <c r="FL654" s="65"/>
      <c r="FM654" s="65"/>
      <c r="FN654" s="65"/>
      <c r="FO654" s="65"/>
      <c r="FP654" s="65"/>
      <c r="FQ654" s="65"/>
      <c r="FR654" s="65"/>
      <c r="FS654" s="65"/>
      <c r="FT654" s="65"/>
      <c r="FU654" s="65"/>
      <c r="FV654" s="65"/>
      <c r="FW654" s="65"/>
      <c r="FX654" s="65"/>
      <c r="FY654" s="65"/>
      <c r="FZ654" s="65"/>
      <c r="GA654" s="65"/>
      <c r="GB654" s="65"/>
      <c r="GC654" s="65"/>
      <c r="GD654" s="65"/>
      <c r="GE654" s="65"/>
      <c r="GF654" s="65"/>
      <c r="GG654" s="65"/>
      <c r="GH654" s="65"/>
      <c r="GI654" s="65"/>
      <c r="GJ654" s="65"/>
      <c r="GK654" s="65"/>
      <c r="GL654" s="65"/>
      <c r="GM654" s="65"/>
      <c r="GN654" s="65"/>
      <c r="GO654" s="65"/>
      <c r="GP654" s="65"/>
      <c r="GQ654" s="65"/>
      <c r="GR654" s="65"/>
      <c r="GS654" s="65"/>
      <c r="GT654" s="65"/>
      <c r="GU654" s="65"/>
      <c r="GV654" s="65"/>
      <c r="GW654" s="65"/>
      <c r="GX654" s="65"/>
      <c r="GY654" s="65"/>
      <c r="GZ654" s="65"/>
      <c r="HA654" s="65"/>
      <c r="HB654" s="65"/>
      <c r="HC654" s="65"/>
      <c r="HD654" s="65"/>
      <c r="HE654" s="65"/>
      <c r="HF654" s="65"/>
      <c r="HG654" s="65"/>
      <c r="HH654" s="65"/>
      <c r="HI654" s="65"/>
      <c r="HJ654" s="65"/>
      <c r="HK654" s="65"/>
      <c r="HL654" s="65"/>
      <c r="HM654" s="65"/>
      <c r="HN654" s="65"/>
      <c r="HO654" s="65"/>
      <c r="HP654" s="65"/>
      <c r="HQ654" s="65"/>
      <c r="HR654" s="65"/>
      <c r="HS654" s="65"/>
      <c r="HT654" s="65"/>
      <c r="HU654" s="65"/>
      <c r="HV654" s="65"/>
      <c r="HW654" s="65"/>
      <c r="HX654" s="65"/>
      <c r="HY654" s="65"/>
      <c r="HZ654" s="65"/>
      <c r="IA654" s="65"/>
      <c r="IB654" s="65"/>
      <c r="IC654" s="65"/>
      <c r="ID654" s="65"/>
      <c r="IE654" s="65"/>
      <c r="IF654" s="65"/>
      <c r="IG654" s="65"/>
      <c r="IH654" s="65"/>
      <c r="II654" s="65"/>
      <c r="IJ654" s="65"/>
      <c r="IK654" s="65"/>
      <c r="IL654" s="65"/>
      <c r="IM654" s="65"/>
      <c r="IN654" s="65"/>
      <c r="IO654" s="65"/>
      <c r="IP654" s="65"/>
      <c r="IQ654" s="65"/>
      <c r="IR654" s="65"/>
      <c r="IS654" s="65"/>
      <c r="IT654" s="65"/>
      <c r="IU654" s="65"/>
    </row>
    <row r="655" spans="1:6" s="55" customFormat="1" ht="13.5">
      <c r="A655" s="58" t="s">
        <v>52</v>
      </c>
      <c r="B655" s="42" t="s">
        <v>185</v>
      </c>
      <c r="C655" s="59">
        <v>836710</v>
      </c>
      <c r="D655" s="59"/>
      <c r="E655" s="56"/>
      <c r="F655" s="98"/>
    </row>
    <row r="656" spans="1:8" s="8" customFormat="1" ht="13.5" customHeight="1">
      <c r="A656" s="62" t="s">
        <v>120</v>
      </c>
      <c r="B656" s="62" t="s">
        <v>121</v>
      </c>
      <c r="C656" s="31">
        <f>SUM(C657:C659)</f>
        <v>179230</v>
      </c>
      <c r="D656" s="83"/>
      <c r="E656" s="25"/>
      <c r="F656" s="98"/>
      <c r="G656" s="54"/>
      <c r="H656" s="42"/>
    </row>
    <row r="657" spans="1:8" s="8" customFormat="1" ht="13.5" customHeight="1">
      <c r="A657" s="58" t="s">
        <v>235</v>
      </c>
      <c r="B657" s="42" t="s">
        <v>236</v>
      </c>
      <c r="C657" s="24">
        <v>15400</v>
      </c>
      <c r="D657" s="83"/>
      <c r="E657" s="25"/>
      <c r="F657" s="98"/>
      <c r="G657" s="54"/>
      <c r="H657" s="42"/>
    </row>
    <row r="658" spans="1:8" s="8" customFormat="1" ht="13.5" customHeight="1">
      <c r="A658" s="58" t="s">
        <v>140</v>
      </c>
      <c r="B658" s="42" t="s">
        <v>141</v>
      </c>
      <c r="C658" s="24">
        <v>98700</v>
      </c>
      <c r="F658" s="78"/>
      <c r="G658" s="25"/>
      <c r="H658" s="91"/>
    </row>
    <row r="659" spans="1:8" s="8" customFormat="1" ht="13.5" customHeight="1">
      <c r="A659" s="58" t="s">
        <v>136</v>
      </c>
      <c r="B659" s="58" t="s">
        <v>71</v>
      </c>
      <c r="C659" s="24">
        <v>65130</v>
      </c>
      <c r="D659" s="77"/>
      <c r="E659" s="25"/>
      <c r="F659" s="194"/>
      <c r="G659" s="54"/>
      <c r="H659" s="54"/>
    </row>
    <row r="660" spans="1:6" s="55" customFormat="1" ht="13.5">
      <c r="A660" s="11" t="s">
        <v>112</v>
      </c>
      <c r="B660" s="62" t="s">
        <v>156</v>
      </c>
      <c r="C660" s="63">
        <f>SUM(C661:C662)</f>
        <v>922500</v>
      </c>
      <c r="D660" s="59"/>
      <c r="E660" s="56"/>
      <c r="F660" s="98"/>
    </row>
    <row r="661" spans="1:6" s="55" customFormat="1" ht="13.5">
      <c r="A661" s="58" t="s">
        <v>138</v>
      </c>
      <c r="B661" s="58" t="s">
        <v>810</v>
      </c>
      <c r="C661" s="59">
        <v>16100</v>
      </c>
      <c r="E661" s="56"/>
      <c r="F661" s="98"/>
    </row>
    <row r="662" spans="1:6" s="55" customFormat="1" ht="13.5">
      <c r="A662" s="58" t="s">
        <v>155</v>
      </c>
      <c r="B662" s="42" t="s">
        <v>87</v>
      </c>
      <c r="C662" s="59">
        <v>906400</v>
      </c>
      <c r="E662" s="56"/>
      <c r="F662" s="56"/>
    </row>
    <row r="663" spans="1:6" s="55" customFormat="1" ht="13.5">
      <c r="A663" s="11" t="s">
        <v>132</v>
      </c>
      <c r="B663" s="31" t="s">
        <v>56</v>
      </c>
      <c r="C663" s="63">
        <f>SUM(C664)</f>
        <v>105150</v>
      </c>
      <c r="E663" s="56"/>
      <c r="F663" s="56"/>
    </row>
    <row r="664" spans="1:255" s="65" customFormat="1" ht="13.5">
      <c r="A664" s="71" t="s">
        <v>55</v>
      </c>
      <c r="B664" s="42" t="s">
        <v>56</v>
      </c>
      <c r="C664" s="59">
        <v>105150</v>
      </c>
      <c r="E664" s="56"/>
      <c r="F664" s="227"/>
      <c r="G664" s="442"/>
      <c r="H664" s="66"/>
      <c r="I664" s="55"/>
      <c r="J664" s="55"/>
      <c r="K664" s="55"/>
      <c r="L664" s="55"/>
      <c r="M664" s="55"/>
      <c r="N664" s="55"/>
      <c r="O664" s="55"/>
      <c r="P664" s="55"/>
      <c r="Q664" s="55"/>
      <c r="R664" s="55"/>
      <c r="S664" s="55"/>
      <c r="T664" s="55"/>
      <c r="U664" s="55"/>
      <c r="V664" s="55"/>
      <c r="W664" s="55"/>
      <c r="X664" s="55"/>
      <c r="Y664" s="55"/>
      <c r="Z664" s="55"/>
      <c r="AA664" s="55"/>
      <c r="AB664" s="55"/>
      <c r="AC664" s="55"/>
      <c r="AD664" s="55"/>
      <c r="AE664" s="55"/>
      <c r="AF664" s="55"/>
      <c r="AG664" s="55"/>
      <c r="AH664" s="55"/>
      <c r="AI664" s="55"/>
      <c r="AJ664" s="55"/>
      <c r="AK664" s="55"/>
      <c r="AL664" s="55"/>
      <c r="AM664" s="55"/>
      <c r="AN664" s="55"/>
      <c r="AO664" s="55"/>
      <c r="AP664" s="55"/>
      <c r="AQ664" s="55"/>
      <c r="AR664" s="55"/>
      <c r="AS664" s="55"/>
      <c r="AT664" s="55"/>
      <c r="AU664" s="55"/>
      <c r="AV664" s="55"/>
      <c r="AW664" s="55"/>
      <c r="AX664" s="55"/>
      <c r="AY664" s="55"/>
      <c r="AZ664" s="55"/>
      <c r="BA664" s="55"/>
      <c r="BB664" s="55"/>
      <c r="BC664" s="55"/>
      <c r="BD664" s="55"/>
      <c r="BE664" s="55"/>
      <c r="BF664" s="55"/>
      <c r="BG664" s="55"/>
      <c r="BH664" s="55"/>
      <c r="BI664" s="55"/>
      <c r="BJ664" s="55"/>
      <c r="BK664" s="55"/>
      <c r="BL664" s="55"/>
      <c r="BM664" s="55"/>
      <c r="BN664" s="55"/>
      <c r="BO664" s="55"/>
      <c r="BP664" s="55"/>
      <c r="BQ664" s="55"/>
      <c r="BR664" s="55"/>
      <c r="BS664" s="55"/>
      <c r="BT664" s="55"/>
      <c r="BU664" s="55"/>
      <c r="BV664" s="55"/>
      <c r="BW664" s="55"/>
      <c r="BX664" s="55"/>
      <c r="BY664" s="55"/>
      <c r="BZ664" s="55"/>
      <c r="CA664" s="55"/>
      <c r="CB664" s="55"/>
      <c r="CC664" s="55"/>
      <c r="CD664" s="55"/>
      <c r="CE664" s="55"/>
      <c r="CF664" s="55"/>
      <c r="CG664" s="55"/>
      <c r="CH664" s="55"/>
      <c r="CI664" s="55"/>
      <c r="CJ664" s="55"/>
      <c r="CK664" s="55"/>
      <c r="CL664" s="55"/>
      <c r="CM664" s="55"/>
      <c r="CN664" s="55"/>
      <c r="CO664" s="55"/>
      <c r="CP664" s="55"/>
      <c r="CQ664" s="55"/>
      <c r="CR664" s="55"/>
      <c r="CS664" s="55"/>
      <c r="CT664" s="55"/>
      <c r="CU664" s="55"/>
      <c r="CV664" s="55"/>
      <c r="CW664" s="55"/>
      <c r="CX664" s="55"/>
      <c r="CY664" s="55"/>
      <c r="CZ664" s="55"/>
      <c r="DA664" s="55"/>
      <c r="DB664" s="55"/>
      <c r="DC664" s="55"/>
      <c r="DD664" s="55"/>
      <c r="DE664" s="55"/>
      <c r="DF664" s="55"/>
      <c r="DG664" s="55"/>
      <c r="DH664" s="55"/>
      <c r="DI664" s="55"/>
      <c r="DJ664" s="55"/>
      <c r="DK664" s="55"/>
      <c r="DL664" s="55"/>
      <c r="DM664" s="55"/>
      <c r="DN664" s="55"/>
      <c r="DO664" s="55"/>
      <c r="DP664" s="55"/>
      <c r="DQ664" s="55"/>
      <c r="DR664" s="55"/>
      <c r="DS664" s="55"/>
      <c r="DT664" s="55"/>
      <c r="DU664" s="55"/>
      <c r="DV664" s="55"/>
      <c r="DW664" s="55"/>
      <c r="DX664" s="55"/>
      <c r="DY664" s="55"/>
      <c r="DZ664" s="55"/>
      <c r="EA664" s="55"/>
      <c r="EB664" s="55"/>
      <c r="EC664" s="55"/>
      <c r="ED664" s="55"/>
      <c r="EE664" s="55"/>
      <c r="EF664" s="55"/>
      <c r="EG664" s="55"/>
      <c r="EH664" s="55"/>
      <c r="EI664" s="55"/>
      <c r="EJ664" s="55"/>
      <c r="EK664" s="55"/>
      <c r="EL664" s="55"/>
      <c r="EM664" s="55"/>
      <c r="EN664" s="55"/>
      <c r="EO664" s="55"/>
      <c r="EP664" s="55"/>
      <c r="EQ664" s="55"/>
      <c r="ER664" s="55"/>
      <c r="ES664" s="55"/>
      <c r="ET664" s="55"/>
      <c r="EU664" s="55"/>
      <c r="EV664" s="55"/>
      <c r="EW664" s="55"/>
      <c r="EX664" s="55"/>
      <c r="EY664" s="55"/>
      <c r="EZ664" s="55"/>
      <c r="FA664" s="55"/>
      <c r="FB664" s="55"/>
      <c r="FC664" s="55"/>
      <c r="FD664" s="55"/>
      <c r="FE664" s="55"/>
      <c r="FF664" s="55"/>
      <c r="FG664" s="55"/>
      <c r="FH664" s="55"/>
      <c r="FI664" s="55"/>
      <c r="FJ664" s="55"/>
      <c r="FK664" s="55"/>
      <c r="FL664" s="55"/>
      <c r="FM664" s="55"/>
      <c r="FN664" s="55"/>
      <c r="FO664" s="55"/>
      <c r="FP664" s="55"/>
      <c r="FQ664" s="55"/>
      <c r="FR664" s="55"/>
      <c r="FS664" s="55"/>
      <c r="FT664" s="55"/>
      <c r="FU664" s="55"/>
      <c r="FV664" s="55"/>
      <c r="FW664" s="55"/>
      <c r="FX664" s="55"/>
      <c r="FY664" s="55"/>
      <c r="FZ664" s="55"/>
      <c r="GA664" s="55"/>
      <c r="GB664" s="55"/>
      <c r="GC664" s="55"/>
      <c r="GD664" s="55"/>
      <c r="GE664" s="55"/>
      <c r="GF664" s="55"/>
      <c r="GG664" s="55"/>
      <c r="GH664" s="55"/>
      <c r="GI664" s="55"/>
      <c r="GJ664" s="55"/>
      <c r="GK664" s="55"/>
      <c r="GL664" s="55"/>
      <c r="GM664" s="55"/>
      <c r="GN664" s="55"/>
      <c r="GO664" s="55"/>
      <c r="GP664" s="55"/>
      <c r="GQ664" s="55"/>
      <c r="GR664" s="55"/>
      <c r="GS664" s="55"/>
      <c r="GT664" s="55"/>
      <c r="GU664" s="55"/>
      <c r="GV664" s="55"/>
      <c r="GW664" s="55"/>
      <c r="GX664" s="55"/>
      <c r="GY664" s="55"/>
      <c r="GZ664" s="55"/>
      <c r="HA664" s="55"/>
      <c r="HB664" s="55"/>
      <c r="HC664" s="55"/>
      <c r="HD664" s="55"/>
      <c r="HE664" s="55"/>
      <c r="HF664" s="55"/>
      <c r="HG664" s="55"/>
      <c r="HH664" s="55"/>
      <c r="HI664" s="55"/>
      <c r="HJ664" s="55"/>
      <c r="HK664" s="55"/>
      <c r="HL664" s="55"/>
      <c r="HM664" s="55"/>
      <c r="HN664" s="55"/>
      <c r="HO664" s="55"/>
      <c r="HP664" s="55"/>
      <c r="HQ664" s="55"/>
      <c r="HR664" s="55"/>
      <c r="HS664" s="55"/>
      <c r="HT664" s="55"/>
      <c r="HU664" s="55"/>
      <c r="HV664" s="55"/>
      <c r="HW664" s="55"/>
      <c r="HX664" s="55"/>
      <c r="HY664" s="55"/>
      <c r="HZ664" s="55"/>
      <c r="IA664" s="55"/>
      <c r="IB664" s="55"/>
      <c r="IC664" s="55"/>
      <c r="ID664" s="55"/>
      <c r="IE664" s="55"/>
      <c r="IF664" s="55"/>
      <c r="IG664" s="55"/>
      <c r="IH664" s="55"/>
      <c r="II664" s="55"/>
      <c r="IJ664" s="55"/>
      <c r="IK664" s="55"/>
      <c r="IL664" s="55"/>
      <c r="IM664" s="55"/>
      <c r="IN664" s="55"/>
      <c r="IO664" s="55"/>
      <c r="IP664" s="55"/>
      <c r="IQ664" s="55"/>
      <c r="IR664" s="55"/>
      <c r="IS664" s="55"/>
      <c r="IT664" s="55"/>
      <c r="IU664" s="55"/>
    </row>
    <row r="665" spans="1:255" s="65" customFormat="1" ht="13.5">
      <c r="A665" s="11" t="s">
        <v>115</v>
      </c>
      <c r="B665" s="505" t="s">
        <v>8</v>
      </c>
      <c r="C665" s="63">
        <f>SUM(C666:C670)</f>
        <v>15016360</v>
      </c>
      <c r="E665" s="56"/>
      <c r="F665" s="56"/>
      <c r="G665" s="55"/>
      <c r="H665" s="194"/>
      <c r="I665" s="55"/>
      <c r="J665" s="55"/>
      <c r="K665" s="55"/>
      <c r="L665" s="55"/>
      <c r="M665" s="55"/>
      <c r="N665" s="55"/>
      <c r="O665" s="55"/>
      <c r="P665" s="55"/>
      <c r="Q665" s="55"/>
      <c r="R665" s="55"/>
      <c r="S665" s="55"/>
      <c r="T665" s="55"/>
      <c r="U665" s="55"/>
      <c r="V665" s="55"/>
      <c r="W665" s="55"/>
      <c r="X665" s="55"/>
      <c r="Y665" s="55"/>
      <c r="Z665" s="55"/>
      <c r="AA665" s="55"/>
      <c r="AB665" s="55"/>
      <c r="AC665" s="55"/>
      <c r="AD665" s="55"/>
      <c r="AE665" s="55"/>
      <c r="AF665" s="55"/>
      <c r="AG665" s="55"/>
      <c r="AH665" s="55"/>
      <c r="AI665" s="55"/>
      <c r="AJ665" s="55"/>
      <c r="AK665" s="55"/>
      <c r="AL665" s="55"/>
      <c r="AM665" s="55"/>
      <c r="AN665" s="55"/>
      <c r="AO665" s="55"/>
      <c r="AP665" s="55"/>
      <c r="AQ665" s="55"/>
      <c r="AR665" s="55"/>
      <c r="AS665" s="55"/>
      <c r="AT665" s="55"/>
      <c r="AU665" s="55"/>
      <c r="AV665" s="55"/>
      <c r="AW665" s="55"/>
      <c r="AX665" s="55"/>
      <c r="AY665" s="55"/>
      <c r="AZ665" s="55"/>
      <c r="BA665" s="55"/>
      <c r="BB665" s="55"/>
      <c r="BC665" s="55"/>
      <c r="BD665" s="55"/>
      <c r="BE665" s="55"/>
      <c r="BF665" s="55"/>
      <c r="BG665" s="55"/>
      <c r="BH665" s="55"/>
      <c r="BI665" s="55"/>
      <c r="BJ665" s="55"/>
      <c r="BK665" s="55"/>
      <c r="BL665" s="55"/>
      <c r="BM665" s="55"/>
      <c r="BN665" s="55"/>
      <c r="BO665" s="55"/>
      <c r="BP665" s="55"/>
      <c r="BQ665" s="55"/>
      <c r="BR665" s="55"/>
      <c r="BS665" s="55"/>
      <c r="BT665" s="55"/>
      <c r="BU665" s="55"/>
      <c r="BV665" s="55"/>
      <c r="BW665" s="55"/>
      <c r="BX665" s="55"/>
      <c r="BY665" s="55"/>
      <c r="BZ665" s="55"/>
      <c r="CA665" s="55"/>
      <c r="CB665" s="55"/>
      <c r="CC665" s="55"/>
      <c r="CD665" s="55"/>
      <c r="CE665" s="55"/>
      <c r="CF665" s="55"/>
      <c r="CG665" s="55"/>
      <c r="CH665" s="55"/>
      <c r="CI665" s="55"/>
      <c r="CJ665" s="55"/>
      <c r="CK665" s="55"/>
      <c r="CL665" s="55"/>
      <c r="CM665" s="55"/>
      <c r="CN665" s="55"/>
      <c r="CO665" s="55"/>
      <c r="CP665" s="55"/>
      <c r="CQ665" s="55"/>
      <c r="CR665" s="55"/>
      <c r="CS665" s="55"/>
      <c r="CT665" s="55"/>
      <c r="CU665" s="55"/>
      <c r="CV665" s="55"/>
      <c r="CW665" s="55"/>
      <c r="CX665" s="55"/>
      <c r="CY665" s="55"/>
      <c r="CZ665" s="55"/>
      <c r="DA665" s="55"/>
      <c r="DB665" s="55"/>
      <c r="DC665" s="55"/>
      <c r="DD665" s="55"/>
      <c r="DE665" s="55"/>
      <c r="DF665" s="55"/>
      <c r="DG665" s="55"/>
      <c r="DH665" s="55"/>
      <c r="DI665" s="55"/>
      <c r="DJ665" s="55"/>
      <c r="DK665" s="55"/>
      <c r="DL665" s="55"/>
      <c r="DM665" s="55"/>
      <c r="DN665" s="55"/>
      <c r="DO665" s="55"/>
      <c r="DP665" s="55"/>
      <c r="DQ665" s="55"/>
      <c r="DR665" s="55"/>
      <c r="DS665" s="55"/>
      <c r="DT665" s="55"/>
      <c r="DU665" s="55"/>
      <c r="DV665" s="55"/>
      <c r="DW665" s="55"/>
      <c r="DX665" s="55"/>
      <c r="DY665" s="55"/>
      <c r="DZ665" s="55"/>
      <c r="EA665" s="55"/>
      <c r="EB665" s="55"/>
      <c r="EC665" s="55"/>
      <c r="ED665" s="55"/>
      <c r="EE665" s="55"/>
      <c r="EF665" s="55"/>
      <c r="EG665" s="55"/>
      <c r="EH665" s="55"/>
      <c r="EI665" s="55"/>
      <c r="EJ665" s="55"/>
      <c r="EK665" s="55"/>
      <c r="EL665" s="55"/>
      <c r="EM665" s="55"/>
      <c r="EN665" s="55"/>
      <c r="EO665" s="55"/>
      <c r="EP665" s="55"/>
      <c r="EQ665" s="55"/>
      <c r="ER665" s="55"/>
      <c r="ES665" s="55"/>
      <c r="ET665" s="55"/>
      <c r="EU665" s="55"/>
      <c r="EV665" s="55"/>
      <c r="EW665" s="55"/>
      <c r="EX665" s="55"/>
      <c r="EY665" s="55"/>
      <c r="EZ665" s="55"/>
      <c r="FA665" s="55"/>
      <c r="FB665" s="55"/>
      <c r="FC665" s="55"/>
      <c r="FD665" s="55"/>
      <c r="FE665" s="55"/>
      <c r="FF665" s="55"/>
      <c r="FG665" s="55"/>
      <c r="FH665" s="55"/>
      <c r="FI665" s="55"/>
      <c r="FJ665" s="55"/>
      <c r="FK665" s="55"/>
      <c r="FL665" s="55"/>
      <c r="FM665" s="55"/>
      <c r="FN665" s="55"/>
      <c r="FO665" s="55"/>
      <c r="FP665" s="55"/>
      <c r="FQ665" s="55"/>
      <c r="FR665" s="55"/>
      <c r="FS665" s="55"/>
      <c r="FT665" s="55"/>
      <c r="FU665" s="55"/>
      <c r="FV665" s="55"/>
      <c r="FW665" s="55"/>
      <c r="FX665" s="55"/>
      <c r="FY665" s="55"/>
      <c r="FZ665" s="55"/>
      <c r="GA665" s="55"/>
      <c r="GB665" s="55"/>
      <c r="GC665" s="55"/>
      <c r="GD665" s="55"/>
      <c r="GE665" s="55"/>
      <c r="GF665" s="55"/>
      <c r="GG665" s="55"/>
      <c r="GH665" s="55"/>
      <c r="GI665" s="55"/>
      <c r="GJ665" s="55"/>
      <c r="GK665" s="55"/>
      <c r="GL665" s="55"/>
      <c r="GM665" s="55"/>
      <c r="GN665" s="55"/>
      <c r="GO665" s="55"/>
      <c r="GP665" s="55"/>
      <c r="GQ665" s="55"/>
      <c r="GR665" s="55"/>
      <c r="GS665" s="55"/>
      <c r="GT665" s="55"/>
      <c r="GU665" s="55"/>
      <c r="GV665" s="55"/>
      <c r="GW665" s="55"/>
      <c r="GX665" s="55"/>
      <c r="GY665" s="55"/>
      <c r="GZ665" s="55"/>
      <c r="HA665" s="55"/>
      <c r="HB665" s="55"/>
      <c r="HC665" s="55"/>
      <c r="HD665" s="55"/>
      <c r="HE665" s="55"/>
      <c r="HF665" s="55"/>
      <c r="HG665" s="55"/>
      <c r="HH665" s="55"/>
      <c r="HI665" s="55"/>
      <c r="HJ665" s="55"/>
      <c r="HK665" s="55"/>
      <c r="HL665" s="55"/>
      <c r="HM665" s="55"/>
      <c r="HN665" s="55"/>
      <c r="HO665" s="55"/>
      <c r="HP665" s="55"/>
      <c r="HQ665" s="55"/>
      <c r="HR665" s="55"/>
      <c r="HS665" s="55"/>
      <c r="HT665" s="55"/>
      <c r="HU665" s="55"/>
      <c r="HV665" s="55"/>
      <c r="HW665" s="55"/>
      <c r="HX665" s="55"/>
      <c r="HY665" s="55"/>
      <c r="HZ665" s="55"/>
      <c r="IA665" s="55"/>
      <c r="IB665" s="55"/>
      <c r="IC665" s="55"/>
      <c r="ID665" s="55"/>
      <c r="IE665" s="55"/>
      <c r="IF665" s="55"/>
      <c r="IG665" s="55"/>
      <c r="IH665" s="55"/>
      <c r="II665" s="55"/>
      <c r="IJ665" s="55"/>
      <c r="IK665" s="55"/>
      <c r="IL665" s="55"/>
      <c r="IM665" s="55"/>
      <c r="IN665" s="55"/>
      <c r="IO665" s="55"/>
      <c r="IP665" s="55"/>
      <c r="IQ665" s="55"/>
      <c r="IR665" s="55"/>
      <c r="IS665" s="55"/>
      <c r="IT665" s="55"/>
      <c r="IU665" s="55"/>
    </row>
    <row r="666" spans="1:255" s="55" customFormat="1" ht="13.5">
      <c r="A666" s="71" t="s">
        <v>89</v>
      </c>
      <c r="B666" s="42" t="s">
        <v>8</v>
      </c>
      <c r="C666" s="59">
        <v>3326400</v>
      </c>
      <c r="E666" s="67"/>
      <c r="G666" s="65"/>
      <c r="H666" s="65"/>
      <c r="I666" s="65"/>
      <c r="J666" s="65"/>
      <c r="K666" s="65"/>
      <c r="L666" s="65"/>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c r="AQ666" s="65"/>
      <c r="AR666" s="65"/>
      <c r="AS666" s="65"/>
      <c r="AT666" s="65"/>
      <c r="AU666" s="65"/>
      <c r="AV666" s="65"/>
      <c r="AW666" s="65"/>
      <c r="AX666" s="65"/>
      <c r="AY666" s="65"/>
      <c r="AZ666" s="65"/>
      <c r="BA666" s="65"/>
      <c r="BB666" s="65"/>
      <c r="BC666" s="65"/>
      <c r="BD666" s="65"/>
      <c r="BE666" s="65"/>
      <c r="BF666" s="65"/>
      <c r="BG666" s="65"/>
      <c r="BH666" s="65"/>
      <c r="BI666" s="65"/>
      <c r="BJ666" s="65"/>
      <c r="BK666" s="65"/>
      <c r="BL666" s="65"/>
      <c r="BM666" s="65"/>
      <c r="BN666" s="65"/>
      <c r="BO666" s="65"/>
      <c r="BP666" s="65"/>
      <c r="BQ666" s="65"/>
      <c r="BR666" s="65"/>
      <c r="BS666" s="65"/>
      <c r="BT666" s="65"/>
      <c r="BU666" s="65"/>
      <c r="BV666" s="65"/>
      <c r="BW666" s="65"/>
      <c r="BX666" s="65"/>
      <c r="BY666" s="65"/>
      <c r="BZ666" s="65"/>
      <c r="CA666" s="65"/>
      <c r="CB666" s="65"/>
      <c r="CC666" s="65"/>
      <c r="CD666" s="65"/>
      <c r="CE666" s="65"/>
      <c r="CF666" s="65"/>
      <c r="CG666" s="65"/>
      <c r="CH666" s="65"/>
      <c r="CI666" s="65"/>
      <c r="CJ666" s="65"/>
      <c r="CK666" s="65"/>
      <c r="CL666" s="65"/>
      <c r="CM666" s="65"/>
      <c r="CN666" s="65"/>
      <c r="CO666" s="65"/>
      <c r="CP666" s="65"/>
      <c r="CQ666" s="65"/>
      <c r="CR666" s="65"/>
      <c r="CS666" s="65"/>
      <c r="CT666" s="65"/>
      <c r="CU666" s="65"/>
      <c r="CV666" s="65"/>
      <c r="CW666" s="65"/>
      <c r="CX666" s="65"/>
      <c r="CY666" s="65"/>
      <c r="CZ666" s="65"/>
      <c r="DA666" s="65"/>
      <c r="DB666" s="65"/>
      <c r="DC666" s="65"/>
      <c r="DD666" s="65"/>
      <c r="DE666" s="65"/>
      <c r="DF666" s="65"/>
      <c r="DG666" s="65"/>
      <c r="DH666" s="65"/>
      <c r="DI666" s="65"/>
      <c r="DJ666" s="65"/>
      <c r="DK666" s="65"/>
      <c r="DL666" s="65"/>
      <c r="DM666" s="65"/>
      <c r="DN666" s="65"/>
      <c r="DO666" s="65"/>
      <c r="DP666" s="65"/>
      <c r="DQ666" s="65"/>
      <c r="DR666" s="65"/>
      <c r="DS666" s="65"/>
      <c r="DT666" s="65"/>
      <c r="DU666" s="65"/>
      <c r="DV666" s="65"/>
      <c r="DW666" s="65"/>
      <c r="DX666" s="65"/>
      <c r="DY666" s="65"/>
      <c r="DZ666" s="65"/>
      <c r="EA666" s="65"/>
      <c r="EB666" s="65"/>
      <c r="EC666" s="65"/>
      <c r="ED666" s="65"/>
      <c r="EE666" s="65"/>
      <c r="EF666" s="65"/>
      <c r="EG666" s="65"/>
      <c r="EH666" s="65"/>
      <c r="EI666" s="65"/>
      <c r="EJ666" s="65"/>
      <c r="EK666" s="65"/>
      <c r="EL666" s="65"/>
      <c r="EM666" s="65"/>
      <c r="EN666" s="65"/>
      <c r="EO666" s="65"/>
      <c r="EP666" s="65"/>
      <c r="EQ666" s="65"/>
      <c r="ER666" s="65"/>
      <c r="ES666" s="65"/>
      <c r="ET666" s="65"/>
      <c r="EU666" s="65"/>
      <c r="EV666" s="65"/>
      <c r="EW666" s="65"/>
      <c r="EX666" s="65"/>
      <c r="EY666" s="65"/>
      <c r="EZ666" s="65"/>
      <c r="FA666" s="65"/>
      <c r="FB666" s="65"/>
      <c r="FC666" s="65"/>
      <c r="FD666" s="65"/>
      <c r="FE666" s="65"/>
      <c r="FF666" s="65"/>
      <c r="FG666" s="65"/>
      <c r="FH666" s="65"/>
      <c r="FI666" s="65"/>
      <c r="FJ666" s="65"/>
      <c r="FK666" s="65"/>
      <c r="FL666" s="65"/>
      <c r="FM666" s="65"/>
      <c r="FN666" s="65"/>
      <c r="FO666" s="65"/>
      <c r="FP666" s="65"/>
      <c r="FQ666" s="65"/>
      <c r="FR666" s="65"/>
      <c r="FS666" s="65"/>
      <c r="FT666" s="65"/>
      <c r="FU666" s="65"/>
      <c r="FV666" s="65"/>
      <c r="FW666" s="65"/>
      <c r="FX666" s="65"/>
      <c r="FY666" s="65"/>
      <c r="FZ666" s="65"/>
      <c r="GA666" s="65"/>
      <c r="GB666" s="65"/>
      <c r="GC666" s="65"/>
      <c r="GD666" s="65"/>
      <c r="GE666" s="65"/>
      <c r="GF666" s="65"/>
      <c r="GG666" s="65"/>
      <c r="GH666" s="65"/>
      <c r="GI666" s="65"/>
      <c r="GJ666" s="65"/>
      <c r="GK666" s="65"/>
      <c r="GL666" s="65"/>
      <c r="GM666" s="65"/>
      <c r="GN666" s="65"/>
      <c r="GO666" s="65"/>
      <c r="GP666" s="65"/>
      <c r="GQ666" s="65"/>
      <c r="GR666" s="65"/>
      <c r="GS666" s="65"/>
      <c r="GT666" s="65"/>
      <c r="GU666" s="65"/>
      <c r="GV666" s="65"/>
      <c r="GW666" s="65"/>
      <c r="GX666" s="65"/>
      <c r="GY666" s="65"/>
      <c r="GZ666" s="65"/>
      <c r="HA666" s="65"/>
      <c r="HB666" s="65"/>
      <c r="HC666" s="65"/>
      <c r="HD666" s="65"/>
      <c r="HE666" s="65"/>
      <c r="HF666" s="65"/>
      <c r="HG666" s="65"/>
      <c r="HH666" s="65"/>
      <c r="HI666" s="65"/>
      <c r="HJ666" s="65"/>
      <c r="HK666" s="65"/>
      <c r="HL666" s="65"/>
      <c r="HM666" s="65"/>
      <c r="HN666" s="65"/>
      <c r="HO666" s="65"/>
      <c r="HP666" s="65"/>
      <c r="HQ666" s="65"/>
      <c r="HR666" s="65"/>
      <c r="HS666" s="65"/>
      <c r="HT666" s="65"/>
      <c r="HU666" s="65"/>
      <c r="HV666" s="65"/>
      <c r="HW666" s="65"/>
      <c r="HX666" s="65"/>
      <c r="HY666" s="65"/>
      <c r="HZ666" s="65"/>
      <c r="IA666" s="65"/>
      <c r="IB666" s="65"/>
      <c r="IC666" s="65"/>
      <c r="ID666" s="65"/>
      <c r="IE666" s="65"/>
      <c r="IF666" s="65"/>
      <c r="IG666" s="65"/>
      <c r="IH666" s="65"/>
      <c r="II666" s="65"/>
      <c r="IJ666" s="65"/>
      <c r="IK666" s="65"/>
      <c r="IL666" s="65"/>
      <c r="IM666" s="65"/>
      <c r="IN666" s="65"/>
      <c r="IO666" s="65"/>
      <c r="IP666" s="65"/>
      <c r="IQ666" s="65"/>
      <c r="IR666" s="65"/>
      <c r="IS666" s="65"/>
      <c r="IT666" s="65"/>
      <c r="IU666" s="65"/>
    </row>
    <row r="667" spans="1:3" s="65" customFormat="1" ht="13.5">
      <c r="A667" s="71" t="s">
        <v>251</v>
      </c>
      <c r="B667" s="42" t="s">
        <v>252</v>
      </c>
      <c r="C667" s="59">
        <v>10539510</v>
      </c>
    </row>
    <row r="668" spans="1:7" s="65" customFormat="1" ht="13.5">
      <c r="A668" s="71" t="s">
        <v>182</v>
      </c>
      <c r="B668" s="42" t="s">
        <v>181</v>
      </c>
      <c r="C668" s="59">
        <v>111600</v>
      </c>
      <c r="D668" s="66"/>
      <c r="F668" s="194"/>
      <c r="G668" s="67"/>
    </row>
    <row r="669" spans="1:8" s="65" customFormat="1" ht="13.5">
      <c r="A669" s="58" t="s">
        <v>223</v>
      </c>
      <c r="B669" s="42" t="s">
        <v>222</v>
      </c>
      <c r="C669" s="59">
        <v>458850</v>
      </c>
      <c r="E669" s="67"/>
      <c r="F669" s="194"/>
      <c r="H669" s="66"/>
    </row>
    <row r="670" spans="1:10" s="8" customFormat="1" ht="13.5" customHeight="1">
      <c r="A670" s="71" t="s">
        <v>90</v>
      </c>
      <c r="B670" s="24" t="s">
        <v>7</v>
      </c>
      <c r="C670" s="24">
        <v>580000</v>
      </c>
      <c r="D670" s="340"/>
      <c r="F670" s="461"/>
      <c r="G670" s="481"/>
      <c r="H670" s="42"/>
      <c r="J670" s="82"/>
    </row>
    <row r="671" spans="1:6" s="65" customFormat="1" ht="14.25" thickBot="1">
      <c r="A671" s="58"/>
      <c r="B671" s="100"/>
      <c r="C671" s="59"/>
      <c r="D671" s="66"/>
      <c r="E671" s="67"/>
      <c r="F671" s="194"/>
    </row>
    <row r="672" spans="1:6" s="65" customFormat="1" ht="14.25" thickBot="1">
      <c r="A672" s="1030" t="s">
        <v>5</v>
      </c>
      <c r="B672" s="1037"/>
      <c r="C672" s="661">
        <f>C673</f>
        <v>971940</v>
      </c>
      <c r="D672" s="66"/>
      <c r="E672" s="67"/>
      <c r="F672" s="194"/>
    </row>
    <row r="673" spans="1:6" s="225" customFormat="1" ht="13.5">
      <c r="A673" s="62" t="s">
        <v>128</v>
      </c>
      <c r="B673" s="199" t="s">
        <v>129</v>
      </c>
      <c r="C673" s="509">
        <f>SUM(C674:C678)</f>
        <v>971940</v>
      </c>
      <c r="D673" s="172"/>
      <c r="E673" s="94"/>
      <c r="F673" s="98"/>
    </row>
    <row r="674" spans="1:6" s="225" customFormat="1" ht="13.5">
      <c r="A674" s="58" t="s">
        <v>253</v>
      </c>
      <c r="B674" s="98" t="s">
        <v>254</v>
      </c>
      <c r="C674" s="59">
        <v>165500</v>
      </c>
      <c r="D674" s="172"/>
      <c r="E674" s="94"/>
      <c r="F674" s="98"/>
    </row>
    <row r="675" spans="1:6" s="55" customFormat="1" ht="13.5">
      <c r="A675" s="58" t="s">
        <v>255</v>
      </c>
      <c r="B675" s="42" t="s">
        <v>256</v>
      </c>
      <c r="C675" s="59">
        <v>442440</v>
      </c>
      <c r="D675" s="172"/>
      <c r="E675" s="56"/>
      <c r="F675" s="98"/>
    </row>
    <row r="676" spans="1:8" s="8" customFormat="1" ht="13.5">
      <c r="A676" s="71" t="s">
        <v>487</v>
      </c>
      <c r="B676" s="42" t="s">
        <v>488</v>
      </c>
      <c r="C676" s="59">
        <v>56000</v>
      </c>
      <c r="D676" s="95"/>
      <c r="E676" s="84"/>
      <c r="F676" s="172"/>
      <c r="G676" s="54"/>
      <c r="H676" s="42"/>
    </row>
    <row r="677" spans="1:6" s="55" customFormat="1" ht="13.5">
      <c r="A677" s="58" t="s">
        <v>146</v>
      </c>
      <c r="B677" s="42" t="s">
        <v>145</v>
      </c>
      <c r="C677" s="59">
        <v>78000</v>
      </c>
      <c r="D677" s="59"/>
      <c r="E677" s="56"/>
      <c r="F677" s="98"/>
    </row>
    <row r="678" spans="1:6" s="55" customFormat="1" ht="13.5">
      <c r="A678" s="58" t="s">
        <v>144</v>
      </c>
      <c r="B678" s="42" t="s">
        <v>257</v>
      </c>
      <c r="C678" s="59">
        <v>230000</v>
      </c>
      <c r="D678" s="59"/>
      <c r="E678" s="56"/>
      <c r="F678" s="98"/>
    </row>
    <row r="679" spans="1:6" s="65" customFormat="1" ht="14.25" thickBot="1">
      <c r="A679" s="69"/>
      <c r="B679" s="69"/>
      <c r="C679" s="59"/>
      <c r="D679" s="66"/>
      <c r="E679" s="67"/>
      <c r="F679" s="194"/>
    </row>
    <row r="680" spans="1:6" s="65" customFormat="1" ht="14.25" thickBot="1">
      <c r="A680" s="1017" t="s">
        <v>4</v>
      </c>
      <c r="B680" s="1018"/>
      <c r="C680" s="637">
        <f>C681+C683+C687</f>
        <v>187520</v>
      </c>
      <c r="D680" s="66"/>
      <c r="E680" s="67"/>
      <c r="F680" s="194"/>
    </row>
    <row r="681" spans="1:6" s="225" customFormat="1" ht="13.5">
      <c r="A681" s="249" t="s">
        <v>178</v>
      </c>
      <c r="B681" s="281" t="s">
        <v>177</v>
      </c>
      <c r="C681" s="509">
        <f>SUM(C682)</f>
        <v>36400</v>
      </c>
      <c r="D681" s="172"/>
      <c r="E681" s="94"/>
      <c r="F681" s="98"/>
    </row>
    <row r="682" spans="1:255" s="65" customFormat="1" ht="13.5">
      <c r="A682" s="71" t="s">
        <v>172</v>
      </c>
      <c r="B682" s="42" t="s">
        <v>171</v>
      </c>
      <c r="C682" s="59">
        <v>36400</v>
      </c>
      <c r="D682" s="228"/>
      <c r="E682" s="61"/>
      <c r="F682" s="211"/>
      <c r="G682" s="51"/>
      <c r="H682" s="51"/>
      <c r="I682" s="51"/>
      <c r="J682" s="51"/>
      <c r="K682" s="51"/>
      <c r="L682" s="51"/>
      <c r="M682" s="51"/>
      <c r="N682" s="51"/>
      <c r="O682" s="51"/>
      <c r="P682" s="51"/>
      <c r="Q682" s="51"/>
      <c r="R682" s="51"/>
      <c r="S682" s="51"/>
      <c r="T682" s="51"/>
      <c r="U682" s="51"/>
      <c r="V682" s="51"/>
      <c r="W682" s="51"/>
      <c r="X682" s="51"/>
      <c r="Y682" s="51"/>
      <c r="Z682" s="51"/>
      <c r="AA682" s="51"/>
      <c r="AB682" s="51"/>
      <c r="AC682" s="51"/>
      <c r="AD682" s="51"/>
      <c r="AE682" s="51"/>
      <c r="AF682" s="51"/>
      <c r="AG682" s="51"/>
      <c r="AH682" s="51"/>
      <c r="AI682" s="51"/>
      <c r="AJ682" s="51"/>
      <c r="AK682" s="51"/>
      <c r="AL682" s="51"/>
      <c r="AM682" s="51"/>
      <c r="AN682" s="51"/>
      <c r="AO682" s="51"/>
      <c r="AP682" s="51"/>
      <c r="AQ682" s="51"/>
      <c r="AR682" s="51"/>
      <c r="AS682" s="51"/>
      <c r="AT682" s="51"/>
      <c r="AU682" s="51"/>
      <c r="AV682" s="51"/>
      <c r="AW682" s="51"/>
      <c r="AX682" s="51"/>
      <c r="AY682" s="51"/>
      <c r="AZ682" s="51"/>
      <c r="BA682" s="51"/>
      <c r="BB682" s="51"/>
      <c r="BC682" s="51"/>
      <c r="BD682" s="51"/>
      <c r="BE682" s="51"/>
      <c r="BF682" s="51"/>
      <c r="BG682" s="51"/>
      <c r="BH682" s="51"/>
      <c r="BI682" s="51"/>
      <c r="BJ682" s="51"/>
      <c r="BK682" s="51"/>
      <c r="BL682" s="51"/>
      <c r="BM682" s="51"/>
      <c r="BN682" s="51"/>
      <c r="BO682" s="51"/>
      <c r="BP682" s="51"/>
      <c r="BQ682" s="51"/>
      <c r="BR682" s="51"/>
      <c r="BS682" s="51"/>
      <c r="BT682" s="51"/>
      <c r="BU682" s="51"/>
      <c r="BV682" s="51"/>
      <c r="BW682" s="51"/>
      <c r="BX682" s="51"/>
      <c r="BY682" s="51"/>
      <c r="BZ682" s="51"/>
      <c r="CA682" s="51"/>
      <c r="CB682" s="51"/>
      <c r="CC682" s="51"/>
      <c r="CD682" s="51"/>
      <c r="CE682" s="51"/>
      <c r="CF682" s="51"/>
      <c r="CG682" s="51"/>
      <c r="CH682" s="51"/>
      <c r="CI682" s="51"/>
      <c r="CJ682" s="51"/>
      <c r="CK682" s="51"/>
      <c r="CL682" s="51"/>
      <c r="CM682" s="51"/>
      <c r="CN682" s="51"/>
      <c r="CO682" s="51"/>
      <c r="CP682" s="51"/>
      <c r="CQ682" s="51"/>
      <c r="CR682" s="51"/>
      <c r="CS682" s="51"/>
      <c r="CT682" s="51"/>
      <c r="CU682" s="51"/>
      <c r="CV682" s="51"/>
      <c r="CW682" s="51"/>
      <c r="CX682" s="51"/>
      <c r="CY682" s="51"/>
      <c r="CZ682" s="51"/>
      <c r="DA682" s="51"/>
      <c r="DB682" s="51"/>
      <c r="DC682" s="51"/>
      <c r="DD682" s="51"/>
      <c r="DE682" s="51"/>
      <c r="DF682" s="51"/>
      <c r="DG682" s="51"/>
      <c r="DH682" s="51"/>
      <c r="DI682" s="51"/>
      <c r="DJ682" s="51"/>
      <c r="DK682" s="51"/>
      <c r="DL682" s="51"/>
      <c r="DM682" s="51"/>
      <c r="DN682" s="51"/>
      <c r="DO682" s="51"/>
      <c r="DP682" s="51"/>
      <c r="DQ682" s="51"/>
      <c r="DR682" s="51"/>
      <c r="DS682" s="51"/>
      <c r="DT682" s="51"/>
      <c r="DU682" s="51"/>
      <c r="DV682" s="51"/>
      <c r="DW682" s="51"/>
      <c r="DX682" s="51"/>
      <c r="DY682" s="51"/>
      <c r="DZ682" s="51"/>
      <c r="EA682" s="51"/>
      <c r="EB682" s="51"/>
      <c r="EC682" s="51"/>
      <c r="ED682" s="51"/>
      <c r="EE682" s="51"/>
      <c r="EF682" s="51"/>
      <c r="EG682" s="51"/>
      <c r="EH682" s="51"/>
      <c r="EI682" s="51"/>
      <c r="EJ682" s="51"/>
      <c r="EK682" s="51"/>
      <c r="EL682" s="51"/>
      <c r="EM682" s="51"/>
      <c r="EN682" s="51"/>
      <c r="EO682" s="51"/>
      <c r="EP682" s="51"/>
      <c r="EQ682" s="51"/>
      <c r="ER682" s="51"/>
      <c r="ES682" s="51"/>
      <c r="ET682" s="51"/>
      <c r="EU682" s="51"/>
      <c r="EV682" s="51"/>
      <c r="EW682" s="51"/>
      <c r="EX682" s="51"/>
      <c r="EY682" s="51"/>
      <c r="EZ682" s="51"/>
      <c r="FA682" s="51"/>
      <c r="FB682" s="51"/>
      <c r="FC682" s="51"/>
      <c r="FD682" s="51"/>
      <c r="FE682" s="51"/>
      <c r="FF682" s="51"/>
      <c r="FG682" s="51"/>
      <c r="FH682" s="51"/>
      <c r="FI682" s="51"/>
      <c r="FJ682" s="51"/>
      <c r="FK682" s="51"/>
      <c r="FL682" s="51"/>
      <c r="FM682" s="51"/>
      <c r="FN682" s="51"/>
      <c r="FO682" s="51"/>
      <c r="FP682" s="51"/>
      <c r="FQ682" s="51"/>
      <c r="FR682" s="51"/>
      <c r="FS682" s="51"/>
      <c r="FT682" s="51"/>
      <c r="FU682" s="51"/>
      <c r="FV682" s="51"/>
      <c r="FW682" s="51"/>
      <c r="FX682" s="51"/>
      <c r="FY682" s="51"/>
      <c r="FZ682" s="51"/>
      <c r="GA682" s="51"/>
      <c r="GB682" s="51"/>
      <c r="GC682" s="51"/>
      <c r="GD682" s="51"/>
      <c r="GE682" s="51"/>
      <c r="GF682" s="51"/>
      <c r="GG682" s="51"/>
      <c r="GH682" s="51"/>
      <c r="GI682" s="51"/>
      <c r="GJ682" s="51"/>
      <c r="GK682" s="51"/>
      <c r="GL682" s="51"/>
      <c r="GM682" s="51"/>
      <c r="GN682" s="51"/>
      <c r="GO682" s="51"/>
      <c r="GP682" s="51"/>
      <c r="GQ682" s="51"/>
      <c r="GR682" s="51"/>
      <c r="GS682" s="51"/>
      <c r="GT682" s="51"/>
      <c r="GU682" s="51"/>
      <c r="GV682" s="51"/>
      <c r="GW682" s="51"/>
      <c r="GX682" s="51"/>
      <c r="GY682" s="51"/>
      <c r="GZ682" s="51"/>
      <c r="HA682" s="51"/>
      <c r="HB682" s="51"/>
      <c r="HC682" s="51"/>
      <c r="HD682" s="51"/>
      <c r="HE682" s="51"/>
      <c r="HF682" s="51"/>
      <c r="HG682" s="51"/>
      <c r="HH682" s="51"/>
      <c r="HI682" s="51"/>
      <c r="HJ682" s="51"/>
      <c r="HK682" s="51"/>
      <c r="HL682" s="51"/>
      <c r="HM682" s="51"/>
      <c r="HN682" s="51"/>
      <c r="HO682" s="51"/>
      <c r="HP682" s="51"/>
      <c r="HQ682" s="51"/>
      <c r="HR682" s="51"/>
      <c r="HS682" s="51"/>
      <c r="HT682" s="51"/>
      <c r="HU682" s="51"/>
      <c r="HV682" s="51"/>
      <c r="HW682" s="51"/>
      <c r="HX682" s="51"/>
      <c r="HY682" s="51"/>
      <c r="HZ682" s="51"/>
      <c r="IA682" s="51"/>
      <c r="IB682" s="51"/>
      <c r="IC682" s="51"/>
      <c r="ID682" s="51"/>
      <c r="IE682" s="51"/>
      <c r="IF682" s="51"/>
      <c r="IG682" s="51"/>
      <c r="IH682" s="51"/>
      <c r="II682" s="51"/>
      <c r="IJ682" s="51"/>
      <c r="IK682" s="51"/>
      <c r="IL682" s="51"/>
      <c r="IM682" s="51"/>
      <c r="IN682" s="51"/>
      <c r="IO682" s="51"/>
      <c r="IP682" s="51"/>
      <c r="IQ682" s="51"/>
      <c r="IR682" s="51"/>
      <c r="IS682" s="51"/>
      <c r="IT682" s="51"/>
      <c r="IU682" s="51"/>
    </row>
    <row r="683" spans="1:255" s="65" customFormat="1" ht="13.5">
      <c r="A683" s="249" t="s">
        <v>116</v>
      </c>
      <c r="B683" s="281" t="s">
        <v>117</v>
      </c>
      <c r="C683" s="63">
        <f>SUM(C684:C686)</f>
        <v>131000</v>
      </c>
      <c r="D683" s="228"/>
      <c r="E683" s="61"/>
      <c r="F683" s="211"/>
      <c r="G683" s="51"/>
      <c r="H683" s="51"/>
      <c r="I683" s="51"/>
      <c r="J683" s="51"/>
      <c r="K683" s="51"/>
      <c r="L683" s="51"/>
      <c r="M683" s="51"/>
      <c r="N683" s="51"/>
      <c r="O683" s="51"/>
      <c r="P683" s="51"/>
      <c r="Q683" s="51"/>
      <c r="R683" s="51"/>
      <c r="S683" s="51"/>
      <c r="T683" s="51"/>
      <c r="U683" s="51"/>
      <c r="V683" s="51"/>
      <c r="W683" s="51"/>
      <c r="X683" s="51"/>
      <c r="Y683" s="51"/>
      <c r="Z683" s="51"/>
      <c r="AA683" s="51"/>
      <c r="AB683" s="51"/>
      <c r="AC683" s="51"/>
      <c r="AD683" s="51"/>
      <c r="AE683" s="51"/>
      <c r="AF683" s="51"/>
      <c r="AG683" s="51"/>
      <c r="AH683" s="51"/>
      <c r="AI683" s="51"/>
      <c r="AJ683" s="51"/>
      <c r="AK683" s="51"/>
      <c r="AL683" s="51"/>
      <c r="AM683" s="51"/>
      <c r="AN683" s="51"/>
      <c r="AO683" s="51"/>
      <c r="AP683" s="51"/>
      <c r="AQ683" s="51"/>
      <c r="AR683" s="51"/>
      <c r="AS683" s="51"/>
      <c r="AT683" s="51"/>
      <c r="AU683" s="51"/>
      <c r="AV683" s="51"/>
      <c r="AW683" s="51"/>
      <c r="AX683" s="51"/>
      <c r="AY683" s="51"/>
      <c r="AZ683" s="51"/>
      <c r="BA683" s="51"/>
      <c r="BB683" s="51"/>
      <c r="BC683" s="51"/>
      <c r="BD683" s="51"/>
      <c r="BE683" s="51"/>
      <c r="BF683" s="51"/>
      <c r="BG683" s="51"/>
      <c r="BH683" s="51"/>
      <c r="BI683" s="51"/>
      <c r="BJ683" s="51"/>
      <c r="BK683" s="51"/>
      <c r="BL683" s="51"/>
      <c r="BM683" s="51"/>
      <c r="BN683" s="51"/>
      <c r="BO683" s="51"/>
      <c r="BP683" s="51"/>
      <c r="BQ683" s="51"/>
      <c r="BR683" s="51"/>
      <c r="BS683" s="51"/>
      <c r="BT683" s="51"/>
      <c r="BU683" s="51"/>
      <c r="BV683" s="51"/>
      <c r="BW683" s="51"/>
      <c r="BX683" s="51"/>
      <c r="BY683" s="51"/>
      <c r="BZ683" s="51"/>
      <c r="CA683" s="51"/>
      <c r="CB683" s="51"/>
      <c r="CC683" s="51"/>
      <c r="CD683" s="51"/>
      <c r="CE683" s="51"/>
      <c r="CF683" s="51"/>
      <c r="CG683" s="51"/>
      <c r="CH683" s="51"/>
      <c r="CI683" s="51"/>
      <c r="CJ683" s="51"/>
      <c r="CK683" s="51"/>
      <c r="CL683" s="51"/>
      <c r="CM683" s="51"/>
      <c r="CN683" s="51"/>
      <c r="CO683" s="51"/>
      <c r="CP683" s="51"/>
      <c r="CQ683" s="51"/>
      <c r="CR683" s="51"/>
      <c r="CS683" s="51"/>
      <c r="CT683" s="51"/>
      <c r="CU683" s="51"/>
      <c r="CV683" s="51"/>
      <c r="CW683" s="51"/>
      <c r="CX683" s="51"/>
      <c r="CY683" s="51"/>
      <c r="CZ683" s="51"/>
      <c r="DA683" s="51"/>
      <c r="DB683" s="51"/>
      <c r="DC683" s="51"/>
      <c r="DD683" s="51"/>
      <c r="DE683" s="51"/>
      <c r="DF683" s="51"/>
      <c r="DG683" s="51"/>
      <c r="DH683" s="51"/>
      <c r="DI683" s="51"/>
      <c r="DJ683" s="51"/>
      <c r="DK683" s="51"/>
      <c r="DL683" s="51"/>
      <c r="DM683" s="51"/>
      <c r="DN683" s="51"/>
      <c r="DO683" s="51"/>
      <c r="DP683" s="51"/>
      <c r="DQ683" s="51"/>
      <c r="DR683" s="51"/>
      <c r="DS683" s="51"/>
      <c r="DT683" s="51"/>
      <c r="DU683" s="51"/>
      <c r="DV683" s="51"/>
      <c r="DW683" s="51"/>
      <c r="DX683" s="51"/>
      <c r="DY683" s="51"/>
      <c r="DZ683" s="51"/>
      <c r="EA683" s="51"/>
      <c r="EB683" s="51"/>
      <c r="EC683" s="51"/>
      <c r="ED683" s="51"/>
      <c r="EE683" s="51"/>
      <c r="EF683" s="51"/>
      <c r="EG683" s="51"/>
      <c r="EH683" s="51"/>
      <c r="EI683" s="51"/>
      <c r="EJ683" s="51"/>
      <c r="EK683" s="51"/>
      <c r="EL683" s="51"/>
      <c r="EM683" s="51"/>
      <c r="EN683" s="51"/>
      <c r="EO683" s="51"/>
      <c r="EP683" s="51"/>
      <c r="EQ683" s="51"/>
      <c r="ER683" s="51"/>
      <c r="ES683" s="51"/>
      <c r="ET683" s="51"/>
      <c r="EU683" s="51"/>
      <c r="EV683" s="51"/>
      <c r="EW683" s="51"/>
      <c r="EX683" s="51"/>
      <c r="EY683" s="51"/>
      <c r="EZ683" s="51"/>
      <c r="FA683" s="51"/>
      <c r="FB683" s="51"/>
      <c r="FC683" s="51"/>
      <c r="FD683" s="51"/>
      <c r="FE683" s="51"/>
      <c r="FF683" s="51"/>
      <c r="FG683" s="51"/>
      <c r="FH683" s="51"/>
      <c r="FI683" s="51"/>
      <c r="FJ683" s="51"/>
      <c r="FK683" s="51"/>
      <c r="FL683" s="51"/>
      <c r="FM683" s="51"/>
      <c r="FN683" s="51"/>
      <c r="FO683" s="51"/>
      <c r="FP683" s="51"/>
      <c r="FQ683" s="51"/>
      <c r="FR683" s="51"/>
      <c r="FS683" s="51"/>
      <c r="FT683" s="51"/>
      <c r="FU683" s="51"/>
      <c r="FV683" s="51"/>
      <c r="FW683" s="51"/>
      <c r="FX683" s="51"/>
      <c r="FY683" s="51"/>
      <c r="FZ683" s="51"/>
      <c r="GA683" s="51"/>
      <c r="GB683" s="51"/>
      <c r="GC683" s="51"/>
      <c r="GD683" s="51"/>
      <c r="GE683" s="51"/>
      <c r="GF683" s="51"/>
      <c r="GG683" s="51"/>
      <c r="GH683" s="51"/>
      <c r="GI683" s="51"/>
      <c r="GJ683" s="51"/>
      <c r="GK683" s="51"/>
      <c r="GL683" s="51"/>
      <c r="GM683" s="51"/>
      <c r="GN683" s="51"/>
      <c r="GO683" s="51"/>
      <c r="GP683" s="51"/>
      <c r="GQ683" s="51"/>
      <c r="GR683" s="51"/>
      <c r="GS683" s="51"/>
      <c r="GT683" s="51"/>
      <c r="GU683" s="51"/>
      <c r="GV683" s="51"/>
      <c r="GW683" s="51"/>
      <c r="GX683" s="51"/>
      <c r="GY683" s="51"/>
      <c r="GZ683" s="51"/>
      <c r="HA683" s="51"/>
      <c r="HB683" s="51"/>
      <c r="HC683" s="51"/>
      <c r="HD683" s="51"/>
      <c r="HE683" s="51"/>
      <c r="HF683" s="51"/>
      <c r="HG683" s="51"/>
      <c r="HH683" s="51"/>
      <c r="HI683" s="51"/>
      <c r="HJ683" s="51"/>
      <c r="HK683" s="51"/>
      <c r="HL683" s="51"/>
      <c r="HM683" s="51"/>
      <c r="HN683" s="51"/>
      <c r="HO683" s="51"/>
      <c r="HP683" s="51"/>
      <c r="HQ683" s="51"/>
      <c r="HR683" s="51"/>
      <c r="HS683" s="51"/>
      <c r="HT683" s="51"/>
      <c r="HU683" s="51"/>
      <c r="HV683" s="51"/>
      <c r="HW683" s="51"/>
      <c r="HX683" s="51"/>
      <c r="HY683" s="51"/>
      <c r="HZ683" s="51"/>
      <c r="IA683" s="51"/>
      <c r="IB683" s="51"/>
      <c r="IC683" s="51"/>
      <c r="ID683" s="51"/>
      <c r="IE683" s="51"/>
      <c r="IF683" s="51"/>
      <c r="IG683" s="51"/>
      <c r="IH683" s="51"/>
      <c r="II683" s="51"/>
      <c r="IJ683" s="51"/>
      <c r="IK683" s="51"/>
      <c r="IL683" s="51"/>
      <c r="IM683" s="51"/>
      <c r="IN683" s="51"/>
      <c r="IO683" s="51"/>
      <c r="IP683" s="51"/>
      <c r="IQ683" s="51"/>
      <c r="IR683" s="51"/>
      <c r="IS683" s="51"/>
      <c r="IT683" s="51"/>
      <c r="IU683" s="51"/>
    </row>
    <row r="684" spans="1:6" s="65" customFormat="1" ht="13.5">
      <c r="A684" s="71" t="s">
        <v>91</v>
      </c>
      <c r="B684" s="42" t="s">
        <v>139</v>
      </c>
      <c r="C684" s="59">
        <v>70500</v>
      </c>
      <c r="D684" s="66"/>
      <c r="E684" s="67"/>
      <c r="F684" s="194"/>
    </row>
    <row r="685" spans="1:255" s="51" customFormat="1" ht="13.5">
      <c r="A685" s="71" t="s">
        <v>57</v>
      </c>
      <c r="B685" s="42" t="s">
        <v>58</v>
      </c>
      <c r="C685" s="59">
        <v>30500</v>
      </c>
      <c r="D685" s="66"/>
      <c r="E685" s="67"/>
      <c r="F685" s="194"/>
      <c r="G685" s="65"/>
      <c r="H685" s="65"/>
      <c r="I685" s="65"/>
      <c r="J685" s="65"/>
      <c r="K685" s="65"/>
      <c r="L685" s="65"/>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c r="AQ685" s="65"/>
      <c r="AR685" s="65"/>
      <c r="AS685" s="65"/>
      <c r="AT685" s="65"/>
      <c r="AU685" s="65"/>
      <c r="AV685" s="65"/>
      <c r="AW685" s="65"/>
      <c r="AX685" s="65"/>
      <c r="AY685" s="65"/>
      <c r="AZ685" s="65"/>
      <c r="BA685" s="65"/>
      <c r="BB685" s="65"/>
      <c r="BC685" s="65"/>
      <c r="BD685" s="65"/>
      <c r="BE685" s="65"/>
      <c r="BF685" s="65"/>
      <c r="BG685" s="65"/>
      <c r="BH685" s="65"/>
      <c r="BI685" s="65"/>
      <c r="BJ685" s="65"/>
      <c r="BK685" s="65"/>
      <c r="BL685" s="65"/>
      <c r="BM685" s="65"/>
      <c r="BN685" s="65"/>
      <c r="BO685" s="65"/>
      <c r="BP685" s="65"/>
      <c r="BQ685" s="65"/>
      <c r="BR685" s="65"/>
      <c r="BS685" s="65"/>
      <c r="BT685" s="65"/>
      <c r="BU685" s="65"/>
      <c r="BV685" s="65"/>
      <c r="BW685" s="65"/>
      <c r="BX685" s="65"/>
      <c r="BY685" s="65"/>
      <c r="BZ685" s="65"/>
      <c r="CA685" s="65"/>
      <c r="CB685" s="65"/>
      <c r="CC685" s="65"/>
      <c r="CD685" s="65"/>
      <c r="CE685" s="65"/>
      <c r="CF685" s="65"/>
      <c r="CG685" s="65"/>
      <c r="CH685" s="65"/>
      <c r="CI685" s="65"/>
      <c r="CJ685" s="65"/>
      <c r="CK685" s="65"/>
      <c r="CL685" s="65"/>
      <c r="CM685" s="65"/>
      <c r="CN685" s="65"/>
      <c r="CO685" s="65"/>
      <c r="CP685" s="65"/>
      <c r="CQ685" s="65"/>
      <c r="CR685" s="65"/>
      <c r="CS685" s="65"/>
      <c r="CT685" s="65"/>
      <c r="CU685" s="65"/>
      <c r="CV685" s="65"/>
      <c r="CW685" s="65"/>
      <c r="CX685" s="65"/>
      <c r="CY685" s="65"/>
      <c r="CZ685" s="65"/>
      <c r="DA685" s="65"/>
      <c r="DB685" s="65"/>
      <c r="DC685" s="65"/>
      <c r="DD685" s="65"/>
      <c r="DE685" s="65"/>
      <c r="DF685" s="65"/>
      <c r="DG685" s="65"/>
      <c r="DH685" s="65"/>
      <c r="DI685" s="65"/>
      <c r="DJ685" s="65"/>
      <c r="DK685" s="65"/>
      <c r="DL685" s="65"/>
      <c r="DM685" s="65"/>
      <c r="DN685" s="65"/>
      <c r="DO685" s="65"/>
      <c r="DP685" s="65"/>
      <c r="DQ685" s="65"/>
      <c r="DR685" s="65"/>
      <c r="DS685" s="65"/>
      <c r="DT685" s="65"/>
      <c r="DU685" s="65"/>
      <c r="DV685" s="65"/>
      <c r="DW685" s="65"/>
      <c r="DX685" s="65"/>
      <c r="DY685" s="65"/>
      <c r="DZ685" s="65"/>
      <c r="EA685" s="65"/>
      <c r="EB685" s="65"/>
      <c r="EC685" s="65"/>
      <c r="ED685" s="65"/>
      <c r="EE685" s="65"/>
      <c r="EF685" s="65"/>
      <c r="EG685" s="65"/>
      <c r="EH685" s="65"/>
      <c r="EI685" s="65"/>
      <c r="EJ685" s="65"/>
      <c r="EK685" s="65"/>
      <c r="EL685" s="65"/>
      <c r="EM685" s="65"/>
      <c r="EN685" s="65"/>
      <c r="EO685" s="65"/>
      <c r="EP685" s="65"/>
      <c r="EQ685" s="65"/>
      <c r="ER685" s="65"/>
      <c r="ES685" s="65"/>
      <c r="ET685" s="65"/>
      <c r="EU685" s="65"/>
      <c r="EV685" s="65"/>
      <c r="EW685" s="65"/>
      <c r="EX685" s="65"/>
      <c r="EY685" s="65"/>
      <c r="EZ685" s="65"/>
      <c r="FA685" s="65"/>
      <c r="FB685" s="65"/>
      <c r="FC685" s="65"/>
      <c r="FD685" s="65"/>
      <c r="FE685" s="65"/>
      <c r="FF685" s="65"/>
      <c r="FG685" s="65"/>
      <c r="FH685" s="65"/>
      <c r="FI685" s="65"/>
      <c r="FJ685" s="65"/>
      <c r="FK685" s="65"/>
      <c r="FL685" s="65"/>
      <c r="FM685" s="65"/>
      <c r="FN685" s="65"/>
      <c r="FO685" s="65"/>
      <c r="FP685" s="65"/>
      <c r="FQ685" s="65"/>
      <c r="FR685" s="65"/>
      <c r="FS685" s="65"/>
      <c r="FT685" s="65"/>
      <c r="FU685" s="65"/>
      <c r="FV685" s="65"/>
      <c r="FW685" s="65"/>
      <c r="FX685" s="65"/>
      <c r="FY685" s="65"/>
      <c r="FZ685" s="65"/>
      <c r="GA685" s="65"/>
      <c r="GB685" s="65"/>
      <c r="GC685" s="65"/>
      <c r="GD685" s="65"/>
      <c r="GE685" s="65"/>
      <c r="GF685" s="65"/>
      <c r="GG685" s="65"/>
      <c r="GH685" s="65"/>
      <c r="GI685" s="65"/>
      <c r="GJ685" s="65"/>
      <c r="GK685" s="65"/>
      <c r="GL685" s="65"/>
      <c r="GM685" s="65"/>
      <c r="GN685" s="65"/>
      <c r="GO685" s="65"/>
      <c r="GP685" s="65"/>
      <c r="GQ685" s="65"/>
      <c r="GR685" s="65"/>
      <c r="GS685" s="65"/>
      <c r="GT685" s="65"/>
      <c r="GU685" s="65"/>
      <c r="GV685" s="65"/>
      <c r="GW685" s="65"/>
      <c r="GX685" s="65"/>
      <c r="GY685" s="65"/>
      <c r="GZ685" s="65"/>
      <c r="HA685" s="65"/>
      <c r="HB685" s="65"/>
      <c r="HC685" s="65"/>
      <c r="HD685" s="65"/>
      <c r="HE685" s="65"/>
      <c r="HF685" s="65"/>
      <c r="HG685" s="65"/>
      <c r="HH685" s="65"/>
      <c r="HI685" s="65"/>
      <c r="HJ685" s="65"/>
      <c r="HK685" s="65"/>
      <c r="HL685" s="65"/>
      <c r="HM685" s="65"/>
      <c r="HN685" s="65"/>
      <c r="HO685" s="65"/>
      <c r="HP685" s="65"/>
      <c r="HQ685" s="65"/>
      <c r="HR685" s="65"/>
      <c r="HS685" s="65"/>
      <c r="HT685" s="65"/>
      <c r="HU685" s="65"/>
      <c r="HV685" s="65"/>
      <c r="HW685" s="65"/>
      <c r="HX685" s="65"/>
      <c r="HY685" s="65"/>
      <c r="HZ685" s="65"/>
      <c r="IA685" s="65"/>
      <c r="IB685" s="65"/>
      <c r="IC685" s="65"/>
      <c r="ID685" s="65"/>
      <c r="IE685" s="65"/>
      <c r="IF685" s="65"/>
      <c r="IG685" s="65"/>
      <c r="IH685" s="65"/>
      <c r="II685" s="65"/>
      <c r="IJ685" s="65"/>
      <c r="IK685" s="65"/>
      <c r="IL685" s="65"/>
      <c r="IM685" s="65"/>
      <c r="IN685" s="65"/>
      <c r="IO685" s="65"/>
      <c r="IP685" s="65"/>
      <c r="IQ685" s="65"/>
      <c r="IR685" s="65"/>
      <c r="IS685" s="65"/>
      <c r="IT685" s="65"/>
      <c r="IU685" s="65"/>
    </row>
    <row r="686" spans="1:8" s="8" customFormat="1" ht="13.5" customHeight="1">
      <c r="A686" s="71" t="s">
        <v>756</v>
      </c>
      <c r="B686" s="23" t="s">
        <v>757</v>
      </c>
      <c r="C686" s="24">
        <v>30000</v>
      </c>
      <c r="D686" s="77"/>
      <c r="E686" s="25"/>
      <c r="F686" s="98"/>
      <c r="G686" s="54"/>
      <c r="H686" s="42"/>
    </row>
    <row r="687" spans="1:255" s="51" customFormat="1" ht="13.5">
      <c r="A687" s="249" t="s">
        <v>165</v>
      </c>
      <c r="B687" s="25" t="s">
        <v>135</v>
      </c>
      <c r="C687" s="63">
        <f>SUM(C688)</f>
        <v>20120</v>
      </c>
      <c r="D687" s="66"/>
      <c r="E687" s="67"/>
      <c r="F687" s="194"/>
      <c r="G687" s="65"/>
      <c r="H687" s="65"/>
      <c r="I687" s="65"/>
      <c r="J687" s="65"/>
      <c r="K687" s="65"/>
      <c r="L687" s="65"/>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c r="AQ687" s="65"/>
      <c r="AR687" s="65"/>
      <c r="AS687" s="65"/>
      <c r="AT687" s="65"/>
      <c r="AU687" s="65"/>
      <c r="AV687" s="65"/>
      <c r="AW687" s="65"/>
      <c r="AX687" s="65"/>
      <c r="AY687" s="65"/>
      <c r="AZ687" s="65"/>
      <c r="BA687" s="65"/>
      <c r="BB687" s="65"/>
      <c r="BC687" s="65"/>
      <c r="BD687" s="65"/>
      <c r="BE687" s="65"/>
      <c r="BF687" s="65"/>
      <c r="BG687" s="65"/>
      <c r="BH687" s="65"/>
      <c r="BI687" s="65"/>
      <c r="BJ687" s="65"/>
      <c r="BK687" s="65"/>
      <c r="BL687" s="65"/>
      <c r="BM687" s="65"/>
      <c r="BN687" s="65"/>
      <c r="BO687" s="65"/>
      <c r="BP687" s="65"/>
      <c r="BQ687" s="65"/>
      <c r="BR687" s="65"/>
      <c r="BS687" s="65"/>
      <c r="BT687" s="65"/>
      <c r="BU687" s="65"/>
      <c r="BV687" s="65"/>
      <c r="BW687" s="65"/>
      <c r="BX687" s="65"/>
      <c r="BY687" s="65"/>
      <c r="BZ687" s="65"/>
      <c r="CA687" s="65"/>
      <c r="CB687" s="65"/>
      <c r="CC687" s="65"/>
      <c r="CD687" s="65"/>
      <c r="CE687" s="65"/>
      <c r="CF687" s="65"/>
      <c r="CG687" s="65"/>
      <c r="CH687" s="65"/>
      <c r="CI687" s="65"/>
      <c r="CJ687" s="65"/>
      <c r="CK687" s="65"/>
      <c r="CL687" s="65"/>
      <c r="CM687" s="65"/>
      <c r="CN687" s="65"/>
      <c r="CO687" s="65"/>
      <c r="CP687" s="65"/>
      <c r="CQ687" s="65"/>
      <c r="CR687" s="65"/>
      <c r="CS687" s="65"/>
      <c r="CT687" s="65"/>
      <c r="CU687" s="65"/>
      <c r="CV687" s="65"/>
      <c r="CW687" s="65"/>
      <c r="CX687" s="65"/>
      <c r="CY687" s="65"/>
      <c r="CZ687" s="65"/>
      <c r="DA687" s="65"/>
      <c r="DB687" s="65"/>
      <c r="DC687" s="65"/>
      <c r="DD687" s="65"/>
      <c r="DE687" s="65"/>
      <c r="DF687" s="65"/>
      <c r="DG687" s="65"/>
      <c r="DH687" s="65"/>
      <c r="DI687" s="65"/>
      <c r="DJ687" s="65"/>
      <c r="DK687" s="65"/>
      <c r="DL687" s="65"/>
      <c r="DM687" s="65"/>
      <c r="DN687" s="65"/>
      <c r="DO687" s="65"/>
      <c r="DP687" s="65"/>
      <c r="DQ687" s="65"/>
      <c r="DR687" s="65"/>
      <c r="DS687" s="65"/>
      <c r="DT687" s="65"/>
      <c r="DU687" s="65"/>
      <c r="DV687" s="65"/>
      <c r="DW687" s="65"/>
      <c r="DX687" s="65"/>
      <c r="DY687" s="65"/>
      <c r="DZ687" s="65"/>
      <c r="EA687" s="65"/>
      <c r="EB687" s="65"/>
      <c r="EC687" s="65"/>
      <c r="ED687" s="65"/>
      <c r="EE687" s="65"/>
      <c r="EF687" s="65"/>
      <c r="EG687" s="65"/>
      <c r="EH687" s="65"/>
      <c r="EI687" s="65"/>
      <c r="EJ687" s="65"/>
      <c r="EK687" s="65"/>
      <c r="EL687" s="65"/>
      <c r="EM687" s="65"/>
      <c r="EN687" s="65"/>
      <c r="EO687" s="65"/>
      <c r="EP687" s="65"/>
      <c r="EQ687" s="65"/>
      <c r="ER687" s="65"/>
      <c r="ES687" s="65"/>
      <c r="ET687" s="65"/>
      <c r="EU687" s="65"/>
      <c r="EV687" s="65"/>
      <c r="EW687" s="65"/>
      <c r="EX687" s="65"/>
      <c r="EY687" s="65"/>
      <c r="EZ687" s="65"/>
      <c r="FA687" s="65"/>
      <c r="FB687" s="65"/>
      <c r="FC687" s="65"/>
      <c r="FD687" s="65"/>
      <c r="FE687" s="65"/>
      <c r="FF687" s="65"/>
      <c r="FG687" s="65"/>
      <c r="FH687" s="65"/>
      <c r="FI687" s="65"/>
      <c r="FJ687" s="65"/>
      <c r="FK687" s="65"/>
      <c r="FL687" s="65"/>
      <c r="FM687" s="65"/>
      <c r="FN687" s="65"/>
      <c r="FO687" s="65"/>
      <c r="FP687" s="65"/>
      <c r="FQ687" s="65"/>
      <c r="FR687" s="65"/>
      <c r="FS687" s="65"/>
      <c r="FT687" s="65"/>
      <c r="FU687" s="65"/>
      <c r="FV687" s="65"/>
      <c r="FW687" s="65"/>
      <c r="FX687" s="65"/>
      <c r="FY687" s="65"/>
      <c r="FZ687" s="65"/>
      <c r="GA687" s="65"/>
      <c r="GB687" s="65"/>
      <c r="GC687" s="65"/>
      <c r="GD687" s="65"/>
      <c r="GE687" s="65"/>
      <c r="GF687" s="65"/>
      <c r="GG687" s="65"/>
      <c r="GH687" s="65"/>
      <c r="GI687" s="65"/>
      <c r="GJ687" s="65"/>
      <c r="GK687" s="65"/>
      <c r="GL687" s="65"/>
      <c r="GM687" s="65"/>
      <c r="GN687" s="65"/>
      <c r="GO687" s="65"/>
      <c r="GP687" s="65"/>
      <c r="GQ687" s="65"/>
      <c r="GR687" s="65"/>
      <c r="GS687" s="65"/>
      <c r="GT687" s="65"/>
      <c r="GU687" s="65"/>
      <c r="GV687" s="65"/>
      <c r="GW687" s="65"/>
      <c r="GX687" s="65"/>
      <c r="GY687" s="65"/>
      <c r="GZ687" s="65"/>
      <c r="HA687" s="65"/>
      <c r="HB687" s="65"/>
      <c r="HC687" s="65"/>
      <c r="HD687" s="65"/>
      <c r="HE687" s="65"/>
      <c r="HF687" s="65"/>
      <c r="HG687" s="65"/>
      <c r="HH687" s="65"/>
      <c r="HI687" s="65"/>
      <c r="HJ687" s="65"/>
      <c r="HK687" s="65"/>
      <c r="HL687" s="65"/>
      <c r="HM687" s="65"/>
      <c r="HN687" s="65"/>
      <c r="HO687" s="65"/>
      <c r="HP687" s="65"/>
      <c r="HQ687" s="65"/>
      <c r="HR687" s="65"/>
      <c r="HS687" s="65"/>
      <c r="HT687" s="65"/>
      <c r="HU687" s="65"/>
      <c r="HV687" s="65"/>
      <c r="HW687" s="65"/>
      <c r="HX687" s="65"/>
      <c r="HY687" s="65"/>
      <c r="HZ687" s="65"/>
      <c r="IA687" s="65"/>
      <c r="IB687" s="65"/>
      <c r="IC687" s="65"/>
      <c r="ID687" s="65"/>
      <c r="IE687" s="65"/>
      <c r="IF687" s="65"/>
      <c r="IG687" s="65"/>
      <c r="IH687" s="65"/>
      <c r="II687" s="65"/>
      <c r="IJ687" s="65"/>
      <c r="IK687" s="65"/>
      <c r="IL687" s="65"/>
      <c r="IM687" s="65"/>
      <c r="IN687" s="65"/>
      <c r="IO687" s="65"/>
      <c r="IP687" s="65"/>
      <c r="IQ687" s="65"/>
      <c r="IR687" s="65"/>
      <c r="IS687" s="65"/>
      <c r="IT687" s="65"/>
      <c r="IU687" s="65"/>
    </row>
    <row r="688" spans="1:255" s="51" customFormat="1" ht="13.5">
      <c r="A688" s="71" t="s">
        <v>166</v>
      </c>
      <c r="B688" s="42" t="s">
        <v>51</v>
      </c>
      <c r="C688" s="59">
        <v>20120</v>
      </c>
      <c r="D688" s="66"/>
      <c r="E688" s="67"/>
      <c r="F688" s="194"/>
      <c r="G688" s="65"/>
      <c r="H688" s="65"/>
      <c r="I688" s="65"/>
      <c r="J688" s="65"/>
      <c r="K688" s="65"/>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c r="AQ688" s="65"/>
      <c r="AR688" s="65"/>
      <c r="AS688" s="65"/>
      <c r="AT688" s="65"/>
      <c r="AU688" s="65"/>
      <c r="AV688" s="65"/>
      <c r="AW688" s="65"/>
      <c r="AX688" s="65"/>
      <c r="AY688" s="65"/>
      <c r="AZ688" s="65"/>
      <c r="BA688" s="65"/>
      <c r="BB688" s="65"/>
      <c r="BC688" s="65"/>
      <c r="BD688" s="65"/>
      <c r="BE688" s="65"/>
      <c r="BF688" s="65"/>
      <c r="BG688" s="65"/>
      <c r="BH688" s="65"/>
      <c r="BI688" s="65"/>
      <c r="BJ688" s="65"/>
      <c r="BK688" s="65"/>
      <c r="BL688" s="65"/>
      <c r="BM688" s="65"/>
      <c r="BN688" s="65"/>
      <c r="BO688" s="65"/>
      <c r="BP688" s="65"/>
      <c r="BQ688" s="65"/>
      <c r="BR688" s="65"/>
      <c r="BS688" s="65"/>
      <c r="BT688" s="65"/>
      <c r="BU688" s="65"/>
      <c r="BV688" s="65"/>
      <c r="BW688" s="65"/>
      <c r="BX688" s="65"/>
      <c r="BY688" s="65"/>
      <c r="BZ688" s="65"/>
      <c r="CA688" s="65"/>
      <c r="CB688" s="65"/>
      <c r="CC688" s="65"/>
      <c r="CD688" s="65"/>
      <c r="CE688" s="65"/>
      <c r="CF688" s="65"/>
      <c r="CG688" s="65"/>
      <c r="CH688" s="65"/>
      <c r="CI688" s="65"/>
      <c r="CJ688" s="65"/>
      <c r="CK688" s="65"/>
      <c r="CL688" s="65"/>
      <c r="CM688" s="65"/>
      <c r="CN688" s="65"/>
      <c r="CO688" s="65"/>
      <c r="CP688" s="65"/>
      <c r="CQ688" s="65"/>
      <c r="CR688" s="65"/>
      <c r="CS688" s="65"/>
      <c r="CT688" s="65"/>
      <c r="CU688" s="65"/>
      <c r="CV688" s="65"/>
      <c r="CW688" s="65"/>
      <c r="CX688" s="65"/>
      <c r="CY688" s="65"/>
      <c r="CZ688" s="65"/>
      <c r="DA688" s="65"/>
      <c r="DB688" s="65"/>
      <c r="DC688" s="65"/>
      <c r="DD688" s="65"/>
      <c r="DE688" s="65"/>
      <c r="DF688" s="65"/>
      <c r="DG688" s="65"/>
      <c r="DH688" s="65"/>
      <c r="DI688" s="65"/>
      <c r="DJ688" s="65"/>
      <c r="DK688" s="65"/>
      <c r="DL688" s="65"/>
      <c r="DM688" s="65"/>
      <c r="DN688" s="65"/>
      <c r="DO688" s="65"/>
      <c r="DP688" s="65"/>
      <c r="DQ688" s="65"/>
      <c r="DR688" s="65"/>
      <c r="DS688" s="65"/>
      <c r="DT688" s="65"/>
      <c r="DU688" s="65"/>
      <c r="DV688" s="65"/>
      <c r="DW688" s="65"/>
      <c r="DX688" s="65"/>
      <c r="DY688" s="65"/>
      <c r="DZ688" s="65"/>
      <c r="EA688" s="65"/>
      <c r="EB688" s="65"/>
      <c r="EC688" s="65"/>
      <c r="ED688" s="65"/>
      <c r="EE688" s="65"/>
      <c r="EF688" s="65"/>
      <c r="EG688" s="65"/>
      <c r="EH688" s="65"/>
      <c r="EI688" s="65"/>
      <c r="EJ688" s="65"/>
      <c r="EK688" s="65"/>
      <c r="EL688" s="65"/>
      <c r="EM688" s="65"/>
      <c r="EN688" s="65"/>
      <c r="EO688" s="65"/>
      <c r="EP688" s="65"/>
      <c r="EQ688" s="65"/>
      <c r="ER688" s="65"/>
      <c r="ES688" s="65"/>
      <c r="ET688" s="65"/>
      <c r="EU688" s="65"/>
      <c r="EV688" s="65"/>
      <c r="EW688" s="65"/>
      <c r="EX688" s="65"/>
      <c r="EY688" s="65"/>
      <c r="EZ688" s="65"/>
      <c r="FA688" s="65"/>
      <c r="FB688" s="65"/>
      <c r="FC688" s="65"/>
      <c r="FD688" s="65"/>
      <c r="FE688" s="65"/>
      <c r="FF688" s="65"/>
      <c r="FG688" s="65"/>
      <c r="FH688" s="65"/>
      <c r="FI688" s="65"/>
      <c r="FJ688" s="65"/>
      <c r="FK688" s="65"/>
      <c r="FL688" s="65"/>
      <c r="FM688" s="65"/>
      <c r="FN688" s="65"/>
      <c r="FO688" s="65"/>
      <c r="FP688" s="65"/>
      <c r="FQ688" s="65"/>
      <c r="FR688" s="65"/>
      <c r="FS688" s="65"/>
      <c r="FT688" s="65"/>
      <c r="FU688" s="65"/>
      <c r="FV688" s="65"/>
      <c r="FW688" s="65"/>
      <c r="FX688" s="65"/>
      <c r="FY688" s="65"/>
      <c r="FZ688" s="65"/>
      <c r="GA688" s="65"/>
      <c r="GB688" s="65"/>
      <c r="GC688" s="65"/>
      <c r="GD688" s="65"/>
      <c r="GE688" s="65"/>
      <c r="GF688" s="65"/>
      <c r="GG688" s="65"/>
      <c r="GH688" s="65"/>
      <c r="GI688" s="65"/>
      <c r="GJ688" s="65"/>
      <c r="GK688" s="65"/>
      <c r="GL688" s="65"/>
      <c r="GM688" s="65"/>
      <c r="GN688" s="65"/>
      <c r="GO688" s="65"/>
      <c r="GP688" s="65"/>
      <c r="GQ688" s="65"/>
      <c r="GR688" s="65"/>
      <c r="GS688" s="65"/>
      <c r="GT688" s="65"/>
      <c r="GU688" s="65"/>
      <c r="GV688" s="65"/>
      <c r="GW688" s="65"/>
      <c r="GX688" s="65"/>
      <c r="GY688" s="65"/>
      <c r="GZ688" s="65"/>
      <c r="HA688" s="65"/>
      <c r="HB688" s="65"/>
      <c r="HC688" s="65"/>
      <c r="HD688" s="65"/>
      <c r="HE688" s="65"/>
      <c r="HF688" s="65"/>
      <c r="HG688" s="65"/>
      <c r="HH688" s="65"/>
      <c r="HI688" s="65"/>
      <c r="HJ688" s="65"/>
      <c r="HK688" s="65"/>
      <c r="HL688" s="65"/>
      <c r="HM688" s="65"/>
      <c r="HN688" s="65"/>
      <c r="HO688" s="65"/>
      <c r="HP688" s="65"/>
      <c r="HQ688" s="65"/>
      <c r="HR688" s="65"/>
      <c r="HS688" s="65"/>
      <c r="HT688" s="65"/>
      <c r="HU688" s="65"/>
      <c r="HV688" s="65"/>
      <c r="HW688" s="65"/>
      <c r="HX688" s="65"/>
      <c r="HY688" s="65"/>
      <c r="HZ688" s="65"/>
      <c r="IA688" s="65"/>
      <c r="IB688" s="65"/>
      <c r="IC688" s="65"/>
      <c r="ID688" s="65"/>
      <c r="IE688" s="65"/>
      <c r="IF688" s="65"/>
      <c r="IG688" s="65"/>
      <c r="IH688" s="65"/>
      <c r="II688" s="65"/>
      <c r="IJ688" s="65"/>
      <c r="IK688" s="65"/>
      <c r="IL688" s="65"/>
      <c r="IM688" s="65"/>
      <c r="IN688" s="65"/>
      <c r="IO688" s="65"/>
      <c r="IP688" s="65"/>
      <c r="IQ688" s="65"/>
      <c r="IR688" s="65"/>
      <c r="IS688" s="65"/>
      <c r="IT688" s="65"/>
      <c r="IU688" s="65"/>
    </row>
    <row r="689" spans="1:255" s="51" customFormat="1" ht="14.25" thickBot="1">
      <c r="A689" s="71"/>
      <c r="B689" s="42"/>
      <c r="C689" s="59"/>
      <c r="D689" s="66"/>
      <c r="E689" s="67"/>
      <c r="F689" s="194"/>
      <c r="G689" s="65"/>
      <c r="H689" s="65"/>
      <c r="I689" s="65"/>
      <c r="J689" s="65"/>
      <c r="K689" s="65"/>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c r="AQ689" s="65"/>
      <c r="AR689" s="65"/>
      <c r="AS689" s="65"/>
      <c r="AT689" s="65"/>
      <c r="AU689" s="65"/>
      <c r="AV689" s="65"/>
      <c r="AW689" s="65"/>
      <c r="AX689" s="65"/>
      <c r="AY689" s="65"/>
      <c r="AZ689" s="65"/>
      <c r="BA689" s="65"/>
      <c r="BB689" s="65"/>
      <c r="BC689" s="65"/>
      <c r="BD689" s="65"/>
      <c r="BE689" s="65"/>
      <c r="BF689" s="65"/>
      <c r="BG689" s="65"/>
      <c r="BH689" s="65"/>
      <c r="BI689" s="65"/>
      <c r="BJ689" s="65"/>
      <c r="BK689" s="65"/>
      <c r="BL689" s="65"/>
      <c r="BM689" s="65"/>
      <c r="BN689" s="65"/>
      <c r="BO689" s="65"/>
      <c r="BP689" s="65"/>
      <c r="BQ689" s="65"/>
      <c r="BR689" s="65"/>
      <c r="BS689" s="65"/>
      <c r="BT689" s="65"/>
      <c r="BU689" s="65"/>
      <c r="BV689" s="65"/>
      <c r="BW689" s="65"/>
      <c r="BX689" s="65"/>
      <c r="BY689" s="65"/>
      <c r="BZ689" s="65"/>
      <c r="CA689" s="65"/>
      <c r="CB689" s="65"/>
      <c r="CC689" s="65"/>
      <c r="CD689" s="65"/>
      <c r="CE689" s="65"/>
      <c r="CF689" s="65"/>
      <c r="CG689" s="65"/>
      <c r="CH689" s="65"/>
      <c r="CI689" s="65"/>
      <c r="CJ689" s="65"/>
      <c r="CK689" s="65"/>
      <c r="CL689" s="65"/>
      <c r="CM689" s="65"/>
      <c r="CN689" s="65"/>
      <c r="CO689" s="65"/>
      <c r="CP689" s="65"/>
      <c r="CQ689" s="65"/>
      <c r="CR689" s="65"/>
      <c r="CS689" s="65"/>
      <c r="CT689" s="65"/>
      <c r="CU689" s="65"/>
      <c r="CV689" s="65"/>
      <c r="CW689" s="65"/>
      <c r="CX689" s="65"/>
      <c r="CY689" s="65"/>
      <c r="CZ689" s="65"/>
      <c r="DA689" s="65"/>
      <c r="DB689" s="65"/>
      <c r="DC689" s="65"/>
      <c r="DD689" s="65"/>
      <c r="DE689" s="65"/>
      <c r="DF689" s="65"/>
      <c r="DG689" s="65"/>
      <c r="DH689" s="65"/>
      <c r="DI689" s="65"/>
      <c r="DJ689" s="65"/>
      <c r="DK689" s="65"/>
      <c r="DL689" s="65"/>
      <c r="DM689" s="65"/>
      <c r="DN689" s="65"/>
      <c r="DO689" s="65"/>
      <c r="DP689" s="65"/>
      <c r="DQ689" s="65"/>
      <c r="DR689" s="65"/>
      <c r="DS689" s="65"/>
      <c r="DT689" s="65"/>
      <c r="DU689" s="65"/>
      <c r="DV689" s="65"/>
      <c r="DW689" s="65"/>
      <c r="DX689" s="65"/>
      <c r="DY689" s="65"/>
      <c r="DZ689" s="65"/>
      <c r="EA689" s="65"/>
      <c r="EB689" s="65"/>
      <c r="EC689" s="65"/>
      <c r="ED689" s="65"/>
      <c r="EE689" s="65"/>
      <c r="EF689" s="65"/>
      <c r="EG689" s="65"/>
      <c r="EH689" s="65"/>
      <c r="EI689" s="65"/>
      <c r="EJ689" s="65"/>
      <c r="EK689" s="65"/>
      <c r="EL689" s="65"/>
      <c r="EM689" s="65"/>
      <c r="EN689" s="65"/>
      <c r="EO689" s="65"/>
      <c r="EP689" s="65"/>
      <c r="EQ689" s="65"/>
      <c r="ER689" s="65"/>
      <c r="ES689" s="65"/>
      <c r="ET689" s="65"/>
      <c r="EU689" s="65"/>
      <c r="EV689" s="65"/>
      <c r="EW689" s="65"/>
      <c r="EX689" s="65"/>
      <c r="EY689" s="65"/>
      <c r="EZ689" s="65"/>
      <c r="FA689" s="65"/>
      <c r="FB689" s="65"/>
      <c r="FC689" s="65"/>
      <c r="FD689" s="65"/>
      <c r="FE689" s="65"/>
      <c r="FF689" s="65"/>
      <c r="FG689" s="65"/>
      <c r="FH689" s="65"/>
      <c r="FI689" s="65"/>
      <c r="FJ689" s="65"/>
      <c r="FK689" s="65"/>
      <c r="FL689" s="65"/>
      <c r="FM689" s="65"/>
      <c r="FN689" s="65"/>
      <c r="FO689" s="65"/>
      <c r="FP689" s="65"/>
      <c r="FQ689" s="65"/>
      <c r="FR689" s="65"/>
      <c r="FS689" s="65"/>
      <c r="FT689" s="65"/>
      <c r="FU689" s="65"/>
      <c r="FV689" s="65"/>
      <c r="FW689" s="65"/>
      <c r="FX689" s="65"/>
      <c r="FY689" s="65"/>
      <c r="FZ689" s="65"/>
      <c r="GA689" s="65"/>
      <c r="GB689" s="65"/>
      <c r="GC689" s="65"/>
      <c r="GD689" s="65"/>
      <c r="GE689" s="65"/>
      <c r="GF689" s="65"/>
      <c r="GG689" s="65"/>
      <c r="GH689" s="65"/>
      <c r="GI689" s="65"/>
      <c r="GJ689" s="65"/>
      <c r="GK689" s="65"/>
      <c r="GL689" s="65"/>
      <c r="GM689" s="65"/>
      <c r="GN689" s="65"/>
      <c r="GO689" s="65"/>
      <c r="GP689" s="65"/>
      <c r="GQ689" s="65"/>
      <c r="GR689" s="65"/>
      <c r="GS689" s="65"/>
      <c r="GT689" s="65"/>
      <c r="GU689" s="65"/>
      <c r="GV689" s="65"/>
      <c r="GW689" s="65"/>
      <c r="GX689" s="65"/>
      <c r="GY689" s="65"/>
      <c r="GZ689" s="65"/>
      <c r="HA689" s="65"/>
      <c r="HB689" s="65"/>
      <c r="HC689" s="65"/>
      <c r="HD689" s="65"/>
      <c r="HE689" s="65"/>
      <c r="HF689" s="65"/>
      <c r="HG689" s="65"/>
      <c r="HH689" s="65"/>
      <c r="HI689" s="65"/>
      <c r="HJ689" s="65"/>
      <c r="HK689" s="65"/>
      <c r="HL689" s="65"/>
      <c r="HM689" s="65"/>
      <c r="HN689" s="65"/>
      <c r="HO689" s="65"/>
      <c r="HP689" s="65"/>
      <c r="HQ689" s="65"/>
      <c r="HR689" s="65"/>
      <c r="HS689" s="65"/>
      <c r="HT689" s="65"/>
      <c r="HU689" s="65"/>
      <c r="HV689" s="65"/>
      <c r="HW689" s="65"/>
      <c r="HX689" s="65"/>
      <c r="HY689" s="65"/>
      <c r="HZ689" s="65"/>
      <c r="IA689" s="65"/>
      <c r="IB689" s="65"/>
      <c r="IC689" s="65"/>
      <c r="ID689" s="65"/>
      <c r="IE689" s="65"/>
      <c r="IF689" s="65"/>
      <c r="IG689" s="65"/>
      <c r="IH689" s="65"/>
      <c r="II689" s="65"/>
      <c r="IJ689" s="65"/>
      <c r="IK689" s="65"/>
      <c r="IL689" s="65"/>
      <c r="IM689" s="65"/>
      <c r="IN689" s="65"/>
      <c r="IO689" s="65"/>
      <c r="IP689" s="65"/>
      <c r="IQ689" s="65"/>
      <c r="IR689" s="65"/>
      <c r="IS689" s="65"/>
      <c r="IT689" s="65"/>
      <c r="IU689" s="65"/>
    </row>
    <row r="690" spans="1:6" s="68" customFormat="1" ht="13.5">
      <c r="A690" s="988" t="s">
        <v>914</v>
      </c>
      <c r="B690" s="989"/>
      <c r="C690" s="639" t="s">
        <v>6</v>
      </c>
      <c r="D690" s="754" t="s">
        <v>1015</v>
      </c>
      <c r="F690" s="523"/>
    </row>
    <row r="691" spans="1:6" s="68" customFormat="1" ht="14.25" thickBot="1">
      <c r="A691" s="990"/>
      <c r="B691" s="991"/>
      <c r="C691" s="640"/>
      <c r="D691" s="641"/>
      <c r="F691" s="212"/>
    </row>
    <row r="692" spans="1:6" s="68" customFormat="1" ht="13.5">
      <c r="A692" s="979" t="s">
        <v>915</v>
      </c>
      <c r="B692" s="980"/>
      <c r="C692" s="980"/>
      <c r="D692" s="981"/>
      <c r="F692" s="212"/>
    </row>
    <row r="693" spans="1:6" s="68" customFormat="1" ht="13.5">
      <c r="A693" s="982"/>
      <c r="B693" s="983"/>
      <c r="C693" s="983"/>
      <c r="D693" s="984"/>
      <c r="F693" s="212"/>
    </row>
    <row r="694" spans="1:6" s="68" customFormat="1" ht="13.5">
      <c r="A694" s="982"/>
      <c r="B694" s="983"/>
      <c r="C694" s="983"/>
      <c r="D694" s="984"/>
      <c r="F694" s="212"/>
    </row>
    <row r="695" spans="1:6" s="68" customFormat="1" ht="13.5">
      <c r="A695" s="982"/>
      <c r="B695" s="983"/>
      <c r="C695" s="983"/>
      <c r="D695" s="984"/>
      <c r="F695" s="212"/>
    </row>
    <row r="696" spans="1:6" s="68" customFormat="1" ht="13.5">
      <c r="A696" s="982"/>
      <c r="B696" s="983"/>
      <c r="C696" s="983"/>
      <c r="D696" s="984"/>
      <c r="F696" s="212"/>
    </row>
    <row r="697" spans="1:6" s="68" customFormat="1" ht="25.5" customHeight="1" thickBot="1">
      <c r="A697" s="985"/>
      <c r="B697" s="986"/>
      <c r="C697" s="986"/>
      <c r="D697" s="987"/>
      <c r="F697" s="212"/>
    </row>
    <row r="698" spans="1:6" s="220" customFormat="1" ht="13.5">
      <c r="A698" s="57" t="s">
        <v>809</v>
      </c>
      <c r="B698" s="58"/>
      <c r="C698" s="59"/>
      <c r="D698" s="60"/>
      <c r="F698" s="212"/>
    </row>
    <row r="699" spans="1:6" s="220" customFormat="1" ht="13.5">
      <c r="A699" s="40" t="s">
        <v>581</v>
      </c>
      <c r="B699" s="58"/>
      <c r="C699" s="59"/>
      <c r="D699" s="60"/>
      <c r="F699" s="212"/>
    </row>
    <row r="700" spans="1:6" s="220" customFormat="1" ht="13.5">
      <c r="A700" s="40" t="s">
        <v>602</v>
      </c>
      <c r="B700" s="58"/>
      <c r="C700" s="59"/>
      <c r="D700" s="60"/>
      <c r="F700" s="212"/>
    </row>
    <row r="701" spans="1:6" s="220" customFormat="1" ht="14.25" thickBot="1">
      <c r="A701" s="57" t="s">
        <v>13</v>
      </c>
      <c r="B701" s="58"/>
      <c r="C701" s="59"/>
      <c r="D701" s="60"/>
      <c r="F701" s="212"/>
    </row>
    <row r="702" spans="1:7" s="220" customFormat="1" ht="14.25" thickBot="1">
      <c r="A702" s="678" t="s">
        <v>535</v>
      </c>
      <c r="B702" s="679"/>
      <c r="C702" s="686"/>
      <c r="D702" s="682">
        <f>+C704+C731+C746+C751</f>
        <v>2601960</v>
      </c>
      <c r="F702" s="221"/>
      <c r="G702" s="221"/>
    </row>
    <row r="703" spans="1:6" s="220" customFormat="1" ht="14.25" thickBot="1">
      <c r="A703" s="62"/>
      <c r="B703" s="62"/>
      <c r="C703" s="63"/>
      <c r="D703" s="63"/>
      <c r="E703" s="222"/>
      <c r="F703" s="212"/>
    </row>
    <row r="704" spans="1:6" s="65" customFormat="1" ht="14.25" thickBot="1">
      <c r="A704" s="1013" t="s">
        <v>2</v>
      </c>
      <c r="B704" s="1014"/>
      <c r="C704" s="634">
        <f>C705+C707+C709+C711+C714+C716+C723+C725</f>
        <v>1061710</v>
      </c>
      <c r="D704" s="91"/>
      <c r="E704" s="851"/>
      <c r="F704" s="194"/>
    </row>
    <row r="705" spans="1:6" s="225" customFormat="1" ht="13.5">
      <c r="A705" s="11" t="s">
        <v>103</v>
      </c>
      <c r="B705" s="281" t="s">
        <v>104</v>
      </c>
      <c r="C705" s="509">
        <f>SUM(C706)</f>
        <v>85110</v>
      </c>
      <c r="D705" s="94"/>
      <c r="E705" s="824"/>
      <c r="F705" s="98"/>
    </row>
    <row r="706" spans="1:6" s="65" customFormat="1" ht="13.5">
      <c r="A706" s="12" t="s">
        <v>46</v>
      </c>
      <c r="B706" s="42" t="s">
        <v>160</v>
      </c>
      <c r="C706" s="59">
        <v>85110</v>
      </c>
      <c r="D706" s="69"/>
      <c r="E706" s="67"/>
      <c r="F706" s="194"/>
    </row>
    <row r="707" spans="1:11" s="202" customFormat="1" ht="13.5" customHeight="1">
      <c r="A707" s="249" t="s">
        <v>200</v>
      </c>
      <c r="B707" s="281" t="s">
        <v>229</v>
      </c>
      <c r="C707" s="31">
        <f>SUM(C708:C708)</f>
        <v>5500</v>
      </c>
      <c r="D707" s="24"/>
      <c r="E707" s="24"/>
      <c r="F707" s="203"/>
      <c r="G707" s="169"/>
      <c r="H707" s="169"/>
      <c r="I707" s="169"/>
      <c r="J707" s="169"/>
      <c r="K707" s="169"/>
    </row>
    <row r="708" spans="1:11" s="193" customFormat="1" ht="13.5">
      <c r="A708" s="71" t="s">
        <v>198</v>
      </c>
      <c r="B708" s="42" t="s">
        <v>197</v>
      </c>
      <c r="C708" s="24">
        <v>5500</v>
      </c>
      <c r="D708" s="23"/>
      <c r="E708" s="71"/>
      <c r="F708" s="207"/>
      <c r="G708" s="147"/>
      <c r="H708" s="147"/>
      <c r="I708" s="147"/>
      <c r="J708" s="147"/>
      <c r="K708" s="147"/>
    </row>
    <row r="709" spans="1:6" s="65" customFormat="1" ht="13.5">
      <c r="A709" s="11" t="s">
        <v>105</v>
      </c>
      <c r="B709" s="502" t="s">
        <v>106</v>
      </c>
      <c r="C709" s="63">
        <f>SUM(C710:C710)</f>
        <v>35100</v>
      </c>
      <c r="D709" s="226"/>
      <c r="F709" s="194"/>
    </row>
    <row r="710" spans="1:255" s="65" customFormat="1" ht="13.5">
      <c r="A710" s="12" t="s">
        <v>86</v>
      </c>
      <c r="B710" s="42" t="s">
        <v>66</v>
      </c>
      <c r="C710" s="24">
        <v>35100</v>
      </c>
      <c r="F710" s="95"/>
      <c r="G710" s="31"/>
      <c r="H710" s="42"/>
      <c r="I710" s="42"/>
      <c r="J710" s="42"/>
      <c r="K710" s="42"/>
      <c r="L710" s="42"/>
      <c r="M710" s="42"/>
      <c r="N710" s="42"/>
      <c r="O710" s="42"/>
      <c r="P710" s="42"/>
      <c r="Q710" s="42"/>
      <c r="R710" s="42"/>
      <c r="S710" s="42"/>
      <c r="T710" s="42"/>
      <c r="U710" s="42"/>
      <c r="V710" s="42"/>
      <c r="W710" s="42"/>
      <c r="X710" s="42"/>
      <c r="Y710" s="42"/>
      <c r="Z710" s="42"/>
      <c r="AA710" s="42"/>
      <c r="AB710" s="42"/>
      <c r="AC710" s="42"/>
      <c r="AD710" s="42"/>
      <c r="AE710" s="42"/>
      <c r="AF710" s="42"/>
      <c r="AG710" s="42"/>
      <c r="AH710" s="42"/>
      <c r="AI710" s="42"/>
      <c r="AJ710" s="42"/>
      <c r="AK710" s="42"/>
      <c r="AL710" s="42"/>
      <c r="AM710" s="42"/>
      <c r="AN710" s="42"/>
      <c r="AO710" s="42"/>
      <c r="AP710" s="42"/>
      <c r="AQ710" s="42"/>
      <c r="AR710" s="42"/>
      <c r="AS710" s="42"/>
      <c r="AT710" s="42"/>
      <c r="AU710" s="42"/>
      <c r="AV710" s="42"/>
      <c r="AW710" s="42"/>
      <c r="AX710" s="42"/>
      <c r="AY710" s="42"/>
      <c r="AZ710" s="42"/>
      <c r="BA710" s="42"/>
      <c r="BB710" s="42"/>
      <c r="BC710" s="42"/>
      <c r="BD710" s="42"/>
      <c r="BE710" s="42"/>
      <c r="BF710" s="42"/>
      <c r="BG710" s="42"/>
      <c r="BH710" s="42"/>
      <c r="BI710" s="42"/>
      <c r="BJ710" s="42"/>
      <c r="BK710" s="42"/>
      <c r="BL710" s="42"/>
      <c r="BM710" s="42"/>
      <c r="BN710" s="42"/>
      <c r="BO710" s="42"/>
      <c r="BP710" s="42"/>
      <c r="BQ710" s="42"/>
      <c r="BR710" s="42"/>
      <c r="BS710" s="42"/>
      <c r="BT710" s="42"/>
      <c r="BU710" s="42"/>
      <c r="BV710" s="42"/>
      <c r="BW710" s="42"/>
      <c r="BX710" s="42"/>
      <c r="BY710" s="42"/>
      <c r="BZ710" s="42"/>
      <c r="CA710" s="42"/>
      <c r="CB710" s="42"/>
      <c r="CC710" s="42"/>
      <c r="CD710" s="42"/>
      <c r="CE710" s="42"/>
      <c r="CF710" s="42"/>
      <c r="CG710" s="42"/>
      <c r="CH710" s="42"/>
      <c r="CI710" s="42"/>
      <c r="CJ710" s="42"/>
      <c r="CK710" s="42"/>
      <c r="CL710" s="42"/>
      <c r="CM710" s="42"/>
      <c r="CN710" s="42"/>
      <c r="CO710" s="42"/>
      <c r="CP710" s="42"/>
      <c r="CQ710" s="42"/>
      <c r="CR710" s="42"/>
      <c r="CS710" s="42"/>
      <c r="CT710" s="42"/>
      <c r="CU710" s="42"/>
      <c r="CV710" s="42"/>
      <c r="CW710" s="42"/>
      <c r="CX710" s="42"/>
      <c r="CY710" s="42"/>
      <c r="CZ710" s="42"/>
      <c r="DA710" s="42"/>
      <c r="DB710" s="42"/>
      <c r="DC710" s="42"/>
      <c r="DD710" s="42"/>
      <c r="DE710" s="42"/>
      <c r="DF710" s="42"/>
      <c r="DG710" s="42"/>
      <c r="DH710" s="42"/>
      <c r="DI710" s="42"/>
      <c r="DJ710" s="42"/>
      <c r="DK710" s="42"/>
      <c r="DL710" s="42"/>
      <c r="DM710" s="42"/>
      <c r="DN710" s="42"/>
      <c r="DO710" s="42"/>
      <c r="DP710" s="42"/>
      <c r="DQ710" s="42"/>
      <c r="DR710" s="42"/>
      <c r="DS710" s="42"/>
      <c r="DT710" s="42"/>
      <c r="DU710" s="42"/>
      <c r="DV710" s="42"/>
      <c r="DW710" s="42"/>
      <c r="DX710" s="42"/>
      <c r="DY710" s="42"/>
      <c r="DZ710" s="42"/>
      <c r="EA710" s="42"/>
      <c r="EB710" s="42"/>
      <c r="EC710" s="42"/>
      <c r="ED710" s="42"/>
      <c r="EE710" s="42"/>
      <c r="EF710" s="42"/>
      <c r="EG710" s="42"/>
      <c r="EH710" s="42"/>
      <c r="EI710" s="42"/>
      <c r="EJ710" s="42"/>
      <c r="EK710" s="42"/>
      <c r="EL710" s="42"/>
      <c r="EM710" s="42"/>
      <c r="EN710" s="42"/>
      <c r="EO710" s="42"/>
      <c r="EP710" s="42"/>
      <c r="EQ710" s="42"/>
      <c r="ER710" s="42"/>
      <c r="ES710" s="42"/>
      <c r="ET710" s="42"/>
      <c r="EU710" s="42"/>
      <c r="EV710" s="42"/>
      <c r="EW710" s="42"/>
      <c r="EX710" s="42"/>
      <c r="EY710" s="42"/>
      <c r="EZ710" s="42"/>
      <c r="FA710" s="42"/>
      <c r="FB710" s="42"/>
      <c r="FC710" s="42"/>
      <c r="FD710" s="42"/>
      <c r="FE710" s="42"/>
      <c r="FF710" s="42"/>
      <c r="FG710" s="42"/>
      <c r="FH710" s="42"/>
      <c r="FI710" s="42"/>
      <c r="FJ710" s="42"/>
      <c r="FK710" s="42"/>
      <c r="FL710" s="42"/>
      <c r="FM710" s="42"/>
      <c r="FN710" s="42"/>
      <c r="FO710" s="42"/>
      <c r="FP710" s="42"/>
      <c r="FQ710" s="42"/>
      <c r="FR710" s="42"/>
      <c r="FS710" s="42"/>
      <c r="FT710" s="42"/>
      <c r="FU710" s="42"/>
      <c r="FV710" s="42"/>
      <c r="FW710" s="42"/>
      <c r="FX710" s="42"/>
      <c r="FY710" s="42"/>
      <c r="FZ710" s="42"/>
      <c r="GA710" s="42"/>
      <c r="GB710" s="42"/>
      <c r="GC710" s="42"/>
      <c r="GD710" s="42"/>
      <c r="GE710" s="42"/>
      <c r="GF710" s="42"/>
      <c r="GG710" s="42"/>
      <c r="GH710" s="42"/>
      <c r="GI710" s="42"/>
      <c r="GJ710" s="42"/>
      <c r="GK710" s="42"/>
      <c r="GL710" s="42"/>
      <c r="GM710" s="42"/>
      <c r="GN710" s="42"/>
      <c r="GO710" s="42"/>
      <c r="GP710" s="42"/>
      <c r="GQ710" s="42"/>
      <c r="GR710" s="42"/>
      <c r="GS710" s="42"/>
      <c r="GT710" s="42"/>
      <c r="GU710" s="42"/>
      <c r="GV710" s="42"/>
      <c r="GW710" s="42"/>
      <c r="GX710" s="42"/>
      <c r="GY710" s="42"/>
      <c r="GZ710" s="42"/>
      <c r="HA710" s="42"/>
      <c r="HB710" s="42"/>
      <c r="HC710" s="42"/>
      <c r="HD710" s="42"/>
      <c r="HE710" s="42"/>
      <c r="HF710" s="42"/>
      <c r="HG710" s="42"/>
      <c r="HH710" s="42"/>
      <c r="HI710" s="42"/>
      <c r="HJ710" s="42"/>
      <c r="HK710" s="42"/>
      <c r="HL710" s="42"/>
      <c r="HM710" s="42"/>
      <c r="HN710" s="42"/>
      <c r="HO710" s="42"/>
      <c r="HP710" s="42"/>
      <c r="HQ710" s="42"/>
      <c r="HR710" s="42"/>
      <c r="HS710" s="42"/>
      <c r="HT710" s="42"/>
      <c r="HU710" s="42"/>
      <c r="HV710" s="42"/>
      <c r="HW710" s="42"/>
      <c r="HX710" s="42"/>
      <c r="HY710" s="42"/>
      <c r="HZ710" s="42"/>
      <c r="IA710" s="42"/>
      <c r="IB710" s="42"/>
      <c r="IC710" s="42"/>
      <c r="ID710" s="42"/>
      <c r="IE710" s="42"/>
      <c r="IF710" s="42"/>
      <c r="IG710" s="42"/>
      <c r="IH710" s="42"/>
      <c r="II710" s="42"/>
      <c r="IJ710" s="42"/>
      <c r="IK710" s="42"/>
      <c r="IL710" s="42"/>
      <c r="IM710" s="42"/>
      <c r="IN710" s="42"/>
      <c r="IO710" s="42"/>
      <c r="IP710" s="42"/>
      <c r="IQ710" s="42"/>
      <c r="IR710" s="42"/>
      <c r="IS710" s="42"/>
      <c r="IT710" s="42"/>
      <c r="IU710" s="42"/>
    </row>
    <row r="711" spans="1:255" s="65" customFormat="1" ht="13.5">
      <c r="A711" s="11" t="s">
        <v>107</v>
      </c>
      <c r="B711" s="502" t="s">
        <v>108</v>
      </c>
      <c r="C711" s="31">
        <f>SUM(C712:C713)</f>
        <v>267000</v>
      </c>
      <c r="F711" s="95"/>
      <c r="G711" s="31"/>
      <c r="H711" s="42"/>
      <c r="I711" s="42"/>
      <c r="J711" s="42"/>
      <c r="K711" s="42"/>
      <c r="L711" s="42"/>
      <c r="M711" s="42"/>
      <c r="N711" s="42"/>
      <c r="O711" s="42"/>
      <c r="P711" s="42"/>
      <c r="Q711" s="42"/>
      <c r="R711" s="42"/>
      <c r="S711" s="42"/>
      <c r="T711" s="42"/>
      <c r="U711" s="42"/>
      <c r="V711" s="42"/>
      <c r="W711" s="42"/>
      <c r="X711" s="42"/>
      <c r="Y711" s="42"/>
      <c r="Z711" s="42"/>
      <c r="AA711" s="42"/>
      <c r="AB711" s="42"/>
      <c r="AC711" s="42"/>
      <c r="AD711" s="42"/>
      <c r="AE711" s="42"/>
      <c r="AF711" s="42"/>
      <c r="AG711" s="42"/>
      <c r="AH711" s="42"/>
      <c r="AI711" s="42"/>
      <c r="AJ711" s="42"/>
      <c r="AK711" s="42"/>
      <c r="AL711" s="42"/>
      <c r="AM711" s="42"/>
      <c r="AN711" s="42"/>
      <c r="AO711" s="42"/>
      <c r="AP711" s="42"/>
      <c r="AQ711" s="42"/>
      <c r="AR711" s="42"/>
      <c r="AS711" s="42"/>
      <c r="AT711" s="42"/>
      <c r="AU711" s="42"/>
      <c r="AV711" s="42"/>
      <c r="AW711" s="42"/>
      <c r="AX711" s="42"/>
      <c r="AY711" s="42"/>
      <c r="AZ711" s="42"/>
      <c r="BA711" s="42"/>
      <c r="BB711" s="42"/>
      <c r="BC711" s="42"/>
      <c r="BD711" s="42"/>
      <c r="BE711" s="42"/>
      <c r="BF711" s="42"/>
      <c r="BG711" s="42"/>
      <c r="BH711" s="42"/>
      <c r="BI711" s="42"/>
      <c r="BJ711" s="42"/>
      <c r="BK711" s="42"/>
      <c r="BL711" s="42"/>
      <c r="BM711" s="42"/>
      <c r="BN711" s="42"/>
      <c r="BO711" s="42"/>
      <c r="BP711" s="42"/>
      <c r="BQ711" s="42"/>
      <c r="BR711" s="42"/>
      <c r="BS711" s="42"/>
      <c r="BT711" s="42"/>
      <c r="BU711" s="42"/>
      <c r="BV711" s="42"/>
      <c r="BW711" s="42"/>
      <c r="BX711" s="42"/>
      <c r="BY711" s="42"/>
      <c r="BZ711" s="42"/>
      <c r="CA711" s="42"/>
      <c r="CB711" s="42"/>
      <c r="CC711" s="42"/>
      <c r="CD711" s="42"/>
      <c r="CE711" s="42"/>
      <c r="CF711" s="42"/>
      <c r="CG711" s="42"/>
      <c r="CH711" s="42"/>
      <c r="CI711" s="42"/>
      <c r="CJ711" s="42"/>
      <c r="CK711" s="42"/>
      <c r="CL711" s="42"/>
      <c r="CM711" s="42"/>
      <c r="CN711" s="42"/>
      <c r="CO711" s="42"/>
      <c r="CP711" s="42"/>
      <c r="CQ711" s="42"/>
      <c r="CR711" s="42"/>
      <c r="CS711" s="42"/>
      <c r="CT711" s="42"/>
      <c r="CU711" s="42"/>
      <c r="CV711" s="42"/>
      <c r="CW711" s="42"/>
      <c r="CX711" s="42"/>
      <c r="CY711" s="42"/>
      <c r="CZ711" s="42"/>
      <c r="DA711" s="42"/>
      <c r="DB711" s="42"/>
      <c r="DC711" s="42"/>
      <c r="DD711" s="42"/>
      <c r="DE711" s="42"/>
      <c r="DF711" s="42"/>
      <c r="DG711" s="42"/>
      <c r="DH711" s="42"/>
      <c r="DI711" s="42"/>
      <c r="DJ711" s="42"/>
      <c r="DK711" s="42"/>
      <c r="DL711" s="42"/>
      <c r="DM711" s="42"/>
      <c r="DN711" s="42"/>
      <c r="DO711" s="42"/>
      <c r="DP711" s="42"/>
      <c r="DQ711" s="42"/>
      <c r="DR711" s="42"/>
      <c r="DS711" s="42"/>
      <c r="DT711" s="42"/>
      <c r="DU711" s="42"/>
      <c r="DV711" s="42"/>
      <c r="DW711" s="42"/>
      <c r="DX711" s="42"/>
      <c r="DY711" s="42"/>
      <c r="DZ711" s="42"/>
      <c r="EA711" s="42"/>
      <c r="EB711" s="42"/>
      <c r="EC711" s="42"/>
      <c r="ED711" s="42"/>
      <c r="EE711" s="42"/>
      <c r="EF711" s="42"/>
      <c r="EG711" s="42"/>
      <c r="EH711" s="42"/>
      <c r="EI711" s="42"/>
      <c r="EJ711" s="42"/>
      <c r="EK711" s="42"/>
      <c r="EL711" s="42"/>
      <c r="EM711" s="42"/>
      <c r="EN711" s="42"/>
      <c r="EO711" s="42"/>
      <c r="EP711" s="42"/>
      <c r="EQ711" s="42"/>
      <c r="ER711" s="42"/>
      <c r="ES711" s="42"/>
      <c r="ET711" s="42"/>
      <c r="EU711" s="42"/>
      <c r="EV711" s="42"/>
      <c r="EW711" s="42"/>
      <c r="EX711" s="42"/>
      <c r="EY711" s="42"/>
      <c r="EZ711" s="42"/>
      <c r="FA711" s="42"/>
      <c r="FB711" s="42"/>
      <c r="FC711" s="42"/>
      <c r="FD711" s="42"/>
      <c r="FE711" s="42"/>
      <c r="FF711" s="42"/>
      <c r="FG711" s="42"/>
      <c r="FH711" s="42"/>
      <c r="FI711" s="42"/>
      <c r="FJ711" s="42"/>
      <c r="FK711" s="42"/>
      <c r="FL711" s="42"/>
      <c r="FM711" s="42"/>
      <c r="FN711" s="42"/>
      <c r="FO711" s="42"/>
      <c r="FP711" s="42"/>
      <c r="FQ711" s="42"/>
      <c r="FR711" s="42"/>
      <c r="FS711" s="42"/>
      <c r="FT711" s="42"/>
      <c r="FU711" s="42"/>
      <c r="FV711" s="42"/>
      <c r="FW711" s="42"/>
      <c r="FX711" s="42"/>
      <c r="FY711" s="42"/>
      <c r="FZ711" s="42"/>
      <c r="GA711" s="42"/>
      <c r="GB711" s="42"/>
      <c r="GC711" s="42"/>
      <c r="GD711" s="42"/>
      <c r="GE711" s="42"/>
      <c r="GF711" s="42"/>
      <c r="GG711" s="42"/>
      <c r="GH711" s="42"/>
      <c r="GI711" s="42"/>
      <c r="GJ711" s="42"/>
      <c r="GK711" s="42"/>
      <c r="GL711" s="42"/>
      <c r="GM711" s="42"/>
      <c r="GN711" s="42"/>
      <c r="GO711" s="42"/>
      <c r="GP711" s="42"/>
      <c r="GQ711" s="42"/>
      <c r="GR711" s="42"/>
      <c r="GS711" s="42"/>
      <c r="GT711" s="42"/>
      <c r="GU711" s="42"/>
      <c r="GV711" s="42"/>
      <c r="GW711" s="42"/>
      <c r="GX711" s="42"/>
      <c r="GY711" s="42"/>
      <c r="GZ711" s="42"/>
      <c r="HA711" s="42"/>
      <c r="HB711" s="42"/>
      <c r="HC711" s="42"/>
      <c r="HD711" s="42"/>
      <c r="HE711" s="42"/>
      <c r="HF711" s="42"/>
      <c r="HG711" s="42"/>
      <c r="HH711" s="42"/>
      <c r="HI711" s="42"/>
      <c r="HJ711" s="42"/>
      <c r="HK711" s="42"/>
      <c r="HL711" s="42"/>
      <c r="HM711" s="42"/>
      <c r="HN711" s="42"/>
      <c r="HO711" s="42"/>
      <c r="HP711" s="42"/>
      <c r="HQ711" s="42"/>
      <c r="HR711" s="42"/>
      <c r="HS711" s="42"/>
      <c r="HT711" s="42"/>
      <c r="HU711" s="42"/>
      <c r="HV711" s="42"/>
      <c r="HW711" s="42"/>
      <c r="HX711" s="42"/>
      <c r="HY711" s="42"/>
      <c r="HZ711" s="42"/>
      <c r="IA711" s="42"/>
      <c r="IB711" s="42"/>
      <c r="IC711" s="42"/>
      <c r="ID711" s="42"/>
      <c r="IE711" s="42"/>
      <c r="IF711" s="42"/>
      <c r="IG711" s="42"/>
      <c r="IH711" s="42"/>
      <c r="II711" s="42"/>
      <c r="IJ711" s="42"/>
      <c r="IK711" s="42"/>
      <c r="IL711" s="42"/>
      <c r="IM711" s="42"/>
      <c r="IN711" s="42"/>
      <c r="IO711" s="42"/>
      <c r="IP711" s="42"/>
      <c r="IQ711" s="42"/>
      <c r="IR711" s="42"/>
      <c r="IS711" s="42"/>
      <c r="IT711" s="42"/>
      <c r="IU711" s="42"/>
    </row>
    <row r="712" spans="1:255" s="42" customFormat="1" ht="13.5" customHeight="1">
      <c r="A712" s="12" t="s">
        <v>47</v>
      </c>
      <c r="B712" s="42" t="s">
        <v>48</v>
      </c>
      <c r="C712" s="59">
        <v>80000</v>
      </c>
      <c r="F712" s="66"/>
      <c r="G712" s="67"/>
      <c r="H712" s="65"/>
      <c r="I712" s="65"/>
      <c r="J712" s="65"/>
      <c r="K712" s="65"/>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c r="AQ712" s="65"/>
      <c r="AR712" s="65"/>
      <c r="AS712" s="65"/>
      <c r="AT712" s="65"/>
      <c r="AU712" s="65"/>
      <c r="AV712" s="65"/>
      <c r="AW712" s="65"/>
      <c r="AX712" s="65"/>
      <c r="AY712" s="65"/>
      <c r="AZ712" s="65"/>
      <c r="BA712" s="65"/>
      <c r="BB712" s="65"/>
      <c r="BC712" s="65"/>
      <c r="BD712" s="65"/>
      <c r="BE712" s="65"/>
      <c r="BF712" s="65"/>
      <c r="BG712" s="65"/>
      <c r="BH712" s="65"/>
      <c r="BI712" s="65"/>
      <c r="BJ712" s="65"/>
      <c r="BK712" s="65"/>
      <c r="BL712" s="65"/>
      <c r="BM712" s="65"/>
      <c r="BN712" s="65"/>
      <c r="BO712" s="65"/>
      <c r="BP712" s="65"/>
      <c r="BQ712" s="65"/>
      <c r="BR712" s="65"/>
      <c r="BS712" s="65"/>
      <c r="BT712" s="65"/>
      <c r="BU712" s="65"/>
      <c r="BV712" s="65"/>
      <c r="BW712" s="65"/>
      <c r="BX712" s="65"/>
      <c r="BY712" s="65"/>
      <c r="BZ712" s="65"/>
      <c r="CA712" s="65"/>
      <c r="CB712" s="65"/>
      <c r="CC712" s="65"/>
      <c r="CD712" s="65"/>
      <c r="CE712" s="65"/>
      <c r="CF712" s="65"/>
      <c r="CG712" s="65"/>
      <c r="CH712" s="65"/>
      <c r="CI712" s="65"/>
      <c r="CJ712" s="65"/>
      <c r="CK712" s="65"/>
      <c r="CL712" s="65"/>
      <c r="CM712" s="65"/>
      <c r="CN712" s="65"/>
      <c r="CO712" s="65"/>
      <c r="CP712" s="65"/>
      <c r="CQ712" s="65"/>
      <c r="CR712" s="65"/>
      <c r="CS712" s="65"/>
      <c r="CT712" s="65"/>
      <c r="CU712" s="65"/>
      <c r="CV712" s="65"/>
      <c r="CW712" s="65"/>
      <c r="CX712" s="65"/>
      <c r="CY712" s="65"/>
      <c r="CZ712" s="65"/>
      <c r="DA712" s="65"/>
      <c r="DB712" s="65"/>
      <c r="DC712" s="65"/>
      <c r="DD712" s="65"/>
      <c r="DE712" s="65"/>
      <c r="DF712" s="65"/>
      <c r="DG712" s="65"/>
      <c r="DH712" s="65"/>
      <c r="DI712" s="65"/>
      <c r="DJ712" s="65"/>
      <c r="DK712" s="65"/>
      <c r="DL712" s="65"/>
      <c r="DM712" s="65"/>
      <c r="DN712" s="65"/>
      <c r="DO712" s="65"/>
      <c r="DP712" s="65"/>
      <c r="DQ712" s="65"/>
      <c r="DR712" s="65"/>
      <c r="DS712" s="65"/>
      <c r="DT712" s="65"/>
      <c r="DU712" s="65"/>
      <c r="DV712" s="65"/>
      <c r="DW712" s="65"/>
      <c r="DX712" s="65"/>
      <c r="DY712" s="65"/>
      <c r="DZ712" s="65"/>
      <c r="EA712" s="65"/>
      <c r="EB712" s="65"/>
      <c r="EC712" s="65"/>
      <c r="ED712" s="65"/>
      <c r="EE712" s="65"/>
      <c r="EF712" s="65"/>
      <c r="EG712" s="65"/>
      <c r="EH712" s="65"/>
      <c r="EI712" s="65"/>
      <c r="EJ712" s="65"/>
      <c r="EK712" s="65"/>
      <c r="EL712" s="65"/>
      <c r="EM712" s="65"/>
      <c r="EN712" s="65"/>
      <c r="EO712" s="65"/>
      <c r="EP712" s="65"/>
      <c r="EQ712" s="65"/>
      <c r="ER712" s="65"/>
      <c r="ES712" s="65"/>
      <c r="ET712" s="65"/>
      <c r="EU712" s="65"/>
      <c r="EV712" s="65"/>
      <c r="EW712" s="65"/>
      <c r="EX712" s="65"/>
      <c r="EY712" s="65"/>
      <c r="EZ712" s="65"/>
      <c r="FA712" s="65"/>
      <c r="FB712" s="65"/>
      <c r="FC712" s="65"/>
      <c r="FD712" s="65"/>
      <c r="FE712" s="65"/>
      <c r="FF712" s="65"/>
      <c r="FG712" s="65"/>
      <c r="FH712" s="65"/>
      <c r="FI712" s="65"/>
      <c r="FJ712" s="65"/>
      <c r="FK712" s="65"/>
      <c r="FL712" s="65"/>
      <c r="FM712" s="65"/>
      <c r="FN712" s="65"/>
      <c r="FO712" s="65"/>
      <c r="FP712" s="65"/>
      <c r="FQ712" s="65"/>
      <c r="FR712" s="65"/>
      <c r="FS712" s="65"/>
      <c r="FT712" s="65"/>
      <c r="FU712" s="65"/>
      <c r="FV712" s="65"/>
      <c r="FW712" s="65"/>
      <c r="FX712" s="65"/>
      <c r="FY712" s="65"/>
      <c r="FZ712" s="65"/>
      <c r="GA712" s="65"/>
      <c r="GB712" s="65"/>
      <c r="GC712" s="65"/>
      <c r="GD712" s="65"/>
      <c r="GE712" s="65"/>
      <c r="GF712" s="65"/>
      <c r="GG712" s="65"/>
      <c r="GH712" s="65"/>
      <c r="GI712" s="65"/>
      <c r="GJ712" s="65"/>
      <c r="GK712" s="65"/>
      <c r="GL712" s="65"/>
      <c r="GM712" s="65"/>
      <c r="GN712" s="65"/>
      <c r="GO712" s="65"/>
      <c r="GP712" s="65"/>
      <c r="GQ712" s="65"/>
      <c r="GR712" s="65"/>
      <c r="GS712" s="65"/>
      <c r="GT712" s="65"/>
      <c r="GU712" s="65"/>
      <c r="GV712" s="65"/>
      <c r="GW712" s="65"/>
      <c r="GX712" s="65"/>
      <c r="GY712" s="65"/>
      <c r="GZ712" s="65"/>
      <c r="HA712" s="65"/>
      <c r="HB712" s="65"/>
      <c r="HC712" s="65"/>
      <c r="HD712" s="65"/>
      <c r="HE712" s="65"/>
      <c r="HF712" s="65"/>
      <c r="HG712" s="65"/>
      <c r="HH712" s="65"/>
      <c r="HI712" s="65"/>
      <c r="HJ712" s="65"/>
      <c r="HK712" s="65"/>
      <c r="HL712" s="65"/>
      <c r="HM712" s="65"/>
      <c r="HN712" s="65"/>
      <c r="HO712" s="65"/>
      <c r="HP712" s="65"/>
      <c r="HQ712" s="65"/>
      <c r="HR712" s="65"/>
      <c r="HS712" s="65"/>
      <c r="HT712" s="65"/>
      <c r="HU712" s="65"/>
      <c r="HV712" s="65"/>
      <c r="HW712" s="65"/>
      <c r="HX712" s="65"/>
      <c r="HY712" s="65"/>
      <c r="HZ712" s="65"/>
      <c r="IA712" s="65"/>
      <c r="IB712" s="65"/>
      <c r="IC712" s="65"/>
      <c r="ID712" s="65"/>
      <c r="IE712" s="65"/>
      <c r="IF712" s="65"/>
      <c r="IG712" s="65"/>
      <c r="IH712" s="65"/>
      <c r="II712" s="65"/>
      <c r="IJ712" s="65"/>
      <c r="IK712" s="65"/>
      <c r="IL712" s="65"/>
      <c r="IM712" s="65"/>
      <c r="IN712" s="65"/>
      <c r="IO712" s="65"/>
      <c r="IP712" s="65"/>
      <c r="IQ712" s="65"/>
      <c r="IR712" s="65"/>
      <c r="IS712" s="65"/>
      <c r="IT712" s="65"/>
      <c r="IU712" s="65"/>
    </row>
    <row r="713" spans="1:255" s="42" customFormat="1" ht="13.5" customHeight="1">
      <c r="A713" s="12" t="s">
        <v>453</v>
      </c>
      <c r="B713" s="42" t="s">
        <v>454</v>
      </c>
      <c r="C713" s="59">
        <v>187000</v>
      </c>
      <c r="F713" s="66"/>
      <c r="G713" s="67"/>
      <c r="H713" s="65"/>
      <c r="I713" s="65"/>
      <c r="J713" s="65"/>
      <c r="K713" s="65"/>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c r="AQ713" s="65"/>
      <c r="AR713" s="65"/>
      <c r="AS713" s="65"/>
      <c r="AT713" s="65"/>
      <c r="AU713" s="65"/>
      <c r="AV713" s="65"/>
      <c r="AW713" s="65"/>
      <c r="AX713" s="65"/>
      <c r="AY713" s="65"/>
      <c r="AZ713" s="65"/>
      <c r="BA713" s="65"/>
      <c r="BB713" s="65"/>
      <c r="BC713" s="65"/>
      <c r="BD713" s="65"/>
      <c r="BE713" s="65"/>
      <c r="BF713" s="65"/>
      <c r="BG713" s="65"/>
      <c r="BH713" s="65"/>
      <c r="BI713" s="65"/>
      <c r="BJ713" s="65"/>
      <c r="BK713" s="65"/>
      <c r="BL713" s="65"/>
      <c r="BM713" s="65"/>
      <c r="BN713" s="65"/>
      <c r="BO713" s="65"/>
      <c r="BP713" s="65"/>
      <c r="BQ713" s="65"/>
      <c r="BR713" s="65"/>
      <c r="BS713" s="65"/>
      <c r="BT713" s="65"/>
      <c r="BU713" s="65"/>
      <c r="BV713" s="65"/>
      <c r="BW713" s="65"/>
      <c r="BX713" s="65"/>
      <c r="BY713" s="65"/>
      <c r="BZ713" s="65"/>
      <c r="CA713" s="65"/>
      <c r="CB713" s="65"/>
      <c r="CC713" s="65"/>
      <c r="CD713" s="65"/>
      <c r="CE713" s="65"/>
      <c r="CF713" s="65"/>
      <c r="CG713" s="65"/>
      <c r="CH713" s="65"/>
      <c r="CI713" s="65"/>
      <c r="CJ713" s="65"/>
      <c r="CK713" s="65"/>
      <c r="CL713" s="65"/>
      <c r="CM713" s="65"/>
      <c r="CN713" s="65"/>
      <c r="CO713" s="65"/>
      <c r="CP713" s="65"/>
      <c r="CQ713" s="65"/>
      <c r="CR713" s="65"/>
      <c r="CS713" s="65"/>
      <c r="CT713" s="65"/>
      <c r="CU713" s="65"/>
      <c r="CV713" s="65"/>
      <c r="CW713" s="65"/>
      <c r="CX713" s="65"/>
      <c r="CY713" s="65"/>
      <c r="CZ713" s="65"/>
      <c r="DA713" s="65"/>
      <c r="DB713" s="65"/>
      <c r="DC713" s="65"/>
      <c r="DD713" s="65"/>
      <c r="DE713" s="65"/>
      <c r="DF713" s="65"/>
      <c r="DG713" s="65"/>
      <c r="DH713" s="65"/>
      <c r="DI713" s="65"/>
      <c r="DJ713" s="65"/>
      <c r="DK713" s="65"/>
      <c r="DL713" s="65"/>
      <c r="DM713" s="65"/>
      <c r="DN713" s="65"/>
      <c r="DO713" s="65"/>
      <c r="DP713" s="65"/>
      <c r="DQ713" s="65"/>
      <c r="DR713" s="65"/>
      <c r="DS713" s="65"/>
      <c r="DT713" s="65"/>
      <c r="DU713" s="65"/>
      <c r="DV713" s="65"/>
      <c r="DW713" s="65"/>
      <c r="DX713" s="65"/>
      <c r="DY713" s="65"/>
      <c r="DZ713" s="65"/>
      <c r="EA713" s="65"/>
      <c r="EB713" s="65"/>
      <c r="EC713" s="65"/>
      <c r="ED713" s="65"/>
      <c r="EE713" s="65"/>
      <c r="EF713" s="65"/>
      <c r="EG713" s="65"/>
      <c r="EH713" s="65"/>
      <c r="EI713" s="65"/>
      <c r="EJ713" s="65"/>
      <c r="EK713" s="65"/>
      <c r="EL713" s="65"/>
      <c r="EM713" s="65"/>
      <c r="EN713" s="65"/>
      <c r="EO713" s="65"/>
      <c r="EP713" s="65"/>
      <c r="EQ713" s="65"/>
      <c r="ER713" s="65"/>
      <c r="ES713" s="65"/>
      <c r="ET713" s="65"/>
      <c r="EU713" s="65"/>
      <c r="EV713" s="65"/>
      <c r="EW713" s="65"/>
      <c r="EX713" s="65"/>
      <c r="EY713" s="65"/>
      <c r="EZ713" s="65"/>
      <c r="FA713" s="65"/>
      <c r="FB713" s="65"/>
      <c r="FC713" s="65"/>
      <c r="FD713" s="65"/>
      <c r="FE713" s="65"/>
      <c r="FF713" s="65"/>
      <c r="FG713" s="65"/>
      <c r="FH713" s="65"/>
      <c r="FI713" s="65"/>
      <c r="FJ713" s="65"/>
      <c r="FK713" s="65"/>
      <c r="FL713" s="65"/>
      <c r="FM713" s="65"/>
      <c r="FN713" s="65"/>
      <c r="FO713" s="65"/>
      <c r="FP713" s="65"/>
      <c r="FQ713" s="65"/>
      <c r="FR713" s="65"/>
      <c r="FS713" s="65"/>
      <c r="FT713" s="65"/>
      <c r="FU713" s="65"/>
      <c r="FV713" s="65"/>
      <c r="FW713" s="65"/>
      <c r="FX713" s="65"/>
      <c r="FY713" s="65"/>
      <c r="FZ713" s="65"/>
      <c r="GA713" s="65"/>
      <c r="GB713" s="65"/>
      <c r="GC713" s="65"/>
      <c r="GD713" s="65"/>
      <c r="GE713" s="65"/>
      <c r="GF713" s="65"/>
      <c r="GG713" s="65"/>
      <c r="GH713" s="65"/>
      <c r="GI713" s="65"/>
      <c r="GJ713" s="65"/>
      <c r="GK713" s="65"/>
      <c r="GL713" s="65"/>
      <c r="GM713" s="65"/>
      <c r="GN713" s="65"/>
      <c r="GO713" s="65"/>
      <c r="GP713" s="65"/>
      <c r="GQ713" s="65"/>
      <c r="GR713" s="65"/>
      <c r="GS713" s="65"/>
      <c r="GT713" s="65"/>
      <c r="GU713" s="65"/>
      <c r="GV713" s="65"/>
      <c r="GW713" s="65"/>
      <c r="GX713" s="65"/>
      <c r="GY713" s="65"/>
      <c r="GZ713" s="65"/>
      <c r="HA713" s="65"/>
      <c r="HB713" s="65"/>
      <c r="HC713" s="65"/>
      <c r="HD713" s="65"/>
      <c r="HE713" s="65"/>
      <c r="HF713" s="65"/>
      <c r="HG713" s="65"/>
      <c r="HH713" s="65"/>
      <c r="HI713" s="65"/>
      <c r="HJ713" s="65"/>
      <c r="HK713" s="65"/>
      <c r="HL713" s="65"/>
      <c r="HM713" s="65"/>
      <c r="HN713" s="65"/>
      <c r="HO713" s="65"/>
      <c r="HP713" s="65"/>
      <c r="HQ713" s="65"/>
      <c r="HR713" s="65"/>
      <c r="HS713" s="65"/>
      <c r="HT713" s="65"/>
      <c r="HU713" s="65"/>
      <c r="HV713" s="65"/>
      <c r="HW713" s="65"/>
      <c r="HX713" s="65"/>
      <c r="HY713" s="65"/>
      <c r="HZ713" s="65"/>
      <c r="IA713" s="65"/>
      <c r="IB713" s="65"/>
      <c r="IC713" s="65"/>
      <c r="ID713" s="65"/>
      <c r="IE713" s="65"/>
      <c r="IF713" s="65"/>
      <c r="IG713" s="65"/>
      <c r="IH713" s="65"/>
      <c r="II713" s="65"/>
      <c r="IJ713" s="65"/>
      <c r="IK713" s="65"/>
      <c r="IL713" s="65"/>
      <c r="IM713" s="65"/>
      <c r="IN713" s="65"/>
      <c r="IO713" s="65"/>
      <c r="IP713" s="65"/>
      <c r="IQ713" s="65"/>
      <c r="IR713" s="65"/>
      <c r="IS713" s="65"/>
      <c r="IT713" s="65"/>
      <c r="IU713" s="65"/>
    </row>
    <row r="714" spans="1:255" s="42" customFormat="1" ht="13.5" customHeight="1">
      <c r="A714" s="11" t="s">
        <v>196</v>
      </c>
      <c r="B714" s="25" t="s">
        <v>195</v>
      </c>
      <c r="C714" s="63">
        <f>SUM(C715:C715)</f>
        <v>63000</v>
      </c>
      <c r="F714" s="66"/>
      <c r="G714" s="67"/>
      <c r="H714" s="65"/>
      <c r="I714" s="65"/>
      <c r="J714" s="65"/>
      <c r="K714" s="65"/>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c r="AQ714" s="65"/>
      <c r="AR714" s="65"/>
      <c r="AS714" s="65"/>
      <c r="AT714" s="65"/>
      <c r="AU714" s="65"/>
      <c r="AV714" s="65"/>
      <c r="AW714" s="65"/>
      <c r="AX714" s="65"/>
      <c r="AY714" s="65"/>
      <c r="AZ714" s="65"/>
      <c r="BA714" s="65"/>
      <c r="BB714" s="65"/>
      <c r="BC714" s="65"/>
      <c r="BD714" s="65"/>
      <c r="BE714" s="65"/>
      <c r="BF714" s="65"/>
      <c r="BG714" s="65"/>
      <c r="BH714" s="65"/>
      <c r="BI714" s="65"/>
      <c r="BJ714" s="65"/>
      <c r="BK714" s="65"/>
      <c r="BL714" s="65"/>
      <c r="BM714" s="65"/>
      <c r="BN714" s="65"/>
      <c r="BO714" s="65"/>
      <c r="BP714" s="65"/>
      <c r="BQ714" s="65"/>
      <c r="BR714" s="65"/>
      <c r="BS714" s="65"/>
      <c r="BT714" s="65"/>
      <c r="BU714" s="65"/>
      <c r="BV714" s="65"/>
      <c r="BW714" s="65"/>
      <c r="BX714" s="65"/>
      <c r="BY714" s="65"/>
      <c r="BZ714" s="65"/>
      <c r="CA714" s="65"/>
      <c r="CB714" s="65"/>
      <c r="CC714" s="65"/>
      <c r="CD714" s="65"/>
      <c r="CE714" s="65"/>
      <c r="CF714" s="65"/>
      <c r="CG714" s="65"/>
      <c r="CH714" s="65"/>
      <c r="CI714" s="65"/>
      <c r="CJ714" s="65"/>
      <c r="CK714" s="65"/>
      <c r="CL714" s="65"/>
      <c r="CM714" s="65"/>
      <c r="CN714" s="65"/>
      <c r="CO714" s="65"/>
      <c r="CP714" s="65"/>
      <c r="CQ714" s="65"/>
      <c r="CR714" s="65"/>
      <c r="CS714" s="65"/>
      <c r="CT714" s="65"/>
      <c r="CU714" s="65"/>
      <c r="CV714" s="65"/>
      <c r="CW714" s="65"/>
      <c r="CX714" s="65"/>
      <c r="CY714" s="65"/>
      <c r="CZ714" s="65"/>
      <c r="DA714" s="65"/>
      <c r="DB714" s="65"/>
      <c r="DC714" s="65"/>
      <c r="DD714" s="65"/>
      <c r="DE714" s="65"/>
      <c r="DF714" s="65"/>
      <c r="DG714" s="65"/>
      <c r="DH714" s="65"/>
      <c r="DI714" s="65"/>
      <c r="DJ714" s="65"/>
      <c r="DK714" s="65"/>
      <c r="DL714" s="65"/>
      <c r="DM714" s="65"/>
      <c r="DN714" s="65"/>
      <c r="DO714" s="65"/>
      <c r="DP714" s="65"/>
      <c r="DQ714" s="65"/>
      <c r="DR714" s="65"/>
      <c r="DS714" s="65"/>
      <c r="DT714" s="65"/>
      <c r="DU714" s="65"/>
      <c r="DV714" s="65"/>
      <c r="DW714" s="65"/>
      <c r="DX714" s="65"/>
      <c r="DY714" s="65"/>
      <c r="DZ714" s="65"/>
      <c r="EA714" s="65"/>
      <c r="EB714" s="65"/>
      <c r="EC714" s="65"/>
      <c r="ED714" s="65"/>
      <c r="EE714" s="65"/>
      <c r="EF714" s="65"/>
      <c r="EG714" s="65"/>
      <c r="EH714" s="65"/>
      <c r="EI714" s="65"/>
      <c r="EJ714" s="65"/>
      <c r="EK714" s="65"/>
      <c r="EL714" s="65"/>
      <c r="EM714" s="65"/>
      <c r="EN714" s="65"/>
      <c r="EO714" s="65"/>
      <c r="EP714" s="65"/>
      <c r="EQ714" s="65"/>
      <c r="ER714" s="65"/>
      <c r="ES714" s="65"/>
      <c r="ET714" s="65"/>
      <c r="EU714" s="65"/>
      <c r="EV714" s="65"/>
      <c r="EW714" s="65"/>
      <c r="EX714" s="65"/>
      <c r="EY714" s="65"/>
      <c r="EZ714" s="65"/>
      <c r="FA714" s="65"/>
      <c r="FB714" s="65"/>
      <c r="FC714" s="65"/>
      <c r="FD714" s="65"/>
      <c r="FE714" s="65"/>
      <c r="FF714" s="65"/>
      <c r="FG714" s="65"/>
      <c r="FH714" s="65"/>
      <c r="FI714" s="65"/>
      <c r="FJ714" s="65"/>
      <c r="FK714" s="65"/>
      <c r="FL714" s="65"/>
      <c r="FM714" s="65"/>
      <c r="FN714" s="65"/>
      <c r="FO714" s="65"/>
      <c r="FP714" s="65"/>
      <c r="FQ714" s="65"/>
      <c r="FR714" s="65"/>
      <c r="FS714" s="65"/>
      <c r="FT714" s="65"/>
      <c r="FU714" s="65"/>
      <c r="FV714" s="65"/>
      <c r="FW714" s="65"/>
      <c r="FX714" s="65"/>
      <c r="FY714" s="65"/>
      <c r="FZ714" s="65"/>
      <c r="GA714" s="65"/>
      <c r="GB714" s="65"/>
      <c r="GC714" s="65"/>
      <c r="GD714" s="65"/>
      <c r="GE714" s="65"/>
      <c r="GF714" s="65"/>
      <c r="GG714" s="65"/>
      <c r="GH714" s="65"/>
      <c r="GI714" s="65"/>
      <c r="GJ714" s="65"/>
      <c r="GK714" s="65"/>
      <c r="GL714" s="65"/>
      <c r="GM714" s="65"/>
      <c r="GN714" s="65"/>
      <c r="GO714" s="65"/>
      <c r="GP714" s="65"/>
      <c r="GQ714" s="65"/>
      <c r="GR714" s="65"/>
      <c r="GS714" s="65"/>
      <c r="GT714" s="65"/>
      <c r="GU714" s="65"/>
      <c r="GV714" s="65"/>
      <c r="GW714" s="65"/>
      <c r="GX714" s="65"/>
      <c r="GY714" s="65"/>
      <c r="GZ714" s="65"/>
      <c r="HA714" s="65"/>
      <c r="HB714" s="65"/>
      <c r="HC714" s="65"/>
      <c r="HD714" s="65"/>
      <c r="HE714" s="65"/>
      <c r="HF714" s="65"/>
      <c r="HG714" s="65"/>
      <c r="HH714" s="65"/>
      <c r="HI714" s="65"/>
      <c r="HJ714" s="65"/>
      <c r="HK714" s="65"/>
      <c r="HL714" s="65"/>
      <c r="HM714" s="65"/>
      <c r="HN714" s="65"/>
      <c r="HO714" s="65"/>
      <c r="HP714" s="65"/>
      <c r="HQ714" s="65"/>
      <c r="HR714" s="65"/>
      <c r="HS714" s="65"/>
      <c r="HT714" s="65"/>
      <c r="HU714" s="65"/>
      <c r="HV714" s="65"/>
      <c r="HW714" s="65"/>
      <c r="HX714" s="65"/>
      <c r="HY714" s="65"/>
      <c r="HZ714" s="65"/>
      <c r="IA714" s="65"/>
      <c r="IB714" s="65"/>
      <c r="IC714" s="65"/>
      <c r="ID714" s="65"/>
      <c r="IE714" s="65"/>
      <c r="IF714" s="65"/>
      <c r="IG714" s="65"/>
      <c r="IH714" s="65"/>
      <c r="II714" s="65"/>
      <c r="IJ714" s="65"/>
      <c r="IK714" s="65"/>
      <c r="IL714" s="65"/>
      <c r="IM714" s="65"/>
      <c r="IN714" s="65"/>
      <c r="IO714" s="65"/>
      <c r="IP714" s="65"/>
      <c r="IQ714" s="65"/>
      <c r="IR714" s="65"/>
      <c r="IS714" s="65"/>
      <c r="IT714" s="65"/>
      <c r="IU714" s="65"/>
    </row>
    <row r="715" spans="1:255" s="42" customFormat="1" ht="13.5" customHeight="1">
      <c r="A715" s="12" t="s">
        <v>215</v>
      </c>
      <c r="B715" s="8" t="s">
        <v>214</v>
      </c>
      <c r="C715" s="59">
        <v>63000</v>
      </c>
      <c r="F715" s="66"/>
      <c r="G715" s="67"/>
      <c r="H715" s="65"/>
      <c r="I715" s="65"/>
      <c r="J715" s="65"/>
      <c r="K715" s="65"/>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c r="AQ715" s="65"/>
      <c r="AR715" s="65"/>
      <c r="AS715" s="65"/>
      <c r="AT715" s="65"/>
      <c r="AU715" s="65"/>
      <c r="AV715" s="65"/>
      <c r="AW715" s="65"/>
      <c r="AX715" s="65"/>
      <c r="AY715" s="65"/>
      <c r="AZ715" s="65"/>
      <c r="BA715" s="65"/>
      <c r="BB715" s="65"/>
      <c r="BC715" s="65"/>
      <c r="BD715" s="65"/>
      <c r="BE715" s="65"/>
      <c r="BF715" s="65"/>
      <c r="BG715" s="65"/>
      <c r="BH715" s="65"/>
      <c r="BI715" s="65"/>
      <c r="BJ715" s="65"/>
      <c r="BK715" s="65"/>
      <c r="BL715" s="65"/>
      <c r="BM715" s="65"/>
      <c r="BN715" s="65"/>
      <c r="BO715" s="65"/>
      <c r="BP715" s="65"/>
      <c r="BQ715" s="65"/>
      <c r="BR715" s="65"/>
      <c r="BS715" s="65"/>
      <c r="BT715" s="65"/>
      <c r="BU715" s="65"/>
      <c r="BV715" s="65"/>
      <c r="BW715" s="65"/>
      <c r="BX715" s="65"/>
      <c r="BY715" s="65"/>
      <c r="BZ715" s="65"/>
      <c r="CA715" s="65"/>
      <c r="CB715" s="65"/>
      <c r="CC715" s="65"/>
      <c r="CD715" s="65"/>
      <c r="CE715" s="65"/>
      <c r="CF715" s="65"/>
      <c r="CG715" s="65"/>
      <c r="CH715" s="65"/>
      <c r="CI715" s="65"/>
      <c r="CJ715" s="65"/>
      <c r="CK715" s="65"/>
      <c r="CL715" s="65"/>
      <c r="CM715" s="65"/>
      <c r="CN715" s="65"/>
      <c r="CO715" s="65"/>
      <c r="CP715" s="65"/>
      <c r="CQ715" s="65"/>
      <c r="CR715" s="65"/>
      <c r="CS715" s="65"/>
      <c r="CT715" s="65"/>
      <c r="CU715" s="65"/>
      <c r="CV715" s="65"/>
      <c r="CW715" s="65"/>
      <c r="CX715" s="65"/>
      <c r="CY715" s="65"/>
      <c r="CZ715" s="65"/>
      <c r="DA715" s="65"/>
      <c r="DB715" s="65"/>
      <c r="DC715" s="65"/>
      <c r="DD715" s="65"/>
      <c r="DE715" s="65"/>
      <c r="DF715" s="65"/>
      <c r="DG715" s="65"/>
      <c r="DH715" s="65"/>
      <c r="DI715" s="65"/>
      <c r="DJ715" s="65"/>
      <c r="DK715" s="65"/>
      <c r="DL715" s="65"/>
      <c r="DM715" s="65"/>
      <c r="DN715" s="65"/>
      <c r="DO715" s="65"/>
      <c r="DP715" s="65"/>
      <c r="DQ715" s="65"/>
      <c r="DR715" s="65"/>
      <c r="DS715" s="65"/>
      <c r="DT715" s="65"/>
      <c r="DU715" s="65"/>
      <c r="DV715" s="65"/>
      <c r="DW715" s="65"/>
      <c r="DX715" s="65"/>
      <c r="DY715" s="65"/>
      <c r="DZ715" s="65"/>
      <c r="EA715" s="65"/>
      <c r="EB715" s="65"/>
      <c r="EC715" s="65"/>
      <c r="ED715" s="65"/>
      <c r="EE715" s="65"/>
      <c r="EF715" s="65"/>
      <c r="EG715" s="65"/>
      <c r="EH715" s="65"/>
      <c r="EI715" s="65"/>
      <c r="EJ715" s="65"/>
      <c r="EK715" s="65"/>
      <c r="EL715" s="65"/>
      <c r="EM715" s="65"/>
      <c r="EN715" s="65"/>
      <c r="EO715" s="65"/>
      <c r="EP715" s="65"/>
      <c r="EQ715" s="65"/>
      <c r="ER715" s="65"/>
      <c r="ES715" s="65"/>
      <c r="ET715" s="65"/>
      <c r="EU715" s="65"/>
      <c r="EV715" s="65"/>
      <c r="EW715" s="65"/>
      <c r="EX715" s="65"/>
      <c r="EY715" s="65"/>
      <c r="EZ715" s="65"/>
      <c r="FA715" s="65"/>
      <c r="FB715" s="65"/>
      <c r="FC715" s="65"/>
      <c r="FD715" s="65"/>
      <c r="FE715" s="65"/>
      <c r="FF715" s="65"/>
      <c r="FG715" s="65"/>
      <c r="FH715" s="65"/>
      <c r="FI715" s="65"/>
      <c r="FJ715" s="65"/>
      <c r="FK715" s="65"/>
      <c r="FL715" s="65"/>
      <c r="FM715" s="65"/>
      <c r="FN715" s="65"/>
      <c r="FO715" s="65"/>
      <c r="FP715" s="65"/>
      <c r="FQ715" s="65"/>
      <c r="FR715" s="65"/>
      <c r="FS715" s="65"/>
      <c r="FT715" s="65"/>
      <c r="FU715" s="65"/>
      <c r="FV715" s="65"/>
      <c r="FW715" s="65"/>
      <c r="FX715" s="65"/>
      <c r="FY715" s="65"/>
      <c r="FZ715" s="65"/>
      <c r="GA715" s="65"/>
      <c r="GB715" s="65"/>
      <c r="GC715" s="65"/>
      <c r="GD715" s="65"/>
      <c r="GE715" s="65"/>
      <c r="GF715" s="65"/>
      <c r="GG715" s="65"/>
      <c r="GH715" s="65"/>
      <c r="GI715" s="65"/>
      <c r="GJ715" s="65"/>
      <c r="GK715" s="65"/>
      <c r="GL715" s="65"/>
      <c r="GM715" s="65"/>
      <c r="GN715" s="65"/>
      <c r="GO715" s="65"/>
      <c r="GP715" s="65"/>
      <c r="GQ715" s="65"/>
      <c r="GR715" s="65"/>
      <c r="GS715" s="65"/>
      <c r="GT715" s="65"/>
      <c r="GU715" s="65"/>
      <c r="GV715" s="65"/>
      <c r="GW715" s="65"/>
      <c r="GX715" s="65"/>
      <c r="GY715" s="65"/>
      <c r="GZ715" s="65"/>
      <c r="HA715" s="65"/>
      <c r="HB715" s="65"/>
      <c r="HC715" s="65"/>
      <c r="HD715" s="65"/>
      <c r="HE715" s="65"/>
      <c r="HF715" s="65"/>
      <c r="HG715" s="65"/>
      <c r="HH715" s="65"/>
      <c r="HI715" s="65"/>
      <c r="HJ715" s="65"/>
      <c r="HK715" s="65"/>
      <c r="HL715" s="65"/>
      <c r="HM715" s="65"/>
      <c r="HN715" s="65"/>
      <c r="HO715" s="65"/>
      <c r="HP715" s="65"/>
      <c r="HQ715" s="65"/>
      <c r="HR715" s="65"/>
      <c r="HS715" s="65"/>
      <c r="HT715" s="65"/>
      <c r="HU715" s="65"/>
      <c r="HV715" s="65"/>
      <c r="HW715" s="65"/>
      <c r="HX715" s="65"/>
      <c r="HY715" s="65"/>
      <c r="HZ715" s="65"/>
      <c r="IA715" s="65"/>
      <c r="IB715" s="65"/>
      <c r="IC715" s="65"/>
      <c r="ID715" s="65"/>
      <c r="IE715" s="65"/>
      <c r="IF715" s="65"/>
      <c r="IG715" s="65"/>
      <c r="IH715" s="65"/>
      <c r="II715" s="65"/>
      <c r="IJ715" s="65"/>
      <c r="IK715" s="65"/>
      <c r="IL715" s="65"/>
      <c r="IM715" s="65"/>
      <c r="IN715" s="65"/>
      <c r="IO715" s="65"/>
      <c r="IP715" s="65"/>
      <c r="IQ715" s="65"/>
      <c r="IR715" s="65"/>
      <c r="IS715" s="65"/>
      <c r="IT715" s="65"/>
      <c r="IU715" s="65"/>
    </row>
    <row r="716" spans="1:255" s="42" customFormat="1" ht="13.5" customHeight="1">
      <c r="A716" s="11" t="s">
        <v>119</v>
      </c>
      <c r="B716" s="502" t="s">
        <v>109</v>
      </c>
      <c r="C716" s="63">
        <f>SUM(C717:C722)</f>
        <v>207000</v>
      </c>
      <c r="F716" s="66"/>
      <c r="G716" s="67"/>
      <c r="H716" s="65"/>
      <c r="I716" s="65"/>
      <c r="J716" s="65"/>
      <c r="K716" s="65"/>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c r="AQ716" s="65"/>
      <c r="AR716" s="65"/>
      <c r="AS716" s="65"/>
      <c r="AT716" s="65"/>
      <c r="AU716" s="65"/>
      <c r="AV716" s="65"/>
      <c r="AW716" s="65"/>
      <c r="AX716" s="65"/>
      <c r="AY716" s="65"/>
      <c r="AZ716" s="65"/>
      <c r="BA716" s="65"/>
      <c r="BB716" s="65"/>
      <c r="BC716" s="65"/>
      <c r="BD716" s="65"/>
      <c r="BE716" s="65"/>
      <c r="BF716" s="65"/>
      <c r="BG716" s="65"/>
      <c r="BH716" s="65"/>
      <c r="BI716" s="65"/>
      <c r="BJ716" s="65"/>
      <c r="BK716" s="65"/>
      <c r="BL716" s="65"/>
      <c r="BM716" s="65"/>
      <c r="BN716" s="65"/>
      <c r="BO716" s="65"/>
      <c r="BP716" s="65"/>
      <c r="BQ716" s="65"/>
      <c r="BR716" s="65"/>
      <c r="BS716" s="65"/>
      <c r="BT716" s="65"/>
      <c r="BU716" s="65"/>
      <c r="BV716" s="65"/>
      <c r="BW716" s="65"/>
      <c r="BX716" s="65"/>
      <c r="BY716" s="65"/>
      <c r="BZ716" s="65"/>
      <c r="CA716" s="65"/>
      <c r="CB716" s="65"/>
      <c r="CC716" s="65"/>
      <c r="CD716" s="65"/>
      <c r="CE716" s="65"/>
      <c r="CF716" s="65"/>
      <c r="CG716" s="65"/>
      <c r="CH716" s="65"/>
      <c r="CI716" s="65"/>
      <c r="CJ716" s="65"/>
      <c r="CK716" s="65"/>
      <c r="CL716" s="65"/>
      <c r="CM716" s="65"/>
      <c r="CN716" s="65"/>
      <c r="CO716" s="65"/>
      <c r="CP716" s="65"/>
      <c r="CQ716" s="65"/>
      <c r="CR716" s="65"/>
      <c r="CS716" s="65"/>
      <c r="CT716" s="65"/>
      <c r="CU716" s="65"/>
      <c r="CV716" s="65"/>
      <c r="CW716" s="65"/>
      <c r="CX716" s="65"/>
      <c r="CY716" s="65"/>
      <c r="CZ716" s="65"/>
      <c r="DA716" s="65"/>
      <c r="DB716" s="65"/>
      <c r="DC716" s="65"/>
      <c r="DD716" s="65"/>
      <c r="DE716" s="65"/>
      <c r="DF716" s="65"/>
      <c r="DG716" s="65"/>
      <c r="DH716" s="65"/>
      <c r="DI716" s="65"/>
      <c r="DJ716" s="65"/>
      <c r="DK716" s="65"/>
      <c r="DL716" s="65"/>
      <c r="DM716" s="65"/>
      <c r="DN716" s="65"/>
      <c r="DO716" s="65"/>
      <c r="DP716" s="65"/>
      <c r="DQ716" s="65"/>
      <c r="DR716" s="65"/>
      <c r="DS716" s="65"/>
      <c r="DT716" s="65"/>
      <c r="DU716" s="65"/>
      <c r="DV716" s="65"/>
      <c r="DW716" s="65"/>
      <c r="DX716" s="65"/>
      <c r="DY716" s="65"/>
      <c r="DZ716" s="65"/>
      <c r="EA716" s="65"/>
      <c r="EB716" s="65"/>
      <c r="EC716" s="65"/>
      <c r="ED716" s="65"/>
      <c r="EE716" s="65"/>
      <c r="EF716" s="65"/>
      <c r="EG716" s="65"/>
      <c r="EH716" s="65"/>
      <c r="EI716" s="65"/>
      <c r="EJ716" s="65"/>
      <c r="EK716" s="65"/>
      <c r="EL716" s="65"/>
      <c r="EM716" s="65"/>
      <c r="EN716" s="65"/>
      <c r="EO716" s="65"/>
      <c r="EP716" s="65"/>
      <c r="EQ716" s="65"/>
      <c r="ER716" s="65"/>
      <c r="ES716" s="65"/>
      <c r="ET716" s="65"/>
      <c r="EU716" s="65"/>
      <c r="EV716" s="65"/>
      <c r="EW716" s="65"/>
      <c r="EX716" s="65"/>
      <c r="EY716" s="65"/>
      <c r="EZ716" s="65"/>
      <c r="FA716" s="65"/>
      <c r="FB716" s="65"/>
      <c r="FC716" s="65"/>
      <c r="FD716" s="65"/>
      <c r="FE716" s="65"/>
      <c r="FF716" s="65"/>
      <c r="FG716" s="65"/>
      <c r="FH716" s="65"/>
      <c r="FI716" s="65"/>
      <c r="FJ716" s="65"/>
      <c r="FK716" s="65"/>
      <c r="FL716" s="65"/>
      <c r="FM716" s="65"/>
      <c r="FN716" s="65"/>
      <c r="FO716" s="65"/>
      <c r="FP716" s="65"/>
      <c r="FQ716" s="65"/>
      <c r="FR716" s="65"/>
      <c r="FS716" s="65"/>
      <c r="FT716" s="65"/>
      <c r="FU716" s="65"/>
      <c r="FV716" s="65"/>
      <c r="FW716" s="65"/>
      <c r="FX716" s="65"/>
      <c r="FY716" s="65"/>
      <c r="FZ716" s="65"/>
      <c r="GA716" s="65"/>
      <c r="GB716" s="65"/>
      <c r="GC716" s="65"/>
      <c r="GD716" s="65"/>
      <c r="GE716" s="65"/>
      <c r="GF716" s="65"/>
      <c r="GG716" s="65"/>
      <c r="GH716" s="65"/>
      <c r="GI716" s="65"/>
      <c r="GJ716" s="65"/>
      <c r="GK716" s="65"/>
      <c r="GL716" s="65"/>
      <c r="GM716" s="65"/>
      <c r="GN716" s="65"/>
      <c r="GO716" s="65"/>
      <c r="GP716" s="65"/>
      <c r="GQ716" s="65"/>
      <c r="GR716" s="65"/>
      <c r="GS716" s="65"/>
      <c r="GT716" s="65"/>
      <c r="GU716" s="65"/>
      <c r="GV716" s="65"/>
      <c r="GW716" s="65"/>
      <c r="GX716" s="65"/>
      <c r="GY716" s="65"/>
      <c r="GZ716" s="65"/>
      <c r="HA716" s="65"/>
      <c r="HB716" s="65"/>
      <c r="HC716" s="65"/>
      <c r="HD716" s="65"/>
      <c r="HE716" s="65"/>
      <c r="HF716" s="65"/>
      <c r="HG716" s="65"/>
      <c r="HH716" s="65"/>
      <c r="HI716" s="65"/>
      <c r="HJ716" s="65"/>
      <c r="HK716" s="65"/>
      <c r="HL716" s="65"/>
      <c r="HM716" s="65"/>
      <c r="HN716" s="65"/>
      <c r="HO716" s="65"/>
      <c r="HP716" s="65"/>
      <c r="HQ716" s="65"/>
      <c r="HR716" s="65"/>
      <c r="HS716" s="65"/>
      <c r="HT716" s="65"/>
      <c r="HU716" s="65"/>
      <c r="HV716" s="65"/>
      <c r="HW716" s="65"/>
      <c r="HX716" s="65"/>
      <c r="HY716" s="65"/>
      <c r="HZ716" s="65"/>
      <c r="IA716" s="65"/>
      <c r="IB716" s="65"/>
      <c r="IC716" s="65"/>
      <c r="ID716" s="65"/>
      <c r="IE716" s="65"/>
      <c r="IF716" s="65"/>
      <c r="IG716" s="65"/>
      <c r="IH716" s="65"/>
      <c r="II716" s="65"/>
      <c r="IJ716" s="65"/>
      <c r="IK716" s="65"/>
      <c r="IL716" s="65"/>
      <c r="IM716" s="65"/>
      <c r="IN716" s="65"/>
      <c r="IO716" s="65"/>
      <c r="IP716" s="65"/>
      <c r="IQ716" s="65"/>
      <c r="IR716" s="65"/>
      <c r="IS716" s="65"/>
      <c r="IT716" s="65"/>
      <c r="IU716" s="65"/>
    </row>
    <row r="717" spans="1:255" s="42" customFormat="1" ht="13.5" customHeight="1">
      <c r="A717" s="12" t="s">
        <v>187</v>
      </c>
      <c r="B717" s="42" t="s">
        <v>186</v>
      </c>
      <c r="C717" s="59">
        <v>15000</v>
      </c>
      <c r="F717" s="66"/>
      <c r="G717" s="67"/>
      <c r="H717" s="65"/>
      <c r="I717" s="65"/>
      <c r="J717" s="65"/>
      <c r="K717" s="65"/>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c r="AQ717" s="65"/>
      <c r="AR717" s="65"/>
      <c r="AS717" s="65"/>
      <c r="AT717" s="65"/>
      <c r="AU717" s="65"/>
      <c r="AV717" s="65"/>
      <c r="AW717" s="65"/>
      <c r="AX717" s="65"/>
      <c r="AY717" s="65"/>
      <c r="AZ717" s="65"/>
      <c r="BA717" s="65"/>
      <c r="BB717" s="65"/>
      <c r="BC717" s="65"/>
      <c r="BD717" s="65"/>
      <c r="BE717" s="65"/>
      <c r="BF717" s="65"/>
      <c r="BG717" s="65"/>
      <c r="BH717" s="65"/>
      <c r="BI717" s="65"/>
      <c r="BJ717" s="65"/>
      <c r="BK717" s="65"/>
      <c r="BL717" s="65"/>
      <c r="BM717" s="65"/>
      <c r="BN717" s="65"/>
      <c r="BO717" s="65"/>
      <c r="BP717" s="65"/>
      <c r="BQ717" s="65"/>
      <c r="BR717" s="65"/>
      <c r="BS717" s="65"/>
      <c r="BT717" s="65"/>
      <c r="BU717" s="65"/>
      <c r="BV717" s="65"/>
      <c r="BW717" s="65"/>
      <c r="BX717" s="65"/>
      <c r="BY717" s="65"/>
      <c r="BZ717" s="65"/>
      <c r="CA717" s="65"/>
      <c r="CB717" s="65"/>
      <c r="CC717" s="65"/>
      <c r="CD717" s="65"/>
      <c r="CE717" s="65"/>
      <c r="CF717" s="65"/>
      <c r="CG717" s="65"/>
      <c r="CH717" s="65"/>
      <c r="CI717" s="65"/>
      <c r="CJ717" s="65"/>
      <c r="CK717" s="65"/>
      <c r="CL717" s="65"/>
      <c r="CM717" s="65"/>
      <c r="CN717" s="65"/>
      <c r="CO717" s="65"/>
      <c r="CP717" s="65"/>
      <c r="CQ717" s="65"/>
      <c r="CR717" s="65"/>
      <c r="CS717" s="65"/>
      <c r="CT717" s="65"/>
      <c r="CU717" s="65"/>
      <c r="CV717" s="65"/>
      <c r="CW717" s="65"/>
      <c r="CX717" s="65"/>
      <c r="CY717" s="65"/>
      <c r="CZ717" s="65"/>
      <c r="DA717" s="65"/>
      <c r="DB717" s="65"/>
      <c r="DC717" s="65"/>
      <c r="DD717" s="65"/>
      <c r="DE717" s="65"/>
      <c r="DF717" s="65"/>
      <c r="DG717" s="65"/>
      <c r="DH717" s="65"/>
      <c r="DI717" s="65"/>
      <c r="DJ717" s="65"/>
      <c r="DK717" s="65"/>
      <c r="DL717" s="65"/>
      <c r="DM717" s="65"/>
      <c r="DN717" s="65"/>
      <c r="DO717" s="65"/>
      <c r="DP717" s="65"/>
      <c r="DQ717" s="65"/>
      <c r="DR717" s="65"/>
      <c r="DS717" s="65"/>
      <c r="DT717" s="65"/>
      <c r="DU717" s="65"/>
      <c r="DV717" s="65"/>
      <c r="DW717" s="65"/>
      <c r="DX717" s="65"/>
      <c r="DY717" s="65"/>
      <c r="DZ717" s="65"/>
      <c r="EA717" s="65"/>
      <c r="EB717" s="65"/>
      <c r="EC717" s="65"/>
      <c r="ED717" s="65"/>
      <c r="EE717" s="65"/>
      <c r="EF717" s="65"/>
      <c r="EG717" s="65"/>
      <c r="EH717" s="65"/>
      <c r="EI717" s="65"/>
      <c r="EJ717" s="65"/>
      <c r="EK717" s="65"/>
      <c r="EL717" s="65"/>
      <c r="EM717" s="65"/>
      <c r="EN717" s="65"/>
      <c r="EO717" s="65"/>
      <c r="EP717" s="65"/>
      <c r="EQ717" s="65"/>
      <c r="ER717" s="65"/>
      <c r="ES717" s="65"/>
      <c r="ET717" s="65"/>
      <c r="EU717" s="65"/>
      <c r="EV717" s="65"/>
      <c r="EW717" s="65"/>
      <c r="EX717" s="65"/>
      <c r="EY717" s="65"/>
      <c r="EZ717" s="65"/>
      <c r="FA717" s="65"/>
      <c r="FB717" s="65"/>
      <c r="FC717" s="65"/>
      <c r="FD717" s="65"/>
      <c r="FE717" s="65"/>
      <c r="FF717" s="65"/>
      <c r="FG717" s="65"/>
      <c r="FH717" s="65"/>
      <c r="FI717" s="65"/>
      <c r="FJ717" s="65"/>
      <c r="FK717" s="65"/>
      <c r="FL717" s="65"/>
      <c r="FM717" s="65"/>
      <c r="FN717" s="65"/>
      <c r="FO717" s="65"/>
      <c r="FP717" s="65"/>
      <c r="FQ717" s="65"/>
      <c r="FR717" s="65"/>
      <c r="FS717" s="65"/>
      <c r="FT717" s="65"/>
      <c r="FU717" s="65"/>
      <c r="FV717" s="65"/>
      <c r="FW717" s="65"/>
      <c r="FX717" s="65"/>
      <c r="FY717" s="65"/>
      <c r="FZ717" s="65"/>
      <c r="GA717" s="65"/>
      <c r="GB717" s="65"/>
      <c r="GC717" s="65"/>
      <c r="GD717" s="65"/>
      <c r="GE717" s="65"/>
      <c r="GF717" s="65"/>
      <c r="GG717" s="65"/>
      <c r="GH717" s="65"/>
      <c r="GI717" s="65"/>
      <c r="GJ717" s="65"/>
      <c r="GK717" s="65"/>
      <c r="GL717" s="65"/>
      <c r="GM717" s="65"/>
      <c r="GN717" s="65"/>
      <c r="GO717" s="65"/>
      <c r="GP717" s="65"/>
      <c r="GQ717" s="65"/>
      <c r="GR717" s="65"/>
      <c r="GS717" s="65"/>
      <c r="GT717" s="65"/>
      <c r="GU717" s="65"/>
      <c r="GV717" s="65"/>
      <c r="GW717" s="65"/>
      <c r="GX717" s="65"/>
      <c r="GY717" s="65"/>
      <c r="GZ717" s="65"/>
      <c r="HA717" s="65"/>
      <c r="HB717" s="65"/>
      <c r="HC717" s="65"/>
      <c r="HD717" s="65"/>
      <c r="HE717" s="65"/>
      <c r="HF717" s="65"/>
      <c r="HG717" s="65"/>
      <c r="HH717" s="65"/>
      <c r="HI717" s="65"/>
      <c r="HJ717" s="65"/>
      <c r="HK717" s="65"/>
      <c r="HL717" s="65"/>
      <c r="HM717" s="65"/>
      <c r="HN717" s="65"/>
      <c r="HO717" s="65"/>
      <c r="HP717" s="65"/>
      <c r="HQ717" s="65"/>
      <c r="HR717" s="65"/>
      <c r="HS717" s="65"/>
      <c r="HT717" s="65"/>
      <c r="HU717" s="65"/>
      <c r="HV717" s="65"/>
      <c r="HW717" s="65"/>
      <c r="HX717" s="65"/>
      <c r="HY717" s="65"/>
      <c r="HZ717" s="65"/>
      <c r="IA717" s="65"/>
      <c r="IB717" s="65"/>
      <c r="IC717" s="65"/>
      <c r="ID717" s="65"/>
      <c r="IE717" s="65"/>
      <c r="IF717" s="65"/>
      <c r="IG717" s="65"/>
      <c r="IH717" s="65"/>
      <c r="II717" s="65"/>
      <c r="IJ717" s="65"/>
      <c r="IK717" s="65"/>
      <c r="IL717" s="65"/>
      <c r="IM717" s="65"/>
      <c r="IN717" s="65"/>
      <c r="IO717" s="65"/>
      <c r="IP717" s="65"/>
      <c r="IQ717" s="65"/>
      <c r="IR717" s="65"/>
      <c r="IS717" s="65"/>
      <c r="IT717" s="65"/>
      <c r="IU717" s="65"/>
    </row>
    <row r="718" spans="1:255" s="42" customFormat="1" ht="13.5" customHeight="1">
      <c r="A718" s="12" t="s">
        <v>545</v>
      </c>
      <c r="B718" s="42" t="s">
        <v>558</v>
      </c>
      <c r="C718" s="59">
        <v>95000</v>
      </c>
      <c r="F718" s="66"/>
      <c r="G718" s="67"/>
      <c r="H718" s="65"/>
      <c r="I718" s="65"/>
      <c r="J718" s="65"/>
      <c r="K718" s="65"/>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c r="AQ718" s="65"/>
      <c r="AR718" s="65"/>
      <c r="AS718" s="65"/>
      <c r="AT718" s="65"/>
      <c r="AU718" s="65"/>
      <c r="AV718" s="65"/>
      <c r="AW718" s="65"/>
      <c r="AX718" s="65"/>
      <c r="AY718" s="65"/>
      <c r="AZ718" s="65"/>
      <c r="BA718" s="65"/>
      <c r="BB718" s="65"/>
      <c r="BC718" s="65"/>
      <c r="BD718" s="65"/>
      <c r="BE718" s="65"/>
      <c r="BF718" s="65"/>
      <c r="BG718" s="65"/>
      <c r="BH718" s="65"/>
      <c r="BI718" s="65"/>
      <c r="BJ718" s="65"/>
      <c r="BK718" s="65"/>
      <c r="BL718" s="65"/>
      <c r="BM718" s="65"/>
      <c r="BN718" s="65"/>
      <c r="BO718" s="65"/>
      <c r="BP718" s="65"/>
      <c r="BQ718" s="65"/>
      <c r="BR718" s="65"/>
      <c r="BS718" s="65"/>
      <c r="BT718" s="65"/>
      <c r="BU718" s="65"/>
      <c r="BV718" s="65"/>
      <c r="BW718" s="65"/>
      <c r="BX718" s="65"/>
      <c r="BY718" s="65"/>
      <c r="BZ718" s="65"/>
      <c r="CA718" s="65"/>
      <c r="CB718" s="65"/>
      <c r="CC718" s="65"/>
      <c r="CD718" s="65"/>
      <c r="CE718" s="65"/>
      <c r="CF718" s="65"/>
      <c r="CG718" s="65"/>
      <c r="CH718" s="65"/>
      <c r="CI718" s="65"/>
      <c r="CJ718" s="65"/>
      <c r="CK718" s="65"/>
      <c r="CL718" s="65"/>
      <c r="CM718" s="65"/>
      <c r="CN718" s="65"/>
      <c r="CO718" s="65"/>
      <c r="CP718" s="65"/>
      <c r="CQ718" s="65"/>
      <c r="CR718" s="65"/>
      <c r="CS718" s="65"/>
      <c r="CT718" s="65"/>
      <c r="CU718" s="65"/>
      <c r="CV718" s="65"/>
      <c r="CW718" s="65"/>
      <c r="CX718" s="65"/>
      <c r="CY718" s="65"/>
      <c r="CZ718" s="65"/>
      <c r="DA718" s="65"/>
      <c r="DB718" s="65"/>
      <c r="DC718" s="65"/>
      <c r="DD718" s="65"/>
      <c r="DE718" s="65"/>
      <c r="DF718" s="65"/>
      <c r="DG718" s="65"/>
      <c r="DH718" s="65"/>
      <c r="DI718" s="65"/>
      <c r="DJ718" s="65"/>
      <c r="DK718" s="65"/>
      <c r="DL718" s="65"/>
      <c r="DM718" s="65"/>
      <c r="DN718" s="65"/>
      <c r="DO718" s="65"/>
      <c r="DP718" s="65"/>
      <c r="DQ718" s="65"/>
      <c r="DR718" s="65"/>
      <c r="DS718" s="65"/>
      <c r="DT718" s="65"/>
      <c r="DU718" s="65"/>
      <c r="DV718" s="65"/>
      <c r="DW718" s="65"/>
      <c r="DX718" s="65"/>
      <c r="DY718" s="65"/>
      <c r="DZ718" s="65"/>
      <c r="EA718" s="65"/>
      <c r="EB718" s="65"/>
      <c r="EC718" s="65"/>
      <c r="ED718" s="65"/>
      <c r="EE718" s="65"/>
      <c r="EF718" s="65"/>
      <c r="EG718" s="65"/>
      <c r="EH718" s="65"/>
      <c r="EI718" s="65"/>
      <c r="EJ718" s="65"/>
      <c r="EK718" s="65"/>
      <c r="EL718" s="65"/>
      <c r="EM718" s="65"/>
      <c r="EN718" s="65"/>
      <c r="EO718" s="65"/>
      <c r="EP718" s="65"/>
      <c r="EQ718" s="65"/>
      <c r="ER718" s="65"/>
      <c r="ES718" s="65"/>
      <c r="ET718" s="65"/>
      <c r="EU718" s="65"/>
      <c r="EV718" s="65"/>
      <c r="EW718" s="65"/>
      <c r="EX718" s="65"/>
      <c r="EY718" s="65"/>
      <c r="EZ718" s="65"/>
      <c r="FA718" s="65"/>
      <c r="FB718" s="65"/>
      <c r="FC718" s="65"/>
      <c r="FD718" s="65"/>
      <c r="FE718" s="65"/>
      <c r="FF718" s="65"/>
      <c r="FG718" s="65"/>
      <c r="FH718" s="65"/>
      <c r="FI718" s="65"/>
      <c r="FJ718" s="65"/>
      <c r="FK718" s="65"/>
      <c r="FL718" s="65"/>
      <c r="FM718" s="65"/>
      <c r="FN718" s="65"/>
      <c r="FO718" s="65"/>
      <c r="FP718" s="65"/>
      <c r="FQ718" s="65"/>
      <c r="FR718" s="65"/>
      <c r="FS718" s="65"/>
      <c r="FT718" s="65"/>
      <c r="FU718" s="65"/>
      <c r="FV718" s="65"/>
      <c r="FW718" s="65"/>
      <c r="FX718" s="65"/>
      <c r="FY718" s="65"/>
      <c r="FZ718" s="65"/>
      <c r="GA718" s="65"/>
      <c r="GB718" s="65"/>
      <c r="GC718" s="65"/>
      <c r="GD718" s="65"/>
      <c r="GE718" s="65"/>
      <c r="GF718" s="65"/>
      <c r="GG718" s="65"/>
      <c r="GH718" s="65"/>
      <c r="GI718" s="65"/>
      <c r="GJ718" s="65"/>
      <c r="GK718" s="65"/>
      <c r="GL718" s="65"/>
      <c r="GM718" s="65"/>
      <c r="GN718" s="65"/>
      <c r="GO718" s="65"/>
      <c r="GP718" s="65"/>
      <c r="GQ718" s="65"/>
      <c r="GR718" s="65"/>
      <c r="GS718" s="65"/>
      <c r="GT718" s="65"/>
      <c r="GU718" s="65"/>
      <c r="GV718" s="65"/>
      <c r="GW718" s="65"/>
      <c r="GX718" s="65"/>
      <c r="GY718" s="65"/>
      <c r="GZ718" s="65"/>
      <c r="HA718" s="65"/>
      <c r="HB718" s="65"/>
      <c r="HC718" s="65"/>
      <c r="HD718" s="65"/>
      <c r="HE718" s="65"/>
      <c r="HF718" s="65"/>
      <c r="HG718" s="65"/>
      <c r="HH718" s="65"/>
      <c r="HI718" s="65"/>
      <c r="HJ718" s="65"/>
      <c r="HK718" s="65"/>
      <c r="HL718" s="65"/>
      <c r="HM718" s="65"/>
      <c r="HN718" s="65"/>
      <c r="HO718" s="65"/>
      <c r="HP718" s="65"/>
      <c r="HQ718" s="65"/>
      <c r="HR718" s="65"/>
      <c r="HS718" s="65"/>
      <c r="HT718" s="65"/>
      <c r="HU718" s="65"/>
      <c r="HV718" s="65"/>
      <c r="HW718" s="65"/>
      <c r="HX718" s="65"/>
      <c r="HY718" s="65"/>
      <c r="HZ718" s="65"/>
      <c r="IA718" s="65"/>
      <c r="IB718" s="65"/>
      <c r="IC718" s="65"/>
      <c r="ID718" s="65"/>
      <c r="IE718" s="65"/>
      <c r="IF718" s="65"/>
      <c r="IG718" s="65"/>
      <c r="IH718" s="65"/>
      <c r="II718" s="65"/>
      <c r="IJ718" s="65"/>
      <c r="IK718" s="65"/>
      <c r="IL718" s="65"/>
      <c r="IM718" s="65"/>
      <c r="IN718" s="65"/>
      <c r="IO718" s="65"/>
      <c r="IP718" s="65"/>
      <c r="IQ718" s="65"/>
      <c r="IR718" s="65"/>
      <c r="IS718" s="65"/>
      <c r="IT718" s="65"/>
      <c r="IU718" s="65"/>
    </row>
    <row r="719" spans="1:255" s="42" customFormat="1" ht="13.5" customHeight="1">
      <c r="A719" s="12" t="s">
        <v>641</v>
      </c>
      <c r="B719" s="42" t="s">
        <v>640</v>
      </c>
      <c r="C719" s="59">
        <v>14000</v>
      </c>
      <c r="F719" s="66"/>
      <c r="G719" s="67"/>
      <c r="H719" s="65"/>
      <c r="I719" s="65"/>
      <c r="J719" s="65"/>
      <c r="K719" s="65"/>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c r="AQ719" s="65"/>
      <c r="AR719" s="65"/>
      <c r="AS719" s="65"/>
      <c r="AT719" s="65"/>
      <c r="AU719" s="65"/>
      <c r="AV719" s="65"/>
      <c r="AW719" s="65"/>
      <c r="AX719" s="65"/>
      <c r="AY719" s="65"/>
      <c r="AZ719" s="65"/>
      <c r="BA719" s="65"/>
      <c r="BB719" s="65"/>
      <c r="BC719" s="65"/>
      <c r="BD719" s="65"/>
      <c r="BE719" s="65"/>
      <c r="BF719" s="65"/>
      <c r="BG719" s="65"/>
      <c r="BH719" s="65"/>
      <c r="BI719" s="65"/>
      <c r="BJ719" s="65"/>
      <c r="BK719" s="65"/>
      <c r="BL719" s="65"/>
      <c r="BM719" s="65"/>
      <c r="BN719" s="65"/>
      <c r="BO719" s="65"/>
      <c r="BP719" s="65"/>
      <c r="BQ719" s="65"/>
      <c r="BR719" s="65"/>
      <c r="BS719" s="65"/>
      <c r="BT719" s="65"/>
      <c r="BU719" s="65"/>
      <c r="BV719" s="65"/>
      <c r="BW719" s="65"/>
      <c r="BX719" s="65"/>
      <c r="BY719" s="65"/>
      <c r="BZ719" s="65"/>
      <c r="CA719" s="65"/>
      <c r="CB719" s="65"/>
      <c r="CC719" s="65"/>
      <c r="CD719" s="65"/>
      <c r="CE719" s="65"/>
      <c r="CF719" s="65"/>
      <c r="CG719" s="65"/>
      <c r="CH719" s="65"/>
      <c r="CI719" s="65"/>
      <c r="CJ719" s="65"/>
      <c r="CK719" s="65"/>
      <c r="CL719" s="65"/>
      <c r="CM719" s="65"/>
      <c r="CN719" s="65"/>
      <c r="CO719" s="65"/>
      <c r="CP719" s="65"/>
      <c r="CQ719" s="65"/>
      <c r="CR719" s="65"/>
      <c r="CS719" s="65"/>
      <c r="CT719" s="65"/>
      <c r="CU719" s="65"/>
      <c r="CV719" s="65"/>
      <c r="CW719" s="65"/>
      <c r="CX719" s="65"/>
      <c r="CY719" s="65"/>
      <c r="CZ719" s="65"/>
      <c r="DA719" s="65"/>
      <c r="DB719" s="65"/>
      <c r="DC719" s="65"/>
      <c r="DD719" s="65"/>
      <c r="DE719" s="65"/>
      <c r="DF719" s="65"/>
      <c r="DG719" s="65"/>
      <c r="DH719" s="65"/>
      <c r="DI719" s="65"/>
      <c r="DJ719" s="65"/>
      <c r="DK719" s="65"/>
      <c r="DL719" s="65"/>
      <c r="DM719" s="65"/>
      <c r="DN719" s="65"/>
      <c r="DO719" s="65"/>
      <c r="DP719" s="65"/>
      <c r="DQ719" s="65"/>
      <c r="DR719" s="65"/>
      <c r="DS719" s="65"/>
      <c r="DT719" s="65"/>
      <c r="DU719" s="65"/>
      <c r="DV719" s="65"/>
      <c r="DW719" s="65"/>
      <c r="DX719" s="65"/>
      <c r="DY719" s="65"/>
      <c r="DZ719" s="65"/>
      <c r="EA719" s="65"/>
      <c r="EB719" s="65"/>
      <c r="EC719" s="65"/>
      <c r="ED719" s="65"/>
      <c r="EE719" s="65"/>
      <c r="EF719" s="65"/>
      <c r="EG719" s="65"/>
      <c r="EH719" s="65"/>
      <c r="EI719" s="65"/>
      <c r="EJ719" s="65"/>
      <c r="EK719" s="65"/>
      <c r="EL719" s="65"/>
      <c r="EM719" s="65"/>
      <c r="EN719" s="65"/>
      <c r="EO719" s="65"/>
      <c r="EP719" s="65"/>
      <c r="EQ719" s="65"/>
      <c r="ER719" s="65"/>
      <c r="ES719" s="65"/>
      <c r="ET719" s="65"/>
      <c r="EU719" s="65"/>
      <c r="EV719" s="65"/>
      <c r="EW719" s="65"/>
      <c r="EX719" s="65"/>
      <c r="EY719" s="65"/>
      <c r="EZ719" s="65"/>
      <c r="FA719" s="65"/>
      <c r="FB719" s="65"/>
      <c r="FC719" s="65"/>
      <c r="FD719" s="65"/>
      <c r="FE719" s="65"/>
      <c r="FF719" s="65"/>
      <c r="FG719" s="65"/>
      <c r="FH719" s="65"/>
      <c r="FI719" s="65"/>
      <c r="FJ719" s="65"/>
      <c r="FK719" s="65"/>
      <c r="FL719" s="65"/>
      <c r="FM719" s="65"/>
      <c r="FN719" s="65"/>
      <c r="FO719" s="65"/>
      <c r="FP719" s="65"/>
      <c r="FQ719" s="65"/>
      <c r="FR719" s="65"/>
      <c r="FS719" s="65"/>
      <c r="FT719" s="65"/>
      <c r="FU719" s="65"/>
      <c r="FV719" s="65"/>
      <c r="FW719" s="65"/>
      <c r="FX719" s="65"/>
      <c r="FY719" s="65"/>
      <c r="FZ719" s="65"/>
      <c r="GA719" s="65"/>
      <c r="GB719" s="65"/>
      <c r="GC719" s="65"/>
      <c r="GD719" s="65"/>
      <c r="GE719" s="65"/>
      <c r="GF719" s="65"/>
      <c r="GG719" s="65"/>
      <c r="GH719" s="65"/>
      <c r="GI719" s="65"/>
      <c r="GJ719" s="65"/>
      <c r="GK719" s="65"/>
      <c r="GL719" s="65"/>
      <c r="GM719" s="65"/>
      <c r="GN719" s="65"/>
      <c r="GO719" s="65"/>
      <c r="GP719" s="65"/>
      <c r="GQ719" s="65"/>
      <c r="GR719" s="65"/>
      <c r="GS719" s="65"/>
      <c r="GT719" s="65"/>
      <c r="GU719" s="65"/>
      <c r="GV719" s="65"/>
      <c r="GW719" s="65"/>
      <c r="GX719" s="65"/>
      <c r="GY719" s="65"/>
      <c r="GZ719" s="65"/>
      <c r="HA719" s="65"/>
      <c r="HB719" s="65"/>
      <c r="HC719" s="65"/>
      <c r="HD719" s="65"/>
      <c r="HE719" s="65"/>
      <c r="HF719" s="65"/>
      <c r="HG719" s="65"/>
      <c r="HH719" s="65"/>
      <c r="HI719" s="65"/>
      <c r="HJ719" s="65"/>
      <c r="HK719" s="65"/>
      <c r="HL719" s="65"/>
      <c r="HM719" s="65"/>
      <c r="HN719" s="65"/>
      <c r="HO719" s="65"/>
      <c r="HP719" s="65"/>
      <c r="HQ719" s="65"/>
      <c r="HR719" s="65"/>
      <c r="HS719" s="65"/>
      <c r="HT719" s="65"/>
      <c r="HU719" s="65"/>
      <c r="HV719" s="65"/>
      <c r="HW719" s="65"/>
      <c r="HX719" s="65"/>
      <c r="HY719" s="65"/>
      <c r="HZ719" s="65"/>
      <c r="IA719" s="65"/>
      <c r="IB719" s="65"/>
      <c r="IC719" s="65"/>
      <c r="ID719" s="65"/>
      <c r="IE719" s="65"/>
      <c r="IF719" s="65"/>
      <c r="IG719" s="65"/>
      <c r="IH719" s="65"/>
      <c r="II719" s="65"/>
      <c r="IJ719" s="65"/>
      <c r="IK719" s="65"/>
      <c r="IL719" s="65"/>
      <c r="IM719" s="65"/>
      <c r="IN719" s="65"/>
      <c r="IO719" s="65"/>
      <c r="IP719" s="65"/>
      <c r="IQ719" s="65"/>
      <c r="IR719" s="65"/>
      <c r="IS719" s="65"/>
      <c r="IT719" s="65"/>
      <c r="IU719" s="65"/>
    </row>
    <row r="720" spans="1:5" s="65" customFormat="1" ht="13.5">
      <c r="A720" s="71" t="s">
        <v>758</v>
      </c>
      <c r="B720" s="24" t="s">
        <v>753</v>
      </c>
      <c r="C720" s="24">
        <v>43000</v>
      </c>
      <c r="D720" s="77"/>
      <c r="E720" s="25"/>
    </row>
    <row r="721" spans="1:5" s="65" customFormat="1" ht="13.5">
      <c r="A721" s="71" t="s">
        <v>762</v>
      </c>
      <c r="B721" s="24" t="s">
        <v>763</v>
      </c>
      <c r="C721" s="24">
        <v>25000</v>
      </c>
      <c r="D721" s="77"/>
      <c r="E721" s="25"/>
    </row>
    <row r="722" spans="1:5" s="65" customFormat="1" ht="13.5">
      <c r="A722" s="71" t="s">
        <v>754</v>
      </c>
      <c r="B722" s="24" t="s">
        <v>755</v>
      </c>
      <c r="C722" s="24">
        <v>15000</v>
      </c>
      <c r="D722" s="77"/>
      <c r="E722" s="25"/>
    </row>
    <row r="723" spans="1:255" s="42" customFormat="1" ht="13.5" customHeight="1">
      <c r="A723" s="249" t="s">
        <v>124</v>
      </c>
      <c r="B723" s="502" t="s">
        <v>123</v>
      </c>
      <c r="C723" s="63">
        <f>SUM(C724:C724)</f>
        <v>35000</v>
      </c>
      <c r="G723" s="67"/>
      <c r="H723" s="65"/>
      <c r="I723" s="65"/>
      <c r="J723" s="65"/>
      <c r="K723" s="65"/>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c r="AQ723" s="65"/>
      <c r="AR723" s="65"/>
      <c r="AS723" s="65"/>
      <c r="AT723" s="65"/>
      <c r="AU723" s="65"/>
      <c r="AV723" s="65"/>
      <c r="AW723" s="65"/>
      <c r="AX723" s="65"/>
      <c r="AY723" s="65"/>
      <c r="AZ723" s="65"/>
      <c r="BA723" s="65"/>
      <c r="BB723" s="65"/>
      <c r="BC723" s="65"/>
      <c r="BD723" s="65"/>
      <c r="BE723" s="65"/>
      <c r="BF723" s="65"/>
      <c r="BG723" s="65"/>
      <c r="BH723" s="65"/>
      <c r="BI723" s="65"/>
      <c r="BJ723" s="65"/>
      <c r="BK723" s="65"/>
      <c r="BL723" s="65"/>
      <c r="BM723" s="65"/>
      <c r="BN723" s="65"/>
      <c r="BO723" s="65"/>
      <c r="BP723" s="65"/>
      <c r="BQ723" s="65"/>
      <c r="BR723" s="65"/>
      <c r="BS723" s="65"/>
      <c r="BT723" s="65"/>
      <c r="BU723" s="65"/>
      <c r="BV723" s="65"/>
      <c r="BW723" s="65"/>
      <c r="BX723" s="65"/>
      <c r="BY723" s="65"/>
      <c r="BZ723" s="65"/>
      <c r="CA723" s="65"/>
      <c r="CB723" s="65"/>
      <c r="CC723" s="65"/>
      <c r="CD723" s="65"/>
      <c r="CE723" s="65"/>
      <c r="CF723" s="65"/>
      <c r="CG723" s="65"/>
      <c r="CH723" s="65"/>
      <c r="CI723" s="65"/>
      <c r="CJ723" s="65"/>
      <c r="CK723" s="65"/>
      <c r="CL723" s="65"/>
      <c r="CM723" s="65"/>
      <c r="CN723" s="65"/>
      <c r="CO723" s="65"/>
      <c r="CP723" s="65"/>
      <c r="CQ723" s="65"/>
      <c r="CR723" s="65"/>
      <c r="CS723" s="65"/>
      <c r="CT723" s="65"/>
      <c r="CU723" s="65"/>
      <c r="CV723" s="65"/>
      <c r="CW723" s="65"/>
      <c r="CX723" s="65"/>
      <c r="CY723" s="65"/>
      <c r="CZ723" s="65"/>
      <c r="DA723" s="65"/>
      <c r="DB723" s="65"/>
      <c r="DC723" s="65"/>
      <c r="DD723" s="65"/>
      <c r="DE723" s="65"/>
      <c r="DF723" s="65"/>
      <c r="DG723" s="65"/>
      <c r="DH723" s="65"/>
      <c r="DI723" s="65"/>
      <c r="DJ723" s="65"/>
      <c r="DK723" s="65"/>
      <c r="DL723" s="65"/>
      <c r="DM723" s="65"/>
      <c r="DN723" s="65"/>
      <c r="DO723" s="65"/>
      <c r="DP723" s="65"/>
      <c r="DQ723" s="65"/>
      <c r="DR723" s="65"/>
      <c r="DS723" s="65"/>
      <c r="DT723" s="65"/>
      <c r="DU723" s="65"/>
      <c r="DV723" s="65"/>
      <c r="DW723" s="65"/>
      <c r="DX723" s="65"/>
      <c r="DY723" s="65"/>
      <c r="DZ723" s="65"/>
      <c r="EA723" s="65"/>
      <c r="EB723" s="65"/>
      <c r="EC723" s="65"/>
      <c r="ED723" s="65"/>
      <c r="EE723" s="65"/>
      <c r="EF723" s="65"/>
      <c r="EG723" s="65"/>
      <c r="EH723" s="65"/>
      <c r="EI723" s="65"/>
      <c r="EJ723" s="65"/>
      <c r="EK723" s="65"/>
      <c r="EL723" s="65"/>
      <c r="EM723" s="65"/>
      <c r="EN723" s="65"/>
      <c r="EO723" s="65"/>
      <c r="EP723" s="65"/>
      <c r="EQ723" s="65"/>
      <c r="ER723" s="65"/>
      <c r="ES723" s="65"/>
      <c r="ET723" s="65"/>
      <c r="EU723" s="65"/>
      <c r="EV723" s="65"/>
      <c r="EW723" s="65"/>
      <c r="EX723" s="65"/>
      <c r="EY723" s="65"/>
      <c r="EZ723" s="65"/>
      <c r="FA723" s="65"/>
      <c r="FB723" s="65"/>
      <c r="FC723" s="65"/>
      <c r="FD723" s="65"/>
      <c r="FE723" s="65"/>
      <c r="FF723" s="65"/>
      <c r="FG723" s="65"/>
      <c r="FH723" s="65"/>
      <c r="FI723" s="65"/>
      <c r="FJ723" s="65"/>
      <c r="FK723" s="65"/>
      <c r="FL723" s="65"/>
      <c r="FM723" s="65"/>
      <c r="FN723" s="65"/>
      <c r="FO723" s="65"/>
      <c r="FP723" s="65"/>
      <c r="FQ723" s="65"/>
      <c r="FR723" s="65"/>
      <c r="FS723" s="65"/>
      <c r="FT723" s="65"/>
      <c r="FU723" s="65"/>
      <c r="FV723" s="65"/>
      <c r="FW723" s="65"/>
      <c r="FX723" s="65"/>
      <c r="FY723" s="65"/>
      <c r="FZ723" s="65"/>
      <c r="GA723" s="65"/>
      <c r="GB723" s="65"/>
      <c r="GC723" s="65"/>
      <c r="GD723" s="65"/>
      <c r="GE723" s="65"/>
      <c r="GF723" s="65"/>
      <c r="GG723" s="65"/>
      <c r="GH723" s="65"/>
      <c r="GI723" s="65"/>
      <c r="GJ723" s="65"/>
      <c r="GK723" s="65"/>
      <c r="GL723" s="65"/>
      <c r="GM723" s="65"/>
      <c r="GN723" s="65"/>
      <c r="GO723" s="65"/>
      <c r="GP723" s="65"/>
      <c r="GQ723" s="65"/>
      <c r="GR723" s="65"/>
      <c r="GS723" s="65"/>
      <c r="GT723" s="65"/>
      <c r="GU723" s="65"/>
      <c r="GV723" s="65"/>
      <c r="GW723" s="65"/>
      <c r="GX723" s="65"/>
      <c r="GY723" s="65"/>
      <c r="GZ723" s="65"/>
      <c r="HA723" s="65"/>
      <c r="HB723" s="65"/>
      <c r="HC723" s="65"/>
      <c r="HD723" s="65"/>
      <c r="HE723" s="65"/>
      <c r="HF723" s="65"/>
      <c r="HG723" s="65"/>
      <c r="HH723" s="65"/>
      <c r="HI723" s="65"/>
      <c r="HJ723" s="65"/>
      <c r="HK723" s="65"/>
      <c r="HL723" s="65"/>
      <c r="HM723" s="65"/>
      <c r="HN723" s="65"/>
      <c r="HO723" s="65"/>
      <c r="HP723" s="65"/>
      <c r="HQ723" s="65"/>
      <c r="HR723" s="65"/>
      <c r="HS723" s="65"/>
      <c r="HT723" s="65"/>
      <c r="HU723" s="65"/>
      <c r="HV723" s="65"/>
      <c r="HW723" s="65"/>
      <c r="HX723" s="65"/>
      <c r="HY723" s="65"/>
      <c r="HZ723" s="65"/>
      <c r="IA723" s="65"/>
      <c r="IB723" s="65"/>
      <c r="IC723" s="65"/>
      <c r="ID723" s="65"/>
      <c r="IE723" s="65"/>
      <c r="IF723" s="65"/>
      <c r="IG723" s="65"/>
      <c r="IH723" s="65"/>
      <c r="II723" s="65"/>
      <c r="IJ723" s="65"/>
      <c r="IK723" s="65"/>
      <c r="IL723" s="65"/>
      <c r="IM723" s="65"/>
      <c r="IN723" s="65"/>
      <c r="IO723" s="65"/>
      <c r="IP723" s="65"/>
      <c r="IQ723" s="65"/>
      <c r="IR723" s="65"/>
      <c r="IS723" s="65"/>
      <c r="IT723" s="65"/>
      <c r="IU723" s="65"/>
    </row>
    <row r="724" spans="1:255" s="42" customFormat="1" ht="13.5" customHeight="1">
      <c r="A724" s="12" t="s">
        <v>93</v>
      </c>
      <c r="B724" s="42" t="s">
        <v>72</v>
      </c>
      <c r="C724" s="59">
        <v>35000</v>
      </c>
      <c r="E724" s="67"/>
      <c r="F724" s="194"/>
      <c r="G724" s="65"/>
      <c r="H724" s="65"/>
      <c r="I724" s="65"/>
      <c r="J724" s="65"/>
      <c r="K724" s="65"/>
      <c r="L724" s="65"/>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c r="AQ724" s="65"/>
      <c r="AR724" s="65"/>
      <c r="AS724" s="65"/>
      <c r="AT724" s="65"/>
      <c r="AU724" s="65"/>
      <c r="AV724" s="65"/>
      <c r="AW724" s="65"/>
      <c r="AX724" s="65"/>
      <c r="AY724" s="65"/>
      <c r="AZ724" s="65"/>
      <c r="BA724" s="65"/>
      <c r="BB724" s="65"/>
      <c r="BC724" s="65"/>
      <c r="BD724" s="65"/>
      <c r="BE724" s="65"/>
      <c r="BF724" s="65"/>
      <c r="BG724" s="65"/>
      <c r="BH724" s="65"/>
      <c r="BI724" s="65"/>
      <c r="BJ724" s="65"/>
      <c r="BK724" s="65"/>
      <c r="BL724" s="65"/>
      <c r="BM724" s="65"/>
      <c r="BN724" s="65"/>
      <c r="BO724" s="65"/>
      <c r="BP724" s="65"/>
      <c r="BQ724" s="65"/>
      <c r="BR724" s="65"/>
      <c r="BS724" s="65"/>
      <c r="BT724" s="65"/>
      <c r="BU724" s="65"/>
      <c r="BV724" s="65"/>
      <c r="BW724" s="65"/>
      <c r="BX724" s="65"/>
      <c r="BY724" s="65"/>
      <c r="BZ724" s="65"/>
      <c r="CA724" s="65"/>
      <c r="CB724" s="65"/>
      <c r="CC724" s="65"/>
      <c r="CD724" s="65"/>
      <c r="CE724" s="65"/>
      <c r="CF724" s="65"/>
      <c r="CG724" s="65"/>
      <c r="CH724" s="65"/>
      <c r="CI724" s="65"/>
      <c r="CJ724" s="65"/>
      <c r="CK724" s="65"/>
      <c r="CL724" s="65"/>
      <c r="CM724" s="65"/>
      <c r="CN724" s="65"/>
      <c r="CO724" s="65"/>
      <c r="CP724" s="65"/>
      <c r="CQ724" s="65"/>
      <c r="CR724" s="65"/>
      <c r="CS724" s="65"/>
      <c r="CT724" s="65"/>
      <c r="CU724" s="65"/>
      <c r="CV724" s="65"/>
      <c r="CW724" s="65"/>
      <c r="CX724" s="65"/>
      <c r="CY724" s="65"/>
      <c r="CZ724" s="65"/>
      <c r="DA724" s="65"/>
      <c r="DB724" s="65"/>
      <c r="DC724" s="65"/>
      <c r="DD724" s="65"/>
      <c r="DE724" s="65"/>
      <c r="DF724" s="65"/>
      <c r="DG724" s="65"/>
      <c r="DH724" s="65"/>
      <c r="DI724" s="65"/>
      <c r="DJ724" s="65"/>
      <c r="DK724" s="65"/>
      <c r="DL724" s="65"/>
      <c r="DM724" s="65"/>
      <c r="DN724" s="65"/>
      <c r="DO724" s="65"/>
      <c r="DP724" s="65"/>
      <c r="DQ724" s="65"/>
      <c r="DR724" s="65"/>
      <c r="DS724" s="65"/>
      <c r="DT724" s="65"/>
      <c r="DU724" s="65"/>
      <c r="DV724" s="65"/>
      <c r="DW724" s="65"/>
      <c r="DX724" s="65"/>
      <c r="DY724" s="65"/>
      <c r="DZ724" s="65"/>
      <c r="EA724" s="65"/>
      <c r="EB724" s="65"/>
      <c r="EC724" s="65"/>
      <c r="ED724" s="65"/>
      <c r="EE724" s="65"/>
      <c r="EF724" s="65"/>
      <c r="EG724" s="65"/>
      <c r="EH724" s="65"/>
      <c r="EI724" s="65"/>
      <c r="EJ724" s="65"/>
      <c r="EK724" s="65"/>
      <c r="EL724" s="65"/>
      <c r="EM724" s="65"/>
      <c r="EN724" s="65"/>
      <c r="EO724" s="65"/>
      <c r="EP724" s="65"/>
      <c r="EQ724" s="65"/>
      <c r="ER724" s="65"/>
      <c r="ES724" s="65"/>
      <c r="ET724" s="65"/>
      <c r="EU724" s="65"/>
      <c r="EV724" s="65"/>
      <c r="EW724" s="65"/>
      <c r="EX724" s="65"/>
      <c r="EY724" s="65"/>
      <c r="EZ724" s="65"/>
      <c r="FA724" s="65"/>
      <c r="FB724" s="65"/>
      <c r="FC724" s="65"/>
      <c r="FD724" s="65"/>
      <c r="FE724" s="65"/>
      <c r="FF724" s="65"/>
      <c r="FG724" s="65"/>
      <c r="FH724" s="65"/>
      <c r="FI724" s="65"/>
      <c r="FJ724" s="65"/>
      <c r="FK724" s="65"/>
      <c r="FL724" s="65"/>
      <c r="FM724" s="65"/>
      <c r="FN724" s="65"/>
      <c r="FO724" s="65"/>
      <c r="FP724" s="65"/>
      <c r="FQ724" s="65"/>
      <c r="FR724" s="65"/>
      <c r="FS724" s="65"/>
      <c r="FT724" s="65"/>
      <c r="FU724" s="65"/>
      <c r="FV724" s="65"/>
      <c r="FW724" s="65"/>
      <c r="FX724" s="65"/>
      <c r="FY724" s="65"/>
      <c r="FZ724" s="65"/>
      <c r="GA724" s="65"/>
      <c r="GB724" s="65"/>
      <c r="GC724" s="65"/>
      <c r="GD724" s="65"/>
      <c r="GE724" s="65"/>
      <c r="GF724" s="65"/>
      <c r="GG724" s="65"/>
      <c r="GH724" s="65"/>
      <c r="GI724" s="65"/>
      <c r="GJ724" s="65"/>
      <c r="GK724" s="65"/>
      <c r="GL724" s="65"/>
      <c r="GM724" s="65"/>
      <c r="GN724" s="65"/>
      <c r="GO724" s="65"/>
      <c r="GP724" s="65"/>
      <c r="GQ724" s="65"/>
      <c r="GR724" s="65"/>
      <c r="GS724" s="65"/>
      <c r="GT724" s="65"/>
      <c r="GU724" s="65"/>
      <c r="GV724" s="65"/>
      <c r="GW724" s="65"/>
      <c r="GX724" s="65"/>
      <c r="GY724" s="65"/>
      <c r="GZ724" s="65"/>
      <c r="HA724" s="65"/>
      <c r="HB724" s="65"/>
      <c r="HC724" s="65"/>
      <c r="HD724" s="65"/>
      <c r="HE724" s="65"/>
      <c r="HF724" s="65"/>
      <c r="HG724" s="65"/>
      <c r="HH724" s="65"/>
      <c r="HI724" s="65"/>
      <c r="HJ724" s="65"/>
      <c r="HK724" s="65"/>
      <c r="HL724" s="65"/>
      <c r="HM724" s="65"/>
      <c r="HN724" s="65"/>
      <c r="HO724" s="65"/>
      <c r="HP724" s="65"/>
      <c r="HQ724" s="65"/>
      <c r="HR724" s="65"/>
      <c r="HS724" s="65"/>
      <c r="HT724" s="65"/>
      <c r="HU724" s="65"/>
      <c r="HV724" s="65"/>
      <c r="HW724" s="65"/>
      <c r="HX724" s="65"/>
      <c r="HY724" s="65"/>
      <c r="HZ724" s="65"/>
      <c r="IA724" s="65"/>
      <c r="IB724" s="65"/>
      <c r="IC724" s="65"/>
      <c r="ID724" s="65"/>
      <c r="IE724" s="65"/>
      <c r="IF724" s="65"/>
      <c r="IG724" s="65"/>
      <c r="IH724" s="65"/>
      <c r="II724" s="65"/>
      <c r="IJ724" s="65"/>
      <c r="IK724" s="65"/>
      <c r="IL724" s="65"/>
      <c r="IM724" s="65"/>
      <c r="IN724" s="65"/>
      <c r="IO724" s="65"/>
      <c r="IP724" s="65"/>
      <c r="IQ724" s="65"/>
      <c r="IR724" s="65"/>
      <c r="IS724" s="65"/>
      <c r="IT724" s="65"/>
      <c r="IU724" s="65"/>
    </row>
    <row r="725" spans="1:255" s="42" customFormat="1" ht="13.5" customHeight="1">
      <c r="A725" s="249" t="s">
        <v>150</v>
      </c>
      <c r="B725" s="25" t="s">
        <v>133</v>
      </c>
      <c r="C725" s="63">
        <f>SUM(C726:C729)</f>
        <v>364000</v>
      </c>
      <c r="D725" s="67"/>
      <c r="E725" s="67"/>
      <c r="F725" s="194"/>
      <c r="G725" s="65"/>
      <c r="H725" s="65"/>
      <c r="I725" s="65"/>
      <c r="J725" s="65"/>
      <c r="K725" s="65"/>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c r="AQ725" s="65"/>
      <c r="AR725" s="65"/>
      <c r="AS725" s="65"/>
      <c r="AT725" s="65"/>
      <c r="AU725" s="65"/>
      <c r="AV725" s="65"/>
      <c r="AW725" s="65"/>
      <c r="AX725" s="65"/>
      <c r="AY725" s="65"/>
      <c r="AZ725" s="65"/>
      <c r="BA725" s="65"/>
      <c r="BB725" s="65"/>
      <c r="BC725" s="65"/>
      <c r="BD725" s="65"/>
      <c r="BE725" s="65"/>
      <c r="BF725" s="65"/>
      <c r="BG725" s="65"/>
      <c r="BH725" s="65"/>
      <c r="BI725" s="65"/>
      <c r="BJ725" s="65"/>
      <c r="BK725" s="65"/>
      <c r="BL725" s="65"/>
      <c r="BM725" s="65"/>
      <c r="BN725" s="65"/>
      <c r="BO725" s="65"/>
      <c r="BP725" s="65"/>
      <c r="BQ725" s="65"/>
      <c r="BR725" s="65"/>
      <c r="BS725" s="65"/>
      <c r="BT725" s="65"/>
      <c r="BU725" s="65"/>
      <c r="BV725" s="65"/>
      <c r="BW725" s="65"/>
      <c r="BX725" s="65"/>
      <c r="BY725" s="65"/>
      <c r="BZ725" s="65"/>
      <c r="CA725" s="65"/>
      <c r="CB725" s="65"/>
      <c r="CC725" s="65"/>
      <c r="CD725" s="65"/>
      <c r="CE725" s="65"/>
      <c r="CF725" s="65"/>
      <c r="CG725" s="65"/>
      <c r="CH725" s="65"/>
      <c r="CI725" s="65"/>
      <c r="CJ725" s="65"/>
      <c r="CK725" s="65"/>
      <c r="CL725" s="65"/>
      <c r="CM725" s="65"/>
      <c r="CN725" s="65"/>
      <c r="CO725" s="65"/>
      <c r="CP725" s="65"/>
      <c r="CQ725" s="65"/>
      <c r="CR725" s="65"/>
      <c r="CS725" s="65"/>
      <c r="CT725" s="65"/>
      <c r="CU725" s="65"/>
      <c r="CV725" s="65"/>
      <c r="CW725" s="65"/>
      <c r="CX725" s="65"/>
      <c r="CY725" s="65"/>
      <c r="CZ725" s="65"/>
      <c r="DA725" s="65"/>
      <c r="DB725" s="65"/>
      <c r="DC725" s="65"/>
      <c r="DD725" s="65"/>
      <c r="DE725" s="65"/>
      <c r="DF725" s="65"/>
      <c r="DG725" s="65"/>
      <c r="DH725" s="65"/>
      <c r="DI725" s="65"/>
      <c r="DJ725" s="65"/>
      <c r="DK725" s="65"/>
      <c r="DL725" s="65"/>
      <c r="DM725" s="65"/>
      <c r="DN725" s="65"/>
      <c r="DO725" s="65"/>
      <c r="DP725" s="65"/>
      <c r="DQ725" s="65"/>
      <c r="DR725" s="65"/>
      <c r="DS725" s="65"/>
      <c r="DT725" s="65"/>
      <c r="DU725" s="65"/>
      <c r="DV725" s="65"/>
      <c r="DW725" s="65"/>
      <c r="DX725" s="65"/>
      <c r="DY725" s="65"/>
      <c r="DZ725" s="65"/>
      <c r="EA725" s="65"/>
      <c r="EB725" s="65"/>
      <c r="EC725" s="65"/>
      <c r="ED725" s="65"/>
      <c r="EE725" s="65"/>
      <c r="EF725" s="65"/>
      <c r="EG725" s="65"/>
      <c r="EH725" s="65"/>
      <c r="EI725" s="65"/>
      <c r="EJ725" s="65"/>
      <c r="EK725" s="65"/>
      <c r="EL725" s="65"/>
      <c r="EM725" s="65"/>
      <c r="EN725" s="65"/>
      <c r="EO725" s="65"/>
      <c r="EP725" s="65"/>
      <c r="EQ725" s="65"/>
      <c r="ER725" s="65"/>
      <c r="ES725" s="65"/>
      <c r="ET725" s="65"/>
      <c r="EU725" s="65"/>
      <c r="EV725" s="65"/>
      <c r="EW725" s="65"/>
      <c r="EX725" s="65"/>
      <c r="EY725" s="65"/>
      <c r="EZ725" s="65"/>
      <c r="FA725" s="65"/>
      <c r="FB725" s="65"/>
      <c r="FC725" s="65"/>
      <c r="FD725" s="65"/>
      <c r="FE725" s="65"/>
      <c r="FF725" s="65"/>
      <c r="FG725" s="65"/>
      <c r="FH725" s="65"/>
      <c r="FI725" s="65"/>
      <c r="FJ725" s="65"/>
      <c r="FK725" s="65"/>
      <c r="FL725" s="65"/>
      <c r="FM725" s="65"/>
      <c r="FN725" s="65"/>
      <c r="FO725" s="65"/>
      <c r="FP725" s="65"/>
      <c r="FQ725" s="65"/>
      <c r="FR725" s="65"/>
      <c r="FS725" s="65"/>
      <c r="FT725" s="65"/>
      <c r="FU725" s="65"/>
      <c r="FV725" s="65"/>
      <c r="FW725" s="65"/>
      <c r="FX725" s="65"/>
      <c r="FY725" s="65"/>
      <c r="FZ725" s="65"/>
      <c r="GA725" s="65"/>
      <c r="GB725" s="65"/>
      <c r="GC725" s="65"/>
      <c r="GD725" s="65"/>
      <c r="GE725" s="65"/>
      <c r="GF725" s="65"/>
      <c r="GG725" s="65"/>
      <c r="GH725" s="65"/>
      <c r="GI725" s="65"/>
      <c r="GJ725" s="65"/>
      <c r="GK725" s="65"/>
      <c r="GL725" s="65"/>
      <c r="GM725" s="65"/>
      <c r="GN725" s="65"/>
      <c r="GO725" s="65"/>
      <c r="GP725" s="65"/>
      <c r="GQ725" s="65"/>
      <c r="GR725" s="65"/>
      <c r="GS725" s="65"/>
      <c r="GT725" s="65"/>
      <c r="GU725" s="65"/>
      <c r="GV725" s="65"/>
      <c r="GW725" s="65"/>
      <c r="GX725" s="65"/>
      <c r="GY725" s="65"/>
      <c r="GZ725" s="65"/>
      <c r="HA725" s="65"/>
      <c r="HB725" s="65"/>
      <c r="HC725" s="65"/>
      <c r="HD725" s="65"/>
      <c r="HE725" s="65"/>
      <c r="HF725" s="65"/>
      <c r="HG725" s="65"/>
      <c r="HH725" s="65"/>
      <c r="HI725" s="65"/>
      <c r="HJ725" s="65"/>
      <c r="HK725" s="65"/>
      <c r="HL725" s="65"/>
      <c r="HM725" s="65"/>
      <c r="HN725" s="65"/>
      <c r="HO725" s="65"/>
      <c r="HP725" s="65"/>
      <c r="HQ725" s="65"/>
      <c r="HR725" s="65"/>
      <c r="HS725" s="65"/>
      <c r="HT725" s="65"/>
      <c r="HU725" s="65"/>
      <c r="HV725" s="65"/>
      <c r="HW725" s="65"/>
      <c r="HX725" s="65"/>
      <c r="HY725" s="65"/>
      <c r="HZ725" s="65"/>
      <c r="IA725" s="65"/>
      <c r="IB725" s="65"/>
      <c r="IC725" s="65"/>
      <c r="ID725" s="65"/>
      <c r="IE725" s="65"/>
      <c r="IF725" s="65"/>
      <c r="IG725" s="65"/>
      <c r="IH725" s="65"/>
      <c r="II725" s="65"/>
      <c r="IJ725" s="65"/>
      <c r="IK725" s="65"/>
      <c r="IL725" s="65"/>
      <c r="IM725" s="65"/>
      <c r="IN725" s="65"/>
      <c r="IO725" s="65"/>
      <c r="IP725" s="65"/>
      <c r="IQ725" s="65"/>
      <c r="IR725" s="65"/>
      <c r="IS725" s="65"/>
      <c r="IT725" s="65"/>
      <c r="IU725" s="65"/>
    </row>
    <row r="726" spans="1:6" s="65" customFormat="1" ht="13.5">
      <c r="A726" s="12" t="s">
        <v>151</v>
      </c>
      <c r="B726" s="42" t="s">
        <v>65</v>
      </c>
      <c r="C726" s="59">
        <v>18000</v>
      </c>
      <c r="D726" s="66"/>
      <c r="E726" s="67"/>
      <c r="F726" s="194"/>
    </row>
    <row r="727" spans="1:6" s="65" customFormat="1" ht="13.5">
      <c r="A727" s="12" t="s">
        <v>152</v>
      </c>
      <c r="B727" s="42" t="s">
        <v>70</v>
      </c>
      <c r="C727" s="59">
        <v>28000</v>
      </c>
      <c r="D727" s="67"/>
      <c r="E727" s="67"/>
      <c r="F727" s="194"/>
    </row>
    <row r="728" spans="1:6" s="65" customFormat="1" ht="13.5">
      <c r="A728" s="12" t="s">
        <v>153</v>
      </c>
      <c r="B728" s="42" t="s">
        <v>125</v>
      </c>
      <c r="C728" s="59">
        <v>38000</v>
      </c>
      <c r="D728" s="66"/>
      <c r="E728" s="67"/>
      <c r="F728" s="194"/>
    </row>
    <row r="729" spans="1:7" s="8" customFormat="1" ht="13.5" customHeight="1">
      <c r="A729" s="12" t="s">
        <v>643</v>
      </c>
      <c r="B729" s="42" t="s">
        <v>642</v>
      </c>
      <c r="C729" s="24">
        <v>280000</v>
      </c>
      <c r="F729" s="100"/>
      <c r="G729" s="9"/>
    </row>
    <row r="730" spans="1:6" s="65" customFormat="1" ht="14.25" thickBot="1">
      <c r="A730" s="12"/>
      <c r="B730" s="42"/>
      <c r="C730" s="59"/>
      <c r="D730" s="66"/>
      <c r="E730" s="67"/>
      <c r="F730" s="194"/>
    </row>
    <row r="731" spans="1:6" s="65" customFormat="1" ht="14.25" thickBot="1">
      <c r="A731" s="1015" t="s">
        <v>3</v>
      </c>
      <c r="B731" s="1016"/>
      <c r="C731" s="635">
        <f>C732+C734+C736+C739+C741</f>
        <v>1086250</v>
      </c>
      <c r="D731" s="67"/>
      <c r="E731" s="67"/>
      <c r="F731" s="194"/>
    </row>
    <row r="732" spans="1:6" s="225" customFormat="1" ht="13.5">
      <c r="A732" s="62" t="s">
        <v>110</v>
      </c>
      <c r="B732" s="281" t="s">
        <v>111</v>
      </c>
      <c r="C732" s="509">
        <f>SUM(C733:C733)</f>
        <v>14950</v>
      </c>
      <c r="D732" s="94"/>
      <c r="E732" s="94"/>
      <c r="F732" s="98"/>
    </row>
    <row r="733" spans="1:6" s="55" customFormat="1" ht="13.5">
      <c r="A733" s="58" t="s">
        <v>52</v>
      </c>
      <c r="B733" s="42" t="s">
        <v>185</v>
      </c>
      <c r="C733" s="59">
        <v>14950</v>
      </c>
      <c r="D733" s="59"/>
      <c r="E733" s="56"/>
      <c r="F733" s="98"/>
    </row>
    <row r="734" spans="1:8" s="8" customFormat="1" ht="13.5" customHeight="1">
      <c r="A734" s="62" t="s">
        <v>120</v>
      </c>
      <c r="B734" s="62" t="s">
        <v>121</v>
      </c>
      <c r="C734" s="31">
        <f>SUM(C735:C735)</f>
        <v>16000</v>
      </c>
      <c r="D734" s="83"/>
      <c r="E734" s="25"/>
      <c r="F734" s="98"/>
      <c r="G734" s="54"/>
      <c r="H734" s="42"/>
    </row>
    <row r="735" spans="1:8" s="8" customFormat="1" ht="13.5" customHeight="1">
      <c r="A735" s="58" t="s">
        <v>136</v>
      </c>
      <c r="B735" s="58" t="s">
        <v>71</v>
      </c>
      <c r="C735" s="24">
        <v>16000</v>
      </c>
      <c r="D735" s="77"/>
      <c r="E735" s="25"/>
      <c r="F735" s="194"/>
      <c r="G735" s="54"/>
      <c r="H735" s="54"/>
    </row>
    <row r="736" spans="1:6" s="55" customFormat="1" ht="13.5">
      <c r="A736" s="11" t="s">
        <v>112</v>
      </c>
      <c r="B736" s="62" t="s">
        <v>156</v>
      </c>
      <c r="C736" s="63">
        <f>SUM(C737:C737)</f>
        <v>150000</v>
      </c>
      <c r="D736" s="59"/>
      <c r="E736" s="56"/>
      <c r="F736" s="98"/>
    </row>
    <row r="737" spans="1:6" s="55" customFormat="1" ht="13.5">
      <c r="A737" s="58" t="s">
        <v>155</v>
      </c>
      <c r="B737" s="42" t="s">
        <v>87</v>
      </c>
      <c r="C737" s="59">
        <v>150000</v>
      </c>
      <c r="E737" s="56"/>
      <c r="F737" s="56"/>
    </row>
    <row r="738" spans="1:10" s="71" customFormat="1" ht="13.5" customHeight="1">
      <c r="A738" s="71" t="s">
        <v>813</v>
      </c>
      <c r="B738" s="42" t="s">
        <v>814</v>
      </c>
      <c r="C738" s="24">
        <v>960000</v>
      </c>
      <c r="D738" s="346"/>
      <c r="E738" s="407"/>
      <c r="F738" s="335"/>
      <c r="G738" s="346"/>
      <c r="H738" s="12"/>
      <c r="J738" s="23"/>
    </row>
    <row r="739" spans="1:6" s="55" customFormat="1" ht="13.5">
      <c r="A739" s="11" t="s">
        <v>132</v>
      </c>
      <c r="B739" s="31" t="s">
        <v>56</v>
      </c>
      <c r="C739" s="63">
        <f>SUM(C740)</f>
        <v>37800</v>
      </c>
      <c r="E739" s="56"/>
      <c r="F739" s="56"/>
    </row>
    <row r="740" spans="1:255" s="65" customFormat="1" ht="13.5">
      <c r="A740" s="71" t="s">
        <v>55</v>
      </c>
      <c r="B740" s="42" t="s">
        <v>56</v>
      </c>
      <c r="C740" s="59">
        <v>37800</v>
      </c>
      <c r="E740" s="56"/>
      <c r="F740" s="227"/>
      <c r="G740" s="442"/>
      <c r="H740" s="66"/>
      <c r="I740" s="55"/>
      <c r="J740" s="55"/>
      <c r="K740" s="55"/>
      <c r="L740" s="55"/>
      <c r="M740" s="55"/>
      <c r="N740" s="55"/>
      <c r="O740" s="55"/>
      <c r="P740" s="55"/>
      <c r="Q740" s="55"/>
      <c r="R740" s="55"/>
      <c r="S740" s="55"/>
      <c r="T740" s="55"/>
      <c r="U740" s="55"/>
      <c r="V740" s="55"/>
      <c r="W740" s="55"/>
      <c r="X740" s="55"/>
      <c r="Y740" s="55"/>
      <c r="Z740" s="55"/>
      <c r="AA740" s="55"/>
      <c r="AB740" s="55"/>
      <c r="AC740" s="55"/>
      <c r="AD740" s="55"/>
      <c r="AE740" s="55"/>
      <c r="AF740" s="55"/>
      <c r="AG740" s="55"/>
      <c r="AH740" s="55"/>
      <c r="AI740" s="55"/>
      <c r="AJ740" s="55"/>
      <c r="AK740" s="55"/>
      <c r="AL740" s="55"/>
      <c r="AM740" s="55"/>
      <c r="AN740" s="55"/>
      <c r="AO740" s="55"/>
      <c r="AP740" s="55"/>
      <c r="AQ740" s="55"/>
      <c r="AR740" s="55"/>
      <c r="AS740" s="55"/>
      <c r="AT740" s="55"/>
      <c r="AU740" s="55"/>
      <c r="AV740" s="55"/>
      <c r="AW740" s="55"/>
      <c r="AX740" s="55"/>
      <c r="AY740" s="55"/>
      <c r="AZ740" s="55"/>
      <c r="BA740" s="55"/>
      <c r="BB740" s="55"/>
      <c r="BC740" s="55"/>
      <c r="BD740" s="55"/>
      <c r="BE740" s="55"/>
      <c r="BF740" s="55"/>
      <c r="BG740" s="55"/>
      <c r="BH740" s="55"/>
      <c r="BI740" s="55"/>
      <c r="BJ740" s="55"/>
      <c r="BK740" s="55"/>
      <c r="BL740" s="55"/>
      <c r="BM740" s="55"/>
      <c r="BN740" s="55"/>
      <c r="BO740" s="55"/>
      <c r="BP740" s="55"/>
      <c r="BQ740" s="55"/>
      <c r="BR740" s="55"/>
      <c r="BS740" s="55"/>
      <c r="BT740" s="55"/>
      <c r="BU740" s="55"/>
      <c r="BV740" s="55"/>
      <c r="BW740" s="55"/>
      <c r="BX740" s="55"/>
      <c r="BY740" s="55"/>
      <c r="BZ740" s="55"/>
      <c r="CA740" s="55"/>
      <c r="CB740" s="55"/>
      <c r="CC740" s="55"/>
      <c r="CD740" s="55"/>
      <c r="CE740" s="55"/>
      <c r="CF740" s="55"/>
      <c r="CG740" s="55"/>
      <c r="CH740" s="55"/>
      <c r="CI740" s="55"/>
      <c r="CJ740" s="55"/>
      <c r="CK740" s="55"/>
      <c r="CL740" s="55"/>
      <c r="CM740" s="55"/>
      <c r="CN740" s="55"/>
      <c r="CO740" s="55"/>
      <c r="CP740" s="55"/>
      <c r="CQ740" s="55"/>
      <c r="CR740" s="55"/>
      <c r="CS740" s="55"/>
      <c r="CT740" s="55"/>
      <c r="CU740" s="55"/>
      <c r="CV740" s="55"/>
      <c r="CW740" s="55"/>
      <c r="CX740" s="55"/>
      <c r="CY740" s="55"/>
      <c r="CZ740" s="55"/>
      <c r="DA740" s="55"/>
      <c r="DB740" s="55"/>
      <c r="DC740" s="55"/>
      <c r="DD740" s="55"/>
      <c r="DE740" s="55"/>
      <c r="DF740" s="55"/>
      <c r="DG740" s="55"/>
      <c r="DH740" s="55"/>
      <c r="DI740" s="55"/>
      <c r="DJ740" s="55"/>
      <c r="DK740" s="55"/>
      <c r="DL740" s="55"/>
      <c r="DM740" s="55"/>
      <c r="DN740" s="55"/>
      <c r="DO740" s="55"/>
      <c r="DP740" s="55"/>
      <c r="DQ740" s="55"/>
      <c r="DR740" s="55"/>
      <c r="DS740" s="55"/>
      <c r="DT740" s="55"/>
      <c r="DU740" s="55"/>
      <c r="DV740" s="55"/>
      <c r="DW740" s="55"/>
      <c r="DX740" s="55"/>
      <c r="DY740" s="55"/>
      <c r="DZ740" s="55"/>
      <c r="EA740" s="55"/>
      <c r="EB740" s="55"/>
      <c r="EC740" s="55"/>
      <c r="ED740" s="55"/>
      <c r="EE740" s="55"/>
      <c r="EF740" s="55"/>
      <c r="EG740" s="55"/>
      <c r="EH740" s="55"/>
      <c r="EI740" s="55"/>
      <c r="EJ740" s="55"/>
      <c r="EK740" s="55"/>
      <c r="EL740" s="55"/>
      <c r="EM740" s="55"/>
      <c r="EN740" s="55"/>
      <c r="EO740" s="55"/>
      <c r="EP740" s="55"/>
      <c r="EQ740" s="55"/>
      <c r="ER740" s="55"/>
      <c r="ES740" s="55"/>
      <c r="ET740" s="55"/>
      <c r="EU740" s="55"/>
      <c r="EV740" s="55"/>
      <c r="EW740" s="55"/>
      <c r="EX740" s="55"/>
      <c r="EY740" s="55"/>
      <c r="EZ740" s="55"/>
      <c r="FA740" s="55"/>
      <c r="FB740" s="55"/>
      <c r="FC740" s="55"/>
      <c r="FD740" s="55"/>
      <c r="FE740" s="55"/>
      <c r="FF740" s="55"/>
      <c r="FG740" s="55"/>
      <c r="FH740" s="55"/>
      <c r="FI740" s="55"/>
      <c r="FJ740" s="55"/>
      <c r="FK740" s="55"/>
      <c r="FL740" s="55"/>
      <c r="FM740" s="55"/>
      <c r="FN740" s="55"/>
      <c r="FO740" s="55"/>
      <c r="FP740" s="55"/>
      <c r="FQ740" s="55"/>
      <c r="FR740" s="55"/>
      <c r="FS740" s="55"/>
      <c r="FT740" s="55"/>
      <c r="FU740" s="55"/>
      <c r="FV740" s="55"/>
      <c r="FW740" s="55"/>
      <c r="FX740" s="55"/>
      <c r="FY740" s="55"/>
      <c r="FZ740" s="55"/>
      <c r="GA740" s="55"/>
      <c r="GB740" s="55"/>
      <c r="GC740" s="55"/>
      <c r="GD740" s="55"/>
      <c r="GE740" s="55"/>
      <c r="GF740" s="55"/>
      <c r="GG740" s="55"/>
      <c r="GH740" s="55"/>
      <c r="GI740" s="55"/>
      <c r="GJ740" s="55"/>
      <c r="GK740" s="55"/>
      <c r="GL740" s="55"/>
      <c r="GM740" s="55"/>
      <c r="GN740" s="55"/>
      <c r="GO740" s="55"/>
      <c r="GP740" s="55"/>
      <c r="GQ740" s="55"/>
      <c r="GR740" s="55"/>
      <c r="GS740" s="55"/>
      <c r="GT740" s="55"/>
      <c r="GU740" s="55"/>
      <c r="GV740" s="55"/>
      <c r="GW740" s="55"/>
      <c r="GX740" s="55"/>
      <c r="GY740" s="55"/>
      <c r="GZ740" s="55"/>
      <c r="HA740" s="55"/>
      <c r="HB740" s="55"/>
      <c r="HC740" s="55"/>
      <c r="HD740" s="55"/>
      <c r="HE740" s="55"/>
      <c r="HF740" s="55"/>
      <c r="HG740" s="55"/>
      <c r="HH740" s="55"/>
      <c r="HI740" s="55"/>
      <c r="HJ740" s="55"/>
      <c r="HK740" s="55"/>
      <c r="HL740" s="55"/>
      <c r="HM740" s="55"/>
      <c r="HN740" s="55"/>
      <c r="HO740" s="55"/>
      <c r="HP740" s="55"/>
      <c r="HQ740" s="55"/>
      <c r="HR740" s="55"/>
      <c r="HS740" s="55"/>
      <c r="HT740" s="55"/>
      <c r="HU740" s="55"/>
      <c r="HV740" s="55"/>
      <c r="HW740" s="55"/>
      <c r="HX740" s="55"/>
      <c r="HY740" s="55"/>
      <c r="HZ740" s="55"/>
      <c r="IA740" s="55"/>
      <c r="IB740" s="55"/>
      <c r="IC740" s="55"/>
      <c r="ID740" s="55"/>
      <c r="IE740" s="55"/>
      <c r="IF740" s="55"/>
      <c r="IG740" s="55"/>
      <c r="IH740" s="55"/>
      <c r="II740" s="55"/>
      <c r="IJ740" s="55"/>
      <c r="IK740" s="55"/>
      <c r="IL740" s="55"/>
      <c r="IM740" s="55"/>
      <c r="IN740" s="55"/>
      <c r="IO740" s="55"/>
      <c r="IP740" s="55"/>
      <c r="IQ740" s="55"/>
      <c r="IR740" s="55"/>
      <c r="IS740" s="55"/>
      <c r="IT740" s="55"/>
      <c r="IU740" s="55"/>
    </row>
    <row r="741" spans="1:255" s="65" customFormat="1" ht="13.5">
      <c r="A741" s="11" t="s">
        <v>115</v>
      </c>
      <c r="B741" s="505" t="s">
        <v>8</v>
      </c>
      <c r="C741" s="63">
        <f>SUM(C742:C744)</f>
        <v>867500</v>
      </c>
      <c r="E741" s="56"/>
      <c r="F741" s="56"/>
      <c r="G741" s="55"/>
      <c r="H741" s="194"/>
      <c r="I741" s="55"/>
      <c r="J741" s="55"/>
      <c r="K741" s="55"/>
      <c r="L741" s="55"/>
      <c r="M741" s="55"/>
      <c r="N741" s="55"/>
      <c r="O741" s="55"/>
      <c r="P741" s="55"/>
      <c r="Q741" s="55"/>
      <c r="R741" s="55"/>
      <c r="S741" s="55"/>
      <c r="T741" s="55"/>
      <c r="U741" s="55"/>
      <c r="V741" s="55"/>
      <c r="W741" s="55"/>
      <c r="X741" s="55"/>
      <c r="Y741" s="55"/>
      <c r="Z741" s="55"/>
      <c r="AA741" s="55"/>
      <c r="AB741" s="55"/>
      <c r="AC741" s="55"/>
      <c r="AD741" s="55"/>
      <c r="AE741" s="55"/>
      <c r="AF741" s="55"/>
      <c r="AG741" s="55"/>
      <c r="AH741" s="55"/>
      <c r="AI741" s="55"/>
      <c r="AJ741" s="55"/>
      <c r="AK741" s="55"/>
      <c r="AL741" s="55"/>
      <c r="AM741" s="55"/>
      <c r="AN741" s="55"/>
      <c r="AO741" s="55"/>
      <c r="AP741" s="55"/>
      <c r="AQ741" s="55"/>
      <c r="AR741" s="55"/>
      <c r="AS741" s="55"/>
      <c r="AT741" s="55"/>
      <c r="AU741" s="55"/>
      <c r="AV741" s="55"/>
      <c r="AW741" s="55"/>
      <c r="AX741" s="55"/>
      <c r="AY741" s="55"/>
      <c r="AZ741" s="55"/>
      <c r="BA741" s="55"/>
      <c r="BB741" s="55"/>
      <c r="BC741" s="55"/>
      <c r="BD741" s="55"/>
      <c r="BE741" s="55"/>
      <c r="BF741" s="55"/>
      <c r="BG741" s="55"/>
      <c r="BH741" s="55"/>
      <c r="BI741" s="55"/>
      <c r="BJ741" s="55"/>
      <c r="BK741" s="55"/>
      <c r="BL741" s="55"/>
      <c r="BM741" s="55"/>
      <c r="BN741" s="55"/>
      <c r="BO741" s="55"/>
      <c r="BP741" s="55"/>
      <c r="BQ741" s="55"/>
      <c r="BR741" s="55"/>
      <c r="BS741" s="55"/>
      <c r="BT741" s="55"/>
      <c r="BU741" s="55"/>
      <c r="BV741" s="55"/>
      <c r="BW741" s="55"/>
      <c r="BX741" s="55"/>
      <c r="BY741" s="55"/>
      <c r="BZ741" s="55"/>
      <c r="CA741" s="55"/>
      <c r="CB741" s="55"/>
      <c r="CC741" s="55"/>
      <c r="CD741" s="55"/>
      <c r="CE741" s="55"/>
      <c r="CF741" s="55"/>
      <c r="CG741" s="55"/>
      <c r="CH741" s="55"/>
      <c r="CI741" s="55"/>
      <c r="CJ741" s="55"/>
      <c r="CK741" s="55"/>
      <c r="CL741" s="55"/>
      <c r="CM741" s="55"/>
      <c r="CN741" s="55"/>
      <c r="CO741" s="55"/>
      <c r="CP741" s="55"/>
      <c r="CQ741" s="55"/>
      <c r="CR741" s="55"/>
      <c r="CS741" s="55"/>
      <c r="CT741" s="55"/>
      <c r="CU741" s="55"/>
      <c r="CV741" s="55"/>
      <c r="CW741" s="55"/>
      <c r="CX741" s="55"/>
      <c r="CY741" s="55"/>
      <c r="CZ741" s="55"/>
      <c r="DA741" s="55"/>
      <c r="DB741" s="55"/>
      <c r="DC741" s="55"/>
      <c r="DD741" s="55"/>
      <c r="DE741" s="55"/>
      <c r="DF741" s="55"/>
      <c r="DG741" s="55"/>
      <c r="DH741" s="55"/>
      <c r="DI741" s="55"/>
      <c r="DJ741" s="55"/>
      <c r="DK741" s="55"/>
      <c r="DL741" s="55"/>
      <c r="DM741" s="55"/>
      <c r="DN741" s="55"/>
      <c r="DO741" s="55"/>
      <c r="DP741" s="55"/>
      <c r="DQ741" s="55"/>
      <c r="DR741" s="55"/>
      <c r="DS741" s="55"/>
      <c r="DT741" s="55"/>
      <c r="DU741" s="55"/>
      <c r="DV741" s="55"/>
      <c r="DW741" s="55"/>
      <c r="DX741" s="55"/>
      <c r="DY741" s="55"/>
      <c r="DZ741" s="55"/>
      <c r="EA741" s="55"/>
      <c r="EB741" s="55"/>
      <c r="EC741" s="55"/>
      <c r="ED741" s="55"/>
      <c r="EE741" s="55"/>
      <c r="EF741" s="55"/>
      <c r="EG741" s="55"/>
      <c r="EH741" s="55"/>
      <c r="EI741" s="55"/>
      <c r="EJ741" s="55"/>
      <c r="EK741" s="55"/>
      <c r="EL741" s="55"/>
      <c r="EM741" s="55"/>
      <c r="EN741" s="55"/>
      <c r="EO741" s="55"/>
      <c r="EP741" s="55"/>
      <c r="EQ741" s="55"/>
      <c r="ER741" s="55"/>
      <c r="ES741" s="55"/>
      <c r="ET741" s="55"/>
      <c r="EU741" s="55"/>
      <c r="EV741" s="55"/>
      <c r="EW741" s="55"/>
      <c r="EX741" s="55"/>
      <c r="EY741" s="55"/>
      <c r="EZ741" s="55"/>
      <c r="FA741" s="55"/>
      <c r="FB741" s="55"/>
      <c r="FC741" s="55"/>
      <c r="FD741" s="55"/>
      <c r="FE741" s="55"/>
      <c r="FF741" s="55"/>
      <c r="FG741" s="55"/>
      <c r="FH741" s="55"/>
      <c r="FI741" s="55"/>
      <c r="FJ741" s="55"/>
      <c r="FK741" s="55"/>
      <c r="FL741" s="55"/>
      <c r="FM741" s="55"/>
      <c r="FN741" s="55"/>
      <c r="FO741" s="55"/>
      <c r="FP741" s="55"/>
      <c r="FQ741" s="55"/>
      <c r="FR741" s="55"/>
      <c r="FS741" s="55"/>
      <c r="FT741" s="55"/>
      <c r="FU741" s="55"/>
      <c r="FV741" s="55"/>
      <c r="FW741" s="55"/>
      <c r="FX741" s="55"/>
      <c r="FY741" s="55"/>
      <c r="FZ741" s="55"/>
      <c r="GA741" s="55"/>
      <c r="GB741" s="55"/>
      <c r="GC741" s="55"/>
      <c r="GD741" s="55"/>
      <c r="GE741" s="55"/>
      <c r="GF741" s="55"/>
      <c r="GG741" s="55"/>
      <c r="GH741" s="55"/>
      <c r="GI741" s="55"/>
      <c r="GJ741" s="55"/>
      <c r="GK741" s="55"/>
      <c r="GL741" s="55"/>
      <c r="GM741" s="55"/>
      <c r="GN741" s="55"/>
      <c r="GO741" s="55"/>
      <c r="GP741" s="55"/>
      <c r="GQ741" s="55"/>
      <c r="GR741" s="55"/>
      <c r="GS741" s="55"/>
      <c r="GT741" s="55"/>
      <c r="GU741" s="55"/>
      <c r="GV741" s="55"/>
      <c r="GW741" s="55"/>
      <c r="GX741" s="55"/>
      <c r="GY741" s="55"/>
      <c r="GZ741" s="55"/>
      <c r="HA741" s="55"/>
      <c r="HB741" s="55"/>
      <c r="HC741" s="55"/>
      <c r="HD741" s="55"/>
      <c r="HE741" s="55"/>
      <c r="HF741" s="55"/>
      <c r="HG741" s="55"/>
      <c r="HH741" s="55"/>
      <c r="HI741" s="55"/>
      <c r="HJ741" s="55"/>
      <c r="HK741" s="55"/>
      <c r="HL741" s="55"/>
      <c r="HM741" s="55"/>
      <c r="HN741" s="55"/>
      <c r="HO741" s="55"/>
      <c r="HP741" s="55"/>
      <c r="HQ741" s="55"/>
      <c r="HR741" s="55"/>
      <c r="HS741" s="55"/>
      <c r="HT741" s="55"/>
      <c r="HU741" s="55"/>
      <c r="HV741" s="55"/>
      <c r="HW741" s="55"/>
      <c r="HX741" s="55"/>
      <c r="HY741" s="55"/>
      <c r="HZ741" s="55"/>
      <c r="IA741" s="55"/>
      <c r="IB741" s="55"/>
      <c r="IC741" s="55"/>
      <c r="ID741" s="55"/>
      <c r="IE741" s="55"/>
      <c r="IF741" s="55"/>
      <c r="IG741" s="55"/>
      <c r="IH741" s="55"/>
      <c r="II741" s="55"/>
      <c r="IJ741" s="55"/>
      <c r="IK741" s="55"/>
      <c r="IL741" s="55"/>
      <c r="IM741" s="55"/>
      <c r="IN741" s="55"/>
      <c r="IO741" s="55"/>
      <c r="IP741" s="55"/>
      <c r="IQ741" s="55"/>
      <c r="IR741" s="55"/>
      <c r="IS741" s="55"/>
      <c r="IT741" s="55"/>
      <c r="IU741" s="55"/>
    </row>
    <row r="742" spans="1:255" s="55" customFormat="1" ht="13.5">
      <c r="A742" s="71" t="s">
        <v>89</v>
      </c>
      <c r="B742" s="42" t="s">
        <v>8</v>
      </c>
      <c r="C742" s="59">
        <v>300000</v>
      </c>
      <c r="E742" s="67"/>
      <c r="G742" s="65"/>
      <c r="H742" s="65"/>
      <c r="I742" s="65"/>
      <c r="J742" s="65"/>
      <c r="K742" s="65"/>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c r="AQ742" s="65"/>
      <c r="AR742" s="65"/>
      <c r="AS742" s="65"/>
      <c r="AT742" s="65"/>
      <c r="AU742" s="65"/>
      <c r="AV742" s="65"/>
      <c r="AW742" s="65"/>
      <c r="AX742" s="65"/>
      <c r="AY742" s="65"/>
      <c r="AZ742" s="65"/>
      <c r="BA742" s="65"/>
      <c r="BB742" s="65"/>
      <c r="BC742" s="65"/>
      <c r="BD742" s="65"/>
      <c r="BE742" s="65"/>
      <c r="BF742" s="65"/>
      <c r="BG742" s="65"/>
      <c r="BH742" s="65"/>
      <c r="BI742" s="65"/>
      <c r="BJ742" s="65"/>
      <c r="BK742" s="65"/>
      <c r="BL742" s="65"/>
      <c r="BM742" s="65"/>
      <c r="BN742" s="65"/>
      <c r="BO742" s="65"/>
      <c r="BP742" s="65"/>
      <c r="BQ742" s="65"/>
      <c r="BR742" s="65"/>
      <c r="BS742" s="65"/>
      <c r="BT742" s="65"/>
      <c r="BU742" s="65"/>
      <c r="BV742" s="65"/>
      <c r="BW742" s="65"/>
      <c r="BX742" s="65"/>
      <c r="BY742" s="65"/>
      <c r="BZ742" s="65"/>
      <c r="CA742" s="65"/>
      <c r="CB742" s="65"/>
      <c r="CC742" s="65"/>
      <c r="CD742" s="65"/>
      <c r="CE742" s="65"/>
      <c r="CF742" s="65"/>
      <c r="CG742" s="65"/>
      <c r="CH742" s="65"/>
      <c r="CI742" s="65"/>
      <c r="CJ742" s="65"/>
      <c r="CK742" s="65"/>
      <c r="CL742" s="65"/>
      <c r="CM742" s="65"/>
      <c r="CN742" s="65"/>
      <c r="CO742" s="65"/>
      <c r="CP742" s="65"/>
      <c r="CQ742" s="65"/>
      <c r="CR742" s="65"/>
      <c r="CS742" s="65"/>
      <c r="CT742" s="65"/>
      <c r="CU742" s="65"/>
      <c r="CV742" s="65"/>
      <c r="CW742" s="65"/>
      <c r="CX742" s="65"/>
      <c r="CY742" s="65"/>
      <c r="CZ742" s="65"/>
      <c r="DA742" s="65"/>
      <c r="DB742" s="65"/>
      <c r="DC742" s="65"/>
      <c r="DD742" s="65"/>
      <c r="DE742" s="65"/>
      <c r="DF742" s="65"/>
      <c r="DG742" s="65"/>
      <c r="DH742" s="65"/>
      <c r="DI742" s="65"/>
      <c r="DJ742" s="65"/>
      <c r="DK742" s="65"/>
      <c r="DL742" s="65"/>
      <c r="DM742" s="65"/>
      <c r="DN742" s="65"/>
      <c r="DO742" s="65"/>
      <c r="DP742" s="65"/>
      <c r="DQ742" s="65"/>
      <c r="DR742" s="65"/>
      <c r="DS742" s="65"/>
      <c r="DT742" s="65"/>
      <c r="DU742" s="65"/>
      <c r="DV742" s="65"/>
      <c r="DW742" s="65"/>
      <c r="DX742" s="65"/>
      <c r="DY742" s="65"/>
      <c r="DZ742" s="65"/>
      <c r="EA742" s="65"/>
      <c r="EB742" s="65"/>
      <c r="EC742" s="65"/>
      <c r="ED742" s="65"/>
      <c r="EE742" s="65"/>
      <c r="EF742" s="65"/>
      <c r="EG742" s="65"/>
      <c r="EH742" s="65"/>
      <c r="EI742" s="65"/>
      <c r="EJ742" s="65"/>
      <c r="EK742" s="65"/>
      <c r="EL742" s="65"/>
      <c r="EM742" s="65"/>
      <c r="EN742" s="65"/>
      <c r="EO742" s="65"/>
      <c r="EP742" s="65"/>
      <c r="EQ742" s="65"/>
      <c r="ER742" s="65"/>
      <c r="ES742" s="65"/>
      <c r="ET742" s="65"/>
      <c r="EU742" s="65"/>
      <c r="EV742" s="65"/>
      <c r="EW742" s="65"/>
      <c r="EX742" s="65"/>
      <c r="EY742" s="65"/>
      <c r="EZ742" s="65"/>
      <c r="FA742" s="65"/>
      <c r="FB742" s="65"/>
      <c r="FC742" s="65"/>
      <c r="FD742" s="65"/>
      <c r="FE742" s="65"/>
      <c r="FF742" s="65"/>
      <c r="FG742" s="65"/>
      <c r="FH742" s="65"/>
      <c r="FI742" s="65"/>
      <c r="FJ742" s="65"/>
      <c r="FK742" s="65"/>
      <c r="FL742" s="65"/>
      <c r="FM742" s="65"/>
      <c r="FN742" s="65"/>
      <c r="FO742" s="65"/>
      <c r="FP742" s="65"/>
      <c r="FQ742" s="65"/>
      <c r="FR742" s="65"/>
      <c r="FS742" s="65"/>
      <c r="FT742" s="65"/>
      <c r="FU742" s="65"/>
      <c r="FV742" s="65"/>
      <c r="FW742" s="65"/>
      <c r="FX742" s="65"/>
      <c r="FY742" s="65"/>
      <c r="FZ742" s="65"/>
      <c r="GA742" s="65"/>
      <c r="GB742" s="65"/>
      <c r="GC742" s="65"/>
      <c r="GD742" s="65"/>
      <c r="GE742" s="65"/>
      <c r="GF742" s="65"/>
      <c r="GG742" s="65"/>
      <c r="GH742" s="65"/>
      <c r="GI742" s="65"/>
      <c r="GJ742" s="65"/>
      <c r="GK742" s="65"/>
      <c r="GL742" s="65"/>
      <c r="GM742" s="65"/>
      <c r="GN742" s="65"/>
      <c r="GO742" s="65"/>
      <c r="GP742" s="65"/>
      <c r="GQ742" s="65"/>
      <c r="GR742" s="65"/>
      <c r="GS742" s="65"/>
      <c r="GT742" s="65"/>
      <c r="GU742" s="65"/>
      <c r="GV742" s="65"/>
      <c r="GW742" s="65"/>
      <c r="GX742" s="65"/>
      <c r="GY742" s="65"/>
      <c r="GZ742" s="65"/>
      <c r="HA742" s="65"/>
      <c r="HB742" s="65"/>
      <c r="HC742" s="65"/>
      <c r="HD742" s="65"/>
      <c r="HE742" s="65"/>
      <c r="HF742" s="65"/>
      <c r="HG742" s="65"/>
      <c r="HH742" s="65"/>
      <c r="HI742" s="65"/>
      <c r="HJ742" s="65"/>
      <c r="HK742" s="65"/>
      <c r="HL742" s="65"/>
      <c r="HM742" s="65"/>
      <c r="HN742" s="65"/>
      <c r="HO742" s="65"/>
      <c r="HP742" s="65"/>
      <c r="HQ742" s="65"/>
      <c r="HR742" s="65"/>
      <c r="HS742" s="65"/>
      <c r="HT742" s="65"/>
      <c r="HU742" s="65"/>
      <c r="HV742" s="65"/>
      <c r="HW742" s="65"/>
      <c r="HX742" s="65"/>
      <c r="HY742" s="65"/>
      <c r="HZ742" s="65"/>
      <c r="IA742" s="65"/>
      <c r="IB742" s="65"/>
      <c r="IC742" s="65"/>
      <c r="ID742" s="65"/>
      <c r="IE742" s="65"/>
      <c r="IF742" s="65"/>
      <c r="IG742" s="65"/>
      <c r="IH742" s="65"/>
      <c r="II742" s="65"/>
      <c r="IJ742" s="65"/>
      <c r="IK742" s="65"/>
      <c r="IL742" s="65"/>
      <c r="IM742" s="65"/>
      <c r="IN742" s="65"/>
      <c r="IO742" s="65"/>
      <c r="IP742" s="65"/>
      <c r="IQ742" s="65"/>
      <c r="IR742" s="65"/>
      <c r="IS742" s="65"/>
      <c r="IT742" s="65"/>
      <c r="IU742" s="65"/>
    </row>
    <row r="743" spans="1:6" s="8" customFormat="1" ht="13.5" customHeight="1">
      <c r="A743" s="12" t="s">
        <v>223</v>
      </c>
      <c r="B743" s="42" t="s">
        <v>222</v>
      </c>
      <c r="C743" s="24">
        <v>200500</v>
      </c>
      <c r="D743" s="218"/>
      <c r="E743" s="9"/>
      <c r="F743" s="194"/>
    </row>
    <row r="744" spans="1:10" s="8" customFormat="1" ht="13.5" customHeight="1">
      <c r="A744" s="71" t="s">
        <v>90</v>
      </c>
      <c r="B744" s="24" t="s">
        <v>7</v>
      </c>
      <c r="C744" s="24">
        <v>367000</v>
      </c>
      <c r="D744" s="340"/>
      <c r="F744" s="461"/>
      <c r="G744" s="481"/>
      <c r="H744" s="42"/>
      <c r="J744" s="82"/>
    </row>
    <row r="745" spans="1:6" s="65" customFormat="1" ht="14.25" thickBot="1">
      <c r="A745" s="58"/>
      <c r="B745" s="100"/>
      <c r="C745" s="59"/>
      <c r="D745" s="66"/>
      <c r="E745" s="67"/>
      <c r="F745" s="194"/>
    </row>
    <row r="746" spans="1:6" s="65" customFormat="1" ht="14.25" thickBot="1">
      <c r="A746" s="1030" t="s">
        <v>5</v>
      </c>
      <c r="B746" s="1037"/>
      <c r="C746" s="661">
        <f>C747</f>
        <v>254000</v>
      </c>
      <c r="D746" s="66"/>
      <c r="E746" s="67"/>
      <c r="F746" s="194"/>
    </row>
    <row r="747" spans="1:6" s="225" customFormat="1" ht="13.5">
      <c r="A747" s="62" t="s">
        <v>128</v>
      </c>
      <c r="B747" s="199" t="s">
        <v>129</v>
      </c>
      <c r="C747" s="509">
        <f>SUM(C748:C749)</f>
        <v>254000</v>
      </c>
      <c r="D747" s="172"/>
      <c r="E747" s="94"/>
      <c r="F747" s="98"/>
    </row>
    <row r="748" spans="1:6" s="55" customFormat="1" ht="13.5">
      <c r="A748" s="58" t="s">
        <v>255</v>
      </c>
      <c r="B748" s="42" t="s">
        <v>256</v>
      </c>
      <c r="C748" s="59">
        <v>158000</v>
      </c>
      <c r="D748" s="172"/>
      <c r="E748" s="56"/>
      <c r="F748" s="98"/>
    </row>
    <row r="749" spans="1:6" s="55" customFormat="1" ht="13.5">
      <c r="A749" s="58" t="s">
        <v>144</v>
      </c>
      <c r="B749" s="42" t="s">
        <v>257</v>
      </c>
      <c r="C749" s="59">
        <v>96000</v>
      </c>
      <c r="D749" s="59"/>
      <c r="E749" s="56"/>
      <c r="F749" s="98"/>
    </row>
    <row r="750" spans="1:6" s="65" customFormat="1" ht="14.25" thickBot="1">
      <c r="A750" s="69"/>
      <c r="B750" s="69"/>
      <c r="C750" s="59"/>
      <c r="D750" s="66"/>
      <c r="E750" s="67"/>
      <c r="F750" s="194"/>
    </row>
    <row r="751" spans="1:6" s="65" customFormat="1" ht="14.25" thickBot="1">
      <c r="A751" s="1017" t="s">
        <v>4</v>
      </c>
      <c r="B751" s="1018"/>
      <c r="C751" s="637">
        <f>C752+C754+C758</f>
        <v>200000</v>
      </c>
      <c r="D751" s="66"/>
      <c r="E751" s="67"/>
      <c r="F751" s="194"/>
    </row>
    <row r="752" spans="1:6" s="225" customFormat="1" ht="13.5">
      <c r="A752" s="249" t="s">
        <v>178</v>
      </c>
      <c r="B752" s="281" t="s">
        <v>177</v>
      </c>
      <c r="C752" s="509">
        <f>SUM(C753)</f>
        <v>89000</v>
      </c>
      <c r="D752" s="172"/>
      <c r="E752" s="94"/>
      <c r="F752" s="98"/>
    </row>
    <row r="753" spans="1:255" s="65" customFormat="1" ht="13.5">
      <c r="A753" s="71" t="s">
        <v>172</v>
      </c>
      <c r="B753" s="42" t="s">
        <v>171</v>
      </c>
      <c r="C753" s="59">
        <v>89000</v>
      </c>
      <c r="D753" s="228"/>
      <c r="E753" s="61"/>
      <c r="F753" s="211"/>
      <c r="G753" s="51"/>
      <c r="H753" s="51"/>
      <c r="I753" s="51"/>
      <c r="J753" s="51"/>
      <c r="K753" s="51"/>
      <c r="L753" s="51"/>
      <c r="M753" s="51"/>
      <c r="N753" s="51"/>
      <c r="O753" s="51"/>
      <c r="P753" s="51"/>
      <c r="Q753" s="51"/>
      <c r="R753" s="51"/>
      <c r="S753" s="51"/>
      <c r="T753" s="51"/>
      <c r="U753" s="51"/>
      <c r="V753" s="51"/>
      <c r="W753" s="51"/>
      <c r="X753" s="51"/>
      <c r="Y753" s="51"/>
      <c r="Z753" s="51"/>
      <c r="AA753" s="51"/>
      <c r="AB753" s="51"/>
      <c r="AC753" s="51"/>
      <c r="AD753" s="51"/>
      <c r="AE753" s="51"/>
      <c r="AF753" s="51"/>
      <c r="AG753" s="51"/>
      <c r="AH753" s="51"/>
      <c r="AI753" s="51"/>
      <c r="AJ753" s="51"/>
      <c r="AK753" s="51"/>
      <c r="AL753" s="51"/>
      <c r="AM753" s="51"/>
      <c r="AN753" s="51"/>
      <c r="AO753" s="51"/>
      <c r="AP753" s="51"/>
      <c r="AQ753" s="51"/>
      <c r="AR753" s="51"/>
      <c r="AS753" s="51"/>
      <c r="AT753" s="51"/>
      <c r="AU753" s="51"/>
      <c r="AV753" s="51"/>
      <c r="AW753" s="51"/>
      <c r="AX753" s="51"/>
      <c r="AY753" s="51"/>
      <c r="AZ753" s="51"/>
      <c r="BA753" s="51"/>
      <c r="BB753" s="51"/>
      <c r="BC753" s="51"/>
      <c r="BD753" s="51"/>
      <c r="BE753" s="51"/>
      <c r="BF753" s="51"/>
      <c r="BG753" s="51"/>
      <c r="BH753" s="51"/>
      <c r="BI753" s="51"/>
      <c r="BJ753" s="51"/>
      <c r="BK753" s="51"/>
      <c r="BL753" s="51"/>
      <c r="BM753" s="51"/>
      <c r="BN753" s="51"/>
      <c r="BO753" s="51"/>
      <c r="BP753" s="51"/>
      <c r="BQ753" s="51"/>
      <c r="BR753" s="51"/>
      <c r="BS753" s="51"/>
      <c r="BT753" s="51"/>
      <c r="BU753" s="51"/>
      <c r="BV753" s="51"/>
      <c r="BW753" s="51"/>
      <c r="BX753" s="51"/>
      <c r="BY753" s="51"/>
      <c r="BZ753" s="51"/>
      <c r="CA753" s="51"/>
      <c r="CB753" s="51"/>
      <c r="CC753" s="51"/>
      <c r="CD753" s="51"/>
      <c r="CE753" s="51"/>
      <c r="CF753" s="51"/>
      <c r="CG753" s="51"/>
      <c r="CH753" s="51"/>
      <c r="CI753" s="51"/>
      <c r="CJ753" s="51"/>
      <c r="CK753" s="51"/>
      <c r="CL753" s="51"/>
      <c r="CM753" s="51"/>
      <c r="CN753" s="51"/>
      <c r="CO753" s="51"/>
      <c r="CP753" s="51"/>
      <c r="CQ753" s="51"/>
      <c r="CR753" s="51"/>
      <c r="CS753" s="51"/>
      <c r="CT753" s="51"/>
      <c r="CU753" s="51"/>
      <c r="CV753" s="51"/>
      <c r="CW753" s="51"/>
      <c r="CX753" s="51"/>
      <c r="CY753" s="51"/>
      <c r="CZ753" s="51"/>
      <c r="DA753" s="51"/>
      <c r="DB753" s="51"/>
      <c r="DC753" s="51"/>
      <c r="DD753" s="51"/>
      <c r="DE753" s="51"/>
      <c r="DF753" s="51"/>
      <c r="DG753" s="51"/>
      <c r="DH753" s="51"/>
      <c r="DI753" s="51"/>
      <c r="DJ753" s="51"/>
      <c r="DK753" s="51"/>
      <c r="DL753" s="51"/>
      <c r="DM753" s="51"/>
      <c r="DN753" s="51"/>
      <c r="DO753" s="51"/>
      <c r="DP753" s="51"/>
      <c r="DQ753" s="51"/>
      <c r="DR753" s="51"/>
      <c r="DS753" s="51"/>
      <c r="DT753" s="51"/>
      <c r="DU753" s="51"/>
      <c r="DV753" s="51"/>
      <c r="DW753" s="51"/>
      <c r="DX753" s="51"/>
      <c r="DY753" s="51"/>
      <c r="DZ753" s="51"/>
      <c r="EA753" s="51"/>
      <c r="EB753" s="51"/>
      <c r="EC753" s="51"/>
      <c r="ED753" s="51"/>
      <c r="EE753" s="51"/>
      <c r="EF753" s="51"/>
      <c r="EG753" s="51"/>
      <c r="EH753" s="51"/>
      <c r="EI753" s="51"/>
      <c r="EJ753" s="51"/>
      <c r="EK753" s="51"/>
      <c r="EL753" s="51"/>
      <c r="EM753" s="51"/>
      <c r="EN753" s="51"/>
      <c r="EO753" s="51"/>
      <c r="EP753" s="51"/>
      <c r="EQ753" s="51"/>
      <c r="ER753" s="51"/>
      <c r="ES753" s="51"/>
      <c r="ET753" s="51"/>
      <c r="EU753" s="51"/>
      <c r="EV753" s="51"/>
      <c r="EW753" s="51"/>
      <c r="EX753" s="51"/>
      <c r="EY753" s="51"/>
      <c r="EZ753" s="51"/>
      <c r="FA753" s="51"/>
      <c r="FB753" s="51"/>
      <c r="FC753" s="51"/>
      <c r="FD753" s="51"/>
      <c r="FE753" s="51"/>
      <c r="FF753" s="51"/>
      <c r="FG753" s="51"/>
      <c r="FH753" s="51"/>
      <c r="FI753" s="51"/>
      <c r="FJ753" s="51"/>
      <c r="FK753" s="51"/>
      <c r="FL753" s="51"/>
      <c r="FM753" s="51"/>
      <c r="FN753" s="51"/>
      <c r="FO753" s="51"/>
      <c r="FP753" s="51"/>
      <c r="FQ753" s="51"/>
      <c r="FR753" s="51"/>
      <c r="FS753" s="51"/>
      <c r="FT753" s="51"/>
      <c r="FU753" s="51"/>
      <c r="FV753" s="51"/>
      <c r="FW753" s="51"/>
      <c r="FX753" s="51"/>
      <c r="FY753" s="51"/>
      <c r="FZ753" s="51"/>
      <c r="GA753" s="51"/>
      <c r="GB753" s="51"/>
      <c r="GC753" s="51"/>
      <c r="GD753" s="51"/>
      <c r="GE753" s="51"/>
      <c r="GF753" s="51"/>
      <c r="GG753" s="51"/>
      <c r="GH753" s="51"/>
      <c r="GI753" s="51"/>
      <c r="GJ753" s="51"/>
      <c r="GK753" s="51"/>
      <c r="GL753" s="51"/>
      <c r="GM753" s="51"/>
      <c r="GN753" s="51"/>
      <c r="GO753" s="51"/>
      <c r="GP753" s="51"/>
      <c r="GQ753" s="51"/>
      <c r="GR753" s="51"/>
      <c r="GS753" s="51"/>
      <c r="GT753" s="51"/>
      <c r="GU753" s="51"/>
      <c r="GV753" s="51"/>
      <c r="GW753" s="51"/>
      <c r="GX753" s="51"/>
      <c r="GY753" s="51"/>
      <c r="GZ753" s="51"/>
      <c r="HA753" s="51"/>
      <c r="HB753" s="51"/>
      <c r="HC753" s="51"/>
      <c r="HD753" s="51"/>
      <c r="HE753" s="51"/>
      <c r="HF753" s="51"/>
      <c r="HG753" s="51"/>
      <c r="HH753" s="51"/>
      <c r="HI753" s="51"/>
      <c r="HJ753" s="51"/>
      <c r="HK753" s="51"/>
      <c r="HL753" s="51"/>
      <c r="HM753" s="51"/>
      <c r="HN753" s="51"/>
      <c r="HO753" s="51"/>
      <c r="HP753" s="51"/>
      <c r="HQ753" s="51"/>
      <c r="HR753" s="51"/>
      <c r="HS753" s="51"/>
      <c r="HT753" s="51"/>
      <c r="HU753" s="51"/>
      <c r="HV753" s="51"/>
      <c r="HW753" s="51"/>
      <c r="HX753" s="51"/>
      <c r="HY753" s="51"/>
      <c r="HZ753" s="51"/>
      <c r="IA753" s="51"/>
      <c r="IB753" s="51"/>
      <c r="IC753" s="51"/>
      <c r="ID753" s="51"/>
      <c r="IE753" s="51"/>
      <c r="IF753" s="51"/>
      <c r="IG753" s="51"/>
      <c r="IH753" s="51"/>
      <c r="II753" s="51"/>
      <c r="IJ753" s="51"/>
      <c r="IK753" s="51"/>
      <c r="IL753" s="51"/>
      <c r="IM753" s="51"/>
      <c r="IN753" s="51"/>
      <c r="IO753" s="51"/>
      <c r="IP753" s="51"/>
      <c r="IQ753" s="51"/>
      <c r="IR753" s="51"/>
      <c r="IS753" s="51"/>
      <c r="IT753" s="51"/>
      <c r="IU753" s="51"/>
    </row>
    <row r="754" spans="1:255" s="65" customFormat="1" ht="13.5">
      <c r="A754" s="249" t="s">
        <v>116</v>
      </c>
      <c r="B754" s="281" t="s">
        <v>117</v>
      </c>
      <c r="C754" s="63">
        <f>SUM(C755:C757)</f>
        <v>93000</v>
      </c>
      <c r="D754" s="228"/>
      <c r="E754" s="61"/>
      <c r="F754" s="211"/>
      <c r="G754" s="51"/>
      <c r="H754" s="51"/>
      <c r="I754" s="51"/>
      <c r="J754" s="51"/>
      <c r="K754" s="51"/>
      <c r="L754" s="51"/>
      <c r="M754" s="51"/>
      <c r="N754" s="51"/>
      <c r="O754" s="51"/>
      <c r="P754" s="51"/>
      <c r="Q754" s="51"/>
      <c r="R754" s="51"/>
      <c r="S754" s="51"/>
      <c r="T754" s="51"/>
      <c r="U754" s="51"/>
      <c r="V754" s="51"/>
      <c r="W754" s="51"/>
      <c r="X754" s="51"/>
      <c r="Y754" s="51"/>
      <c r="Z754" s="51"/>
      <c r="AA754" s="51"/>
      <c r="AB754" s="51"/>
      <c r="AC754" s="51"/>
      <c r="AD754" s="51"/>
      <c r="AE754" s="51"/>
      <c r="AF754" s="51"/>
      <c r="AG754" s="51"/>
      <c r="AH754" s="51"/>
      <c r="AI754" s="51"/>
      <c r="AJ754" s="51"/>
      <c r="AK754" s="51"/>
      <c r="AL754" s="51"/>
      <c r="AM754" s="51"/>
      <c r="AN754" s="51"/>
      <c r="AO754" s="51"/>
      <c r="AP754" s="51"/>
      <c r="AQ754" s="51"/>
      <c r="AR754" s="51"/>
      <c r="AS754" s="51"/>
      <c r="AT754" s="51"/>
      <c r="AU754" s="51"/>
      <c r="AV754" s="51"/>
      <c r="AW754" s="51"/>
      <c r="AX754" s="51"/>
      <c r="AY754" s="51"/>
      <c r="AZ754" s="51"/>
      <c r="BA754" s="51"/>
      <c r="BB754" s="51"/>
      <c r="BC754" s="51"/>
      <c r="BD754" s="51"/>
      <c r="BE754" s="51"/>
      <c r="BF754" s="51"/>
      <c r="BG754" s="51"/>
      <c r="BH754" s="51"/>
      <c r="BI754" s="51"/>
      <c r="BJ754" s="51"/>
      <c r="BK754" s="51"/>
      <c r="BL754" s="51"/>
      <c r="BM754" s="51"/>
      <c r="BN754" s="51"/>
      <c r="BO754" s="51"/>
      <c r="BP754" s="51"/>
      <c r="BQ754" s="51"/>
      <c r="BR754" s="51"/>
      <c r="BS754" s="51"/>
      <c r="BT754" s="51"/>
      <c r="BU754" s="51"/>
      <c r="BV754" s="51"/>
      <c r="BW754" s="51"/>
      <c r="BX754" s="51"/>
      <c r="BY754" s="51"/>
      <c r="BZ754" s="51"/>
      <c r="CA754" s="51"/>
      <c r="CB754" s="51"/>
      <c r="CC754" s="51"/>
      <c r="CD754" s="51"/>
      <c r="CE754" s="51"/>
      <c r="CF754" s="51"/>
      <c r="CG754" s="51"/>
      <c r="CH754" s="51"/>
      <c r="CI754" s="51"/>
      <c r="CJ754" s="51"/>
      <c r="CK754" s="51"/>
      <c r="CL754" s="51"/>
      <c r="CM754" s="51"/>
      <c r="CN754" s="51"/>
      <c r="CO754" s="51"/>
      <c r="CP754" s="51"/>
      <c r="CQ754" s="51"/>
      <c r="CR754" s="51"/>
      <c r="CS754" s="51"/>
      <c r="CT754" s="51"/>
      <c r="CU754" s="51"/>
      <c r="CV754" s="51"/>
      <c r="CW754" s="51"/>
      <c r="CX754" s="51"/>
      <c r="CY754" s="51"/>
      <c r="CZ754" s="51"/>
      <c r="DA754" s="51"/>
      <c r="DB754" s="51"/>
      <c r="DC754" s="51"/>
      <c r="DD754" s="51"/>
      <c r="DE754" s="51"/>
      <c r="DF754" s="51"/>
      <c r="DG754" s="51"/>
      <c r="DH754" s="51"/>
      <c r="DI754" s="51"/>
      <c r="DJ754" s="51"/>
      <c r="DK754" s="51"/>
      <c r="DL754" s="51"/>
      <c r="DM754" s="51"/>
      <c r="DN754" s="51"/>
      <c r="DO754" s="51"/>
      <c r="DP754" s="51"/>
      <c r="DQ754" s="51"/>
      <c r="DR754" s="51"/>
      <c r="DS754" s="51"/>
      <c r="DT754" s="51"/>
      <c r="DU754" s="51"/>
      <c r="DV754" s="51"/>
      <c r="DW754" s="51"/>
      <c r="DX754" s="51"/>
      <c r="DY754" s="51"/>
      <c r="DZ754" s="51"/>
      <c r="EA754" s="51"/>
      <c r="EB754" s="51"/>
      <c r="EC754" s="51"/>
      <c r="ED754" s="51"/>
      <c r="EE754" s="51"/>
      <c r="EF754" s="51"/>
      <c r="EG754" s="51"/>
      <c r="EH754" s="51"/>
      <c r="EI754" s="51"/>
      <c r="EJ754" s="51"/>
      <c r="EK754" s="51"/>
      <c r="EL754" s="51"/>
      <c r="EM754" s="51"/>
      <c r="EN754" s="51"/>
      <c r="EO754" s="51"/>
      <c r="EP754" s="51"/>
      <c r="EQ754" s="51"/>
      <c r="ER754" s="51"/>
      <c r="ES754" s="51"/>
      <c r="ET754" s="51"/>
      <c r="EU754" s="51"/>
      <c r="EV754" s="51"/>
      <c r="EW754" s="51"/>
      <c r="EX754" s="51"/>
      <c r="EY754" s="51"/>
      <c r="EZ754" s="51"/>
      <c r="FA754" s="51"/>
      <c r="FB754" s="51"/>
      <c r="FC754" s="51"/>
      <c r="FD754" s="51"/>
      <c r="FE754" s="51"/>
      <c r="FF754" s="51"/>
      <c r="FG754" s="51"/>
      <c r="FH754" s="51"/>
      <c r="FI754" s="51"/>
      <c r="FJ754" s="51"/>
      <c r="FK754" s="51"/>
      <c r="FL754" s="51"/>
      <c r="FM754" s="51"/>
      <c r="FN754" s="51"/>
      <c r="FO754" s="51"/>
      <c r="FP754" s="51"/>
      <c r="FQ754" s="51"/>
      <c r="FR754" s="51"/>
      <c r="FS754" s="51"/>
      <c r="FT754" s="51"/>
      <c r="FU754" s="51"/>
      <c r="FV754" s="51"/>
      <c r="FW754" s="51"/>
      <c r="FX754" s="51"/>
      <c r="FY754" s="51"/>
      <c r="FZ754" s="51"/>
      <c r="GA754" s="51"/>
      <c r="GB754" s="51"/>
      <c r="GC754" s="51"/>
      <c r="GD754" s="51"/>
      <c r="GE754" s="51"/>
      <c r="GF754" s="51"/>
      <c r="GG754" s="51"/>
      <c r="GH754" s="51"/>
      <c r="GI754" s="51"/>
      <c r="GJ754" s="51"/>
      <c r="GK754" s="51"/>
      <c r="GL754" s="51"/>
      <c r="GM754" s="51"/>
      <c r="GN754" s="51"/>
      <c r="GO754" s="51"/>
      <c r="GP754" s="51"/>
      <c r="GQ754" s="51"/>
      <c r="GR754" s="51"/>
      <c r="GS754" s="51"/>
      <c r="GT754" s="51"/>
      <c r="GU754" s="51"/>
      <c r="GV754" s="51"/>
      <c r="GW754" s="51"/>
      <c r="GX754" s="51"/>
      <c r="GY754" s="51"/>
      <c r="GZ754" s="51"/>
      <c r="HA754" s="51"/>
      <c r="HB754" s="51"/>
      <c r="HC754" s="51"/>
      <c r="HD754" s="51"/>
      <c r="HE754" s="51"/>
      <c r="HF754" s="51"/>
      <c r="HG754" s="51"/>
      <c r="HH754" s="51"/>
      <c r="HI754" s="51"/>
      <c r="HJ754" s="51"/>
      <c r="HK754" s="51"/>
      <c r="HL754" s="51"/>
      <c r="HM754" s="51"/>
      <c r="HN754" s="51"/>
      <c r="HO754" s="51"/>
      <c r="HP754" s="51"/>
      <c r="HQ754" s="51"/>
      <c r="HR754" s="51"/>
      <c r="HS754" s="51"/>
      <c r="HT754" s="51"/>
      <c r="HU754" s="51"/>
      <c r="HV754" s="51"/>
      <c r="HW754" s="51"/>
      <c r="HX754" s="51"/>
      <c r="HY754" s="51"/>
      <c r="HZ754" s="51"/>
      <c r="IA754" s="51"/>
      <c r="IB754" s="51"/>
      <c r="IC754" s="51"/>
      <c r="ID754" s="51"/>
      <c r="IE754" s="51"/>
      <c r="IF754" s="51"/>
      <c r="IG754" s="51"/>
      <c r="IH754" s="51"/>
      <c r="II754" s="51"/>
      <c r="IJ754" s="51"/>
      <c r="IK754" s="51"/>
      <c r="IL754" s="51"/>
      <c r="IM754" s="51"/>
      <c r="IN754" s="51"/>
      <c r="IO754" s="51"/>
      <c r="IP754" s="51"/>
      <c r="IQ754" s="51"/>
      <c r="IR754" s="51"/>
      <c r="IS754" s="51"/>
      <c r="IT754" s="51"/>
      <c r="IU754" s="51"/>
    </row>
    <row r="755" spans="1:6" s="65" customFormat="1" ht="13.5">
      <c r="A755" s="71" t="s">
        <v>91</v>
      </c>
      <c r="B755" s="42" t="s">
        <v>139</v>
      </c>
      <c r="C755" s="59">
        <v>38000</v>
      </c>
      <c r="D755" s="66"/>
      <c r="E755" s="67"/>
      <c r="F755" s="194"/>
    </row>
    <row r="756" spans="1:255" s="51" customFormat="1" ht="13.5">
      <c r="A756" s="71" t="s">
        <v>57</v>
      </c>
      <c r="B756" s="42" t="s">
        <v>58</v>
      </c>
      <c r="C756" s="59">
        <v>25000</v>
      </c>
      <c r="D756" s="66"/>
      <c r="E756" s="67"/>
      <c r="F756" s="194"/>
      <c r="G756" s="65"/>
      <c r="H756" s="65"/>
      <c r="I756" s="65"/>
      <c r="J756" s="65"/>
      <c r="K756" s="65"/>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c r="AQ756" s="65"/>
      <c r="AR756" s="65"/>
      <c r="AS756" s="65"/>
      <c r="AT756" s="65"/>
      <c r="AU756" s="65"/>
      <c r="AV756" s="65"/>
      <c r="AW756" s="65"/>
      <c r="AX756" s="65"/>
      <c r="AY756" s="65"/>
      <c r="AZ756" s="65"/>
      <c r="BA756" s="65"/>
      <c r="BB756" s="65"/>
      <c r="BC756" s="65"/>
      <c r="BD756" s="65"/>
      <c r="BE756" s="65"/>
      <c r="BF756" s="65"/>
      <c r="BG756" s="65"/>
      <c r="BH756" s="65"/>
      <c r="BI756" s="65"/>
      <c r="BJ756" s="65"/>
      <c r="BK756" s="65"/>
      <c r="BL756" s="65"/>
      <c r="BM756" s="65"/>
      <c r="BN756" s="65"/>
      <c r="BO756" s="65"/>
      <c r="BP756" s="65"/>
      <c r="BQ756" s="65"/>
      <c r="BR756" s="65"/>
      <c r="BS756" s="65"/>
      <c r="BT756" s="65"/>
      <c r="BU756" s="65"/>
      <c r="BV756" s="65"/>
      <c r="BW756" s="65"/>
      <c r="BX756" s="65"/>
      <c r="BY756" s="65"/>
      <c r="BZ756" s="65"/>
      <c r="CA756" s="65"/>
      <c r="CB756" s="65"/>
      <c r="CC756" s="65"/>
      <c r="CD756" s="65"/>
      <c r="CE756" s="65"/>
      <c r="CF756" s="65"/>
      <c r="CG756" s="65"/>
      <c r="CH756" s="65"/>
      <c r="CI756" s="65"/>
      <c r="CJ756" s="65"/>
      <c r="CK756" s="65"/>
      <c r="CL756" s="65"/>
      <c r="CM756" s="65"/>
      <c r="CN756" s="65"/>
      <c r="CO756" s="65"/>
      <c r="CP756" s="65"/>
      <c r="CQ756" s="65"/>
      <c r="CR756" s="65"/>
      <c r="CS756" s="65"/>
      <c r="CT756" s="65"/>
      <c r="CU756" s="65"/>
      <c r="CV756" s="65"/>
      <c r="CW756" s="65"/>
      <c r="CX756" s="65"/>
      <c r="CY756" s="65"/>
      <c r="CZ756" s="65"/>
      <c r="DA756" s="65"/>
      <c r="DB756" s="65"/>
      <c r="DC756" s="65"/>
      <c r="DD756" s="65"/>
      <c r="DE756" s="65"/>
      <c r="DF756" s="65"/>
      <c r="DG756" s="65"/>
      <c r="DH756" s="65"/>
      <c r="DI756" s="65"/>
      <c r="DJ756" s="65"/>
      <c r="DK756" s="65"/>
      <c r="DL756" s="65"/>
      <c r="DM756" s="65"/>
      <c r="DN756" s="65"/>
      <c r="DO756" s="65"/>
      <c r="DP756" s="65"/>
      <c r="DQ756" s="65"/>
      <c r="DR756" s="65"/>
      <c r="DS756" s="65"/>
      <c r="DT756" s="65"/>
      <c r="DU756" s="65"/>
      <c r="DV756" s="65"/>
      <c r="DW756" s="65"/>
      <c r="DX756" s="65"/>
      <c r="DY756" s="65"/>
      <c r="DZ756" s="65"/>
      <c r="EA756" s="65"/>
      <c r="EB756" s="65"/>
      <c r="EC756" s="65"/>
      <c r="ED756" s="65"/>
      <c r="EE756" s="65"/>
      <c r="EF756" s="65"/>
      <c r="EG756" s="65"/>
      <c r="EH756" s="65"/>
      <c r="EI756" s="65"/>
      <c r="EJ756" s="65"/>
      <c r="EK756" s="65"/>
      <c r="EL756" s="65"/>
      <c r="EM756" s="65"/>
      <c r="EN756" s="65"/>
      <c r="EO756" s="65"/>
      <c r="EP756" s="65"/>
      <c r="EQ756" s="65"/>
      <c r="ER756" s="65"/>
      <c r="ES756" s="65"/>
      <c r="ET756" s="65"/>
      <c r="EU756" s="65"/>
      <c r="EV756" s="65"/>
      <c r="EW756" s="65"/>
      <c r="EX756" s="65"/>
      <c r="EY756" s="65"/>
      <c r="EZ756" s="65"/>
      <c r="FA756" s="65"/>
      <c r="FB756" s="65"/>
      <c r="FC756" s="65"/>
      <c r="FD756" s="65"/>
      <c r="FE756" s="65"/>
      <c r="FF756" s="65"/>
      <c r="FG756" s="65"/>
      <c r="FH756" s="65"/>
      <c r="FI756" s="65"/>
      <c r="FJ756" s="65"/>
      <c r="FK756" s="65"/>
      <c r="FL756" s="65"/>
      <c r="FM756" s="65"/>
      <c r="FN756" s="65"/>
      <c r="FO756" s="65"/>
      <c r="FP756" s="65"/>
      <c r="FQ756" s="65"/>
      <c r="FR756" s="65"/>
      <c r="FS756" s="65"/>
      <c r="FT756" s="65"/>
      <c r="FU756" s="65"/>
      <c r="FV756" s="65"/>
      <c r="FW756" s="65"/>
      <c r="FX756" s="65"/>
      <c r="FY756" s="65"/>
      <c r="FZ756" s="65"/>
      <c r="GA756" s="65"/>
      <c r="GB756" s="65"/>
      <c r="GC756" s="65"/>
      <c r="GD756" s="65"/>
      <c r="GE756" s="65"/>
      <c r="GF756" s="65"/>
      <c r="GG756" s="65"/>
      <c r="GH756" s="65"/>
      <c r="GI756" s="65"/>
      <c r="GJ756" s="65"/>
      <c r="GK756" s="65"/>
      <c r="GL756" s="65"/>
      <c r="GM756" s="65"/>
      <c r="GN756" s="65"/>
      <c r="GO756" s="65"/>
      <c r="GP756" s="65"/>
      <c r="GQ756" s="65"/>
      <c r="GR756" s="65"/>
      <c r="GS756" s="65"/>
      <c r="GT756" s="65"/>
      <c r="GU756" s="65"/>
      <c r="GV756" s="65"/>
      <c r="GW756" s="65"/>
      <c r="GX756" s="65"/>
      <c r="GY756" s="65"/>
      <c r="GZ756" s="65"/>
      <c r="HA756" s="65"/>
      <c r="HB756" s="65"/>
      <c r="HC756" s="65"/>
      <c r="HD756" s="65"/>
      <c r="HE756" s="65"/>
      <c r="HF756" s="65"/>
      <c r="HG756" s="65"/>
      <c r="HH756" s="65"/>
      <c r="HI756" s="65"/>
      <c r="HJ756" s="65"/>
      <c r="HK756" s="65"/>
      <c r="HL756" s="65"/>
      <c r="HM756" s="65"/>
      <c r="HN756" s="65"/>
      <c r="HO756" s="65"/>
      <c r="HP756" s="65"/>
      <c r="HQ756" s="65"/>
      <c r="HR756" s="65"/>
      <c r="HS756" s="65"/>
      <c r="HT756" s="65"/>
      <c r="HU756" s="65"/>
      <c r="HV756" s="65"/>
      <c r="HW756" s="65"/>
      <c r="HX756" s="65"/>
      <c r="HY756" s="65"/>
      <c r="HZ756" s="65"/>
      <c r="IA756" s="65"/>
      <c r="IB756" s="65"/>
      <c r="IC756" s="65"/>
      <c r="ID756" s="65"/>
      <c r="IE756" s="65"/>
      <c r="IF756" s="65"/>
      <c r="IG756" s="65"/>
      <c r="IH756" s="65"/>
      <c r="II756" s="65"/>
      <c r="IJ756" s="65"/>
      <c r="IK756" s="65"/>
      <c r="IL756" s="65"/>
      <c r="IM756" s="65"/>
      <c r="IN756" s="65"/>
      <c r="IO756" s="65"/>
      <c r="IP756" s="65"/>
      <c r="IQ756" s="65"/>
      <c r="IR756" s="65"/>
      <c r="IS756" s="65"/>
      <c r="IT756" s="65"/>
      <c r="IU756" s="65"/>
    </row>
    <row r="757" spans="1:8" s="8" customFormat="1" ht="13.5" customHeight="1">
      <c r="A757" s="71" t="s">
        <v>756</v>
      </c>
      <c r="B757" s="23" t="s">
        <v>757</v>
      </c>
      <c r="C757" s="24">
        <v>30000</v>
      </c>
      <c r="D757" s="77"/>
      <c r="E757" s="25"/>
      <c r="F757" s="98"/>
      <c r="G757" s="54"/>
      <c r="H757" s="42"/>
    </row>
    <row r="758" spans="1:255" s="51" customFormat="1" ht="13.5">
      <c r="A758" s="249" t="s">
        <v>165</v>
      </c>
      <c r="B758" s="25" t="s">
        <v>135</v>
      </c>
      <c r="C758" s="63">
        <f>SUM(C759)</f>
        <v>18000</v>
      </c>
      <c r="D758" s="66"/>
      <c r="E758" s="67"/>
      <c r="F758" s="194"/>
      <c r="G758" s="65"/>
      <c r="H758" s="65"/>
      <c r="I758" s="65"/>
      <c r="J758" s="65"/>
      <c r="K758" s="65"/>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c r="AQ758" s="65"/>
      <c r="AR758" s="65"/>
      <c r="AS758" s="65"/>
      <c r="AT758" s="65"/>
      <c r="AU758" s="65"/>
      <c r="AV758" s="65"/>
      <c r="AW758" s="65"/>
      <c r="AX758" s="65"/>
      <c r="AY758" s="65"/>
      <c r="AZ758" s="65"/>
      <c r="BA758" s="65"/>
      <c r="BB758" s="65"/>
      <c r="BC758" s="65"/>
      <c r="BD758" s="65"/>
      <c r="BE758" s="65"/>
      <c r="BF758" s="65"/>
      <c r="BG758" s="65"/>
      <c r="BH758" s="65"/>
      <c r="BI758" s="65"/>
      <c r="BJ758" s="65"/>
      <c r="BK758" s="65"/>
      <c r="BL758" s="65"/>
      <c r="BM758" s="65"/>
      <c r="BN758" s="65"/>
      <c r="BO758" s="65"/>
      <c r="BP758" s="65"/>
      <c r="BQ758" s="65"/>
      <c r="BR758" s="65"/>
      <c r="BS758" s="65"/>
      <c r="BT758" s="65"/>
      <c r="BU758" s="65"/>
      <c r="BV758" s="65"/>
      <c r="BW758" s="65"/>
      <c r="BX758" s="65"/>
      <c r="BY758" s="65"/>
      <c r="BZ758" s="65"/>
      <c r="CA758" s="65"/>
      <c r="CB758" s="65"/>
      <c r="CC758" s="65"/>
      <c r="CD758" s="65"/>
      <c r="CE758" s="65"/>
      <c r="CF758" s="65"/>
      <c r="CG758" s="65"/>
      <c r="CH758" s="65"/>
      <c r="CI758" s="65"/>
      <c r="CJ758" s="65"/>
      <c r="CK758" s="65"/>
      <c r="CL758" s="65"/>
      <c r="CM758" s="65"/>
      <c r="CN758" s="65"/>
      <c r="CO758" s="65"/>
      <c r="CP758" s="65"/>
      <c r="CQ758" s="65"/>
      <c r="CR758" s="65"/>
      <c r="CS758" s="65"/>
      <c r="CT758" s="65"/>
      <c r="CU758" s="65"/>
      <c r="CV758" s="65"/>
      <c r="CW758" s="65"/>
      <c r="CX758" s="65"/>
      <c r="CY758" s="65"/>
      <c r="CZ758" s="65"/>
      <c r="DA758" s="65"/>
      <c r="DB758" s="65"/>
      <c r="DC758" s="65"/>
      <c r="DD758" s="65"/>
      <c r="DE758" s="65"/>
      <c r="DF758" s="65"/>
      <c r="DG758" s="65"/>
      <c r="DH758" s="65"/>
      <c r="DI758" s="65"/>
      <c r="DJ758" s="65"/>
      <c r="DK758" s="65"/>
      <c r="DL758" s="65"/>
      <c r="DM758" s="65"/>
      <c r="DN758" s="65"/>
      <c r="DO758" s="65"/>
      <c r="DP758" s="65"/>
      <c r="DQ758" s="65"/>
      <c r="DR758" s="65"/>
      <c r="DS758" s="65"/>
      <c r="DT758" s="65"/>
      <c r="DU758" s="65"/>
      <c r="DV758" s="65"/>
      <c r="DW758" s="65"/>
      <c r="DX758" s="65"/>
      <c r="DY758" s="65"/>
      <c r="DZ758" s="65"/>
      <c r="EA758" s="65"/>
      <c r="EB758" s="65"/>
      <c r="EC758" s="65"/>
      <c r="ED758" s="65"/>
      <c r="EE758" s="65"/>
      <c r="EF758" s="65"/>
      <c r="EG758" s="65"/>
      <c r="EH758" s="65"/>
      <c r="EI758" s="65"/>
      <c r="EJ758" s="65"/>
      <c r="EK758" s="65"/>
      <c r="EL758" s="65"/>
      <c r="EM758" s="65"/>
      <c r="EN758" s="65"/>
      <c r="EO758" s="65"/>
      <c r="EP758" s="65"/>
      <c r="EQ758" s="65"/>
      <c r="ER758" s="65"/>
      <c r="ES758" s="65"/>
      <c r="ET758" s="65"/>
      <c r="EU758" s="65"/>
      <c r="EV758" s="65"/>
      <c r="EW758" s="65"/>
      <c r="EX758" s="65"/>
      <c r="EY758" s="65"/>
      <c r="EZ758" s="65"/>
      <c r="FA758" s="65"/>
      <c r="FB758" s="65"/>
      <c r="FC758" s="65"/>
      <c r="FD758" s="65"/>
      <c r="FE758" s="65"/>
      <c r="FF758" s="65"/>
      <c r="FG758" s="65"/>
      <c r="FH758" s="65"/>
      <c r="FI758" s="65"/>
      <c r="FJ758" s="65"/>
      <c r="FK758" s="65"/>
      <c r="FL758" s="65"/>
      <c r="FM758" s="65"/>
      <c r="FN758" s="65"/>
      <c r="FO758" s="65"/>
      <c r="FP758" s="65"/>
      <c r="FQ758" s="65"/>
      <c r="FR758" s="65"/>
      <c r="FS758" s="65"/>
      <c r="FT758" s="65"/>
      <c r="FU758" s="65"/>
      <c r="FV758" s="65"/>
      <c r="FW758" s="65"/>
      <c r="FX758" s="65"/>
      <c r="FY758" s="65"/>
      <c r="FZ758" s="65"/>
      <c r="GA758" s="65"/>
      <c r="GB758" s="65"/>
      <c r="GC758" s="65"/>
      <c r="GD758" s="65"/>
      <c r="GE758" s="65"/>
      <c r="GF758" s="65"/>
      <c r="GG758" s="65"/>
      <c r="GH758" s="65"/>
      <c r="GI758" s="65"/>
      <c r="GJ758" s="65"/>
      <c r="GK758" s="65"/>
      <c r="GL758" s="65"/>
      <c r="GM758" s="65"/>
      <c r="GN758" s="65"/>
      <c r="GO758" s="65"/>
      <c r="GP758" s="65"/>
      <c r="GQ758" s="65"/>
      <c r="GR758" s="65"/>
      <c r="GS758" s="65"/>
      <c r="GT758" s="65"/>
      <c r="GU758" s="65"/>
      <c r="GV758" s="65"/>
      <c r="GW758" s="65"/>
      <c r="GX758" s="65"/>
      <c r="GY758" s="65"/>
      <c r="GZ758" s="65"/>
      <c r="HA758" s="65"/>
      <c r="HB758" s="65"/>
      <c r="HC758" s="65"/>
      <c r="HD758" s="65"/>
      <c r="HE758" s="65"/>
      <c r="HF758" s="65"/>
      <c r="HG758" s="65"/>
      <c r="HH758" s="65"/>
      <c r="HI758" s="65"/>
      <c r="HJ758" s="65"/>
      <c r="HK758" s="65"/>
      <c r="HL758" s="65"/>
      <c r="HM758" s="65"/>
      <c r="HN758" s="65"/>
      <c r="HO758" s="65"/>
      <c r="HP758" s="65"/>
      <c r="HQ758" s="65"/>
      <c r="HR758" s="65"/>
      <c r="HS758" s="65"/>
      <c r="HT758" s="65"/>
      <c r="HU758" s="65"/>
      <c r="HV758" s="65"/>
      <c r="HW758" s="65"/>
      <c r="HX758" s="65"/>
      <c r="HY758" s="65"/>
      <c r="HZ758" s="65"/>
      <c r="IA758" s="65"/>
      <c r="IB758" s="65"/>
      <c r="IC758" s="65"/>
      <c r="ID758" s="65"/>
      <c r="IE758" s="65"/>
      <c r="IF758" s="65"/>
      <c r="IG758" s="65"/>
      <c r="IH758" s="65"/>
      <c r="II758" s="65"/>
      <c r="IJ758" s="65"/>
      <c r="IK758" s="65"/>
      <c r="IL758" s="65"/>
      <c r="IM758" s="65"/>
      <c r="IN758" s="65"/>
      <c r="IO758" s="65"/>
      <c r="IP758" s="65"/>
      <c r="IQ758" s="65"/>
      <c r="IR758" s="65"/>
      <c r="IS758" s="65"/>
      <c r="IT758" s="65"/>
      <c r="IU758" s="65"/>
    </row>
    <row r="759" spans="1:255" s="51" customFormat="1" ht="13.5">
      <c r="A759" s="71" t="s">
        <v>166</v>
      </c>
      <c r="B759" s="42" t="s">
        <v>51</v>
      </c>
      <c r="C759" s="59">
        <v>18000</v>
      </c>
      <c r="D759" s="66"/>
      <c r="E759" s="67"/>
      <c r="F759" s="194"/>
      <c r="G759" s="65"/>
      <c r="H759" s="65"/>
      <c r="I759" s="65"/>
      <c r="J759" s="65"/>
      <c r="K759" s="65"/>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c r="AQ759" s="65"/>
      <c r="AR759" s="65"/>
      <c r="AS759" s="65"/>
      <c r="AT759" s="65"/>
      <c r="AU759" s="65"/>
      <c r="AV759" s="65"/>
      <c r="AW759" s="65"/>
      <c r="AX759" s="65"/>
      <c r="AY759" s="65"/>
      <c r="AZ759" s="65"/>
      <c r="BA759" s="65"/>
      <c r="BB759" s="65"/>
      <c r="BC759" s="65"/>
      <c r="BD759" s="65"/>
      <c r="BE759" s="65"/>
      <c r="BF759" s="65"/>
      <c r="BG759" s="65"/>
      <c r="BH759" s="65"/>
      <c r="BI759" s="65"/>
      <c r="BJ759" s="65"/>
      <c r="BK759" s="65"/>
      <c r="BL759" s="65"/>
      <c r="BM759" s="65"/>
      <c r="BN759" s="65"/>
      <c r="BO759" s="65"/>
      <c r="BP759" s="65"/>
      <c r="BQ759" s="65"/>
      <c r="BR759" s="65"/>
      <c r="BS759" s="65"/>
      <c r="BT759" s="65"/>
      <c r="BU759" s="65"/>
      <c r="BV759" s="65"/>
      <c r="BW759" s="65"/>
      <c r="BX759" s="65"/>
      <c r="BY759" s="65"/>
      <c r="BZ759" s="65"/>
      <c r="CA759" s="65"/>
      <c r="CB759" s="65"/>
      <c r="CC759" s="65"/>
      <c r="CD759" s="65"/>
      <c r="CE759" s="65"/>
      <c r="CF759" s="65"/>
      <c r="CG759" s="65"/>
      <c r="CH759" s="65"/>
      <c r="CI759" s="65"/>
      <c r="CJ759" s="65"/>
      <c r="CK759" s="65"/>
      <c r="CL759" s="65"/>
      <c r="CM759" s="65"/>
      <c r="CN759" s="65"/>
      <c r="CO759" s="65"/>
      <c r="CP759" s="65"/>
      <c r="CQ759" s="65"/>
      <c r="CR759" s="65"/>
      <c r="CS759" s="65"/>
      <c r="CT759" s="65"/>
      <c r="CU759" s="65"/>
      <c r="CV759" s="65"/>
      <c r="CW759" s="65"/>
      <c r="CX759" s="65"/>
      <c r="CY759" s="65"/>
      <c r="CZ759" s="65"/>
      <c r="DA759" s="65"/>
      <c r="DB759" s="65"/>
      <c r="DC759" s="65"/>
      <c r="DD759" s="65"/>
      <c r="DE759" s="65"/>
      <c r="DF759" s="65"/>
      <c r="DG759" s="65"/>
      <c r="DH759" s="65"/>
      <c r="DI759" s="65"/>
      <c r="DJ759" s="65"/>
      <c r="DK759" s="65"/>
      <c r="DL759" s="65"/>
      <c r="DM759" s="65"/>
      <c r="DN759" s="65"/>
      <c r="DO759" s="65"/>
      <c r="DP759" s="65"/>
      <c r="DQ759" s="65"/>
      <c r="DR759" s="65"/>
      <c r="DS759" s="65"/>
      <c r="DT759" s="65"/>
      <c r="DU759" s="65"/>
      <c r="DV759" s="65"/>
      <c r="DW759" s="65"/>
      <c r="DX759" s="65"/>
      <c r="DY759" s="65"/>
      <c r="DZ759" s="65"/>
      <c r="EA759" s="65"/>
      <c r="EB759" s="65"/>
      <c r="EC759" s="65"/>
      <c r="ED759" s="65"/>
      <c r="EE759" s="65"/>
      <c r="EF759" s="65"/>
      <c r="EG759" s="65"/>
      <c r="EH759" s="65"/>
      <c r="EI759" s="65"/>
      <c r="EJ759" s="65"/>
      <c r="EK759" s="65"/>
      <c r="EL759" s="65"/>
      <c r="EM759" s="65"/>
      <c r="EN759" s="65"/>
      <c r="EO759" s="65"/>
      <c r="EP759" s="65"/>
      <c r="EQ759" s="65"/>
      <c r="ER759" s="65"/>
      <c r="ES759" s="65"/>
      <c r="ET759" s="65"/>
      <c r="EU759" s="65"/>
      <c r="EV759" s="65"/>
      <c r="EW759" s="65"/>
      <c r="EX759" s="65"/>
      <c r="EY759" s="65"/>
      <c r="EZ759" s="65"/>
      <c r="FA759" s="65"/>
      <c r="FB759" s="65"/>
      <c r="FC759" s="65"/>
      <c r="FD759" s="65"/>
      <c r="FE759" s="65"/>
      <c r="FF759" s="65"/>
      <c r="FG759" s="65"/>
      <c r="FH759" s="65"/>
      <c r="FI759" s="65"/>
      <c r="FJ759" s="65"/>
      <c r="FK759" s="65"/>
      <c r="FL759" s="65"/>
      <c r="FM759" s="65"/>
      <c r="FN759" s="65"/>
      <c r="FO759" s="65"/>
      <c r="FP759" s="65"/>
      <c r="FQ759" s="65"/>
      <c r="FR759" s="65"/>
      <c r="FS759" s="65"/>
      <c r="FT759" s="65"/>
      <c r="FU759" s="65"/>
      <c r="FV759" s="65"/>
      <c r="FW759" s="65"/>
      <c r="FX759" s="65"/>
      <c r="FY759" s="65"/>
      <c r="FZ759" s="65"/>
      <c r="GA759" s="65"/>
      <c r="GB759" s="65"/>
      <c r="GC759" s="65"/>
      <c r="GD759" s="65"/>
      <c r="GE759" s="65"/>
      <c r="GF759" s="65"/>
      <c r="GG759" s="65"/>
      <c r="GH759" s="65"/>
      <c r="GI759" s="65"/>
      <c r="GJ759" s="65"/>
      <c r="GK759" s="65"/>
      <c r="GL759" s="65"/>
      <c r="GM759" s="65"/>
      <c r="GN759" s="65"/>
      <c r="GO759" s="65"/>
      <c r="GP759" s="65"/>
      <c r="GQ759" s="65"/>
      <c r="GR759" s="65"/>
      <c r="GS759" s="65"/>
      <c r="GT759" s="65"/>
      <c r="GU759" s="65"/>
      <c r="GV759" s="65"/>
      <c r="GW759" s="65"/>
      <c r="GX759" s="65"/>
      <c r="GY759" s="65"/>
      <c r="GZ759" s="65"/>
      <c r="HA759" s="65"/>
      <c r="HB759" s="65"/>
      <c r="HC759" s="65"/>
      <c r="HD759" s="65"/>
      <c r="HE759" s="65"/>
      <c r="HF759" s="65"/>
      <c r="HG759" s="65"/>
      <c r="HH759" s="65"/>
      <c r="HI759" s="65"/>
      <c r="HJ759" s="65"/>
      <c r="HK759" s="65"/>
      <c r="HL759" s="65"/>
      <c r="HM759" s="65"/>
      <c r="HN759" s="65"/>
      <c r="HO759" s="65"/>
      <c r="HP759" s="65"/>
      <c r="HQ759" s="65"/>
      <c r="HR759" s="65"/>
      <c r="HS759" s="65"/>
      <c r="HT759" s="65"/>
      <c r="HU759" s="65"/>
      <c r="HV759" s="65"/>
      <c r="HW759" s="65"/>
      <c r="HX759" s="65"/>
      <c r="HY759" s="65"/>
      <c r="HZ759" s="65"/>
      <c r="IA759" s="65"/>
      <c r="IB759" s="65"/>
      <c r="IC759" s="65"/>
      <c r="ID759" s="65"/>
      <c r="IE759" s="65"/>
      <c r="IF759" s="65"/>
      <c r="IG759" s="65"/>
      <c r="IH759" s="65"/>
      <c r="II759" s="65"/>
      <c r="IJ759" s="65"/>
      <c r="IK759" s="65"/>
      <c r="IL759" s="65"/>
      <c r="IM759" s="65"/>
      <c r="IN759" s="65"/>
      <c r="IO759" s="65"/>
      <c r="IP759" s="65"/>
      <c r="IQ759" s="65"/>
      <c r="IR759" s="65"/>
      <c r="IS759" s="65"/>
      <c r="IT759" s="65"/>
      <c r="IU759" s="65"/>
    </row>
    <row r="760" spans="1:255" s="51" customFormat="1" ht="13.5">
      <c r="A760" s="71"/>
      <c r="B760" s="42"/>
      <c r="C760" s="59"/>
      <c r="D760" s="66"/>
      <c r="E760" s="67"/>
      <c r="F760" s="194"/>
      <c r="G760" s="65"/>
      <c r="H760" s="65"/>
      <c r="I760" s="65"/>
      <c r="J760" s="65"/>
      <c r="K760" s="65"/>
      <c r="L760" s="65"/>
      <c r="M760" s="65"/>
      <c r="N760" s="65"/>
      <c r="O760" s="65"/>
      <c r="P760" s="65"/>
      <c r="Q760" s="65"/>
      <c r="R760" s="65"/>
      <c r="S760" s="65"/>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c r="AQ760" s="65"/>
      <c r="AR760" s="65"/>
      <c r="AS760" s="65"/>
      <c r="AT760" s="65"/>
      <c r="AU760" s="65"/>
      <c r="AV760" s="65"/>
      <c r="AW760" s="65"/>
      <c r="AX760" s="65"/>
      <c r="AY760" s="65"/>
      <c r="AZ760" s="65"/>
      <c r="BA760" s="65"/>
      <c r="BB760" s="65"/>
      <c r="BC760" s="65"/>
      <c r="BD760" s="65"/>
      <c r="BE760" s="65"/>
      <c r="BF760" s="65"/>
      <c r="BG760" s="65"/>
      <c r="BH760" s="65"/>
      <c r="BI760" s="65"/>
      <c r="BJ760" s="65"/>
      <c r="BK760" s="65"/>
      <c r="BL760" s="65"/>
      <c r="BM760" s="65"/>
      <c r="BN760" s="65"/>
      <c r="BO760" s="65"/>
      <c r="BP760" s="65"/>
      <c r="BQ760" s="65"/>
      <c r="BR760" s="65"/>
      <c r="BS760" s="65"/>
      <c r="BT760" s="65"/>
      <c r="BU760" s="65"/>
      <c r="BV760" s="65"/>
      <c r="BW760" s="65"/>
      <c r="BX760" s="65"/>
      <c r="BY760" s="65"/>
      <c r="BZ760" s="65"/>
      <c r="CA760" s="65"/>
      <c r="CB760" s="65"/>
      <c r="CC760" s="65"/>
      <c r="CD760" s="65"/>
      <c r="CE760" s="65"/>
      <c r="CF760" s="65"/>
      <c r="CG760" s="65"/>
      <c r="CH760" s="65"/>
      <c r="CI760" s="65"/>
      <c r="CJ760" s="65"/>
      <c r="CK760" s="65"/>
      <c r="CL760" s="65"/>
      <c r="CM760" s="65"/>
      <c r="CN760" s="65"/>
      <c r="CO760" s="65"/>
      <c r="CP760" s="65"/>
      <c r="CQ760" s="65"/>
      <c r="CR760" s="65"/>
      <c r="CS760" s="65"/>
      <c r="CT760" s="65"/>
      <c r="CU760" s="65"/>
      <c r="CV760" s="65"/>
      <c r="CW760" s="65"/>
      <c r="CX760" s="65"/>
      <c r="CY760" s="65"/>
      <c r="CZ760" s="65"/>
      <c r="DA760" s="65"/>
      <c r="DB760" s="65"/>
      <c r="DC760" s="65"/>
      <c r="DD760" s="65"/>
      <c r="DE760" s="65"/>
      <c r="DF760" s="65"/>
      <c r="DG760" s="65"/>
      <c r="DH760" s="65"/>
      <c r="DI760" s="65"/>
      <c r="DJ760" s="65"/>
      <c r="DK760" s="65"/>
      <c r="DL760" s="65"/>
      <c r="DM760" s="65"/>
      <c r="DN760" s="65"/>
      <c r="DO760" s="65"/>
      <c r="DP760" s="65"/>
      <c r="DQ760" s="65"/>
      <c r="DR760" s="65"/>
      <c r="DS760" s="65"/>
      <c r="DT760" s="65"/>
      <c r="DU760" s="65"/>
      <c r="DV760" s="65"/>
      <c r="DW760" s="65"/>
      <c r="DX760" s="65"/>
      <c r="DY760" s="65"/>
      <c r="DZ760" s="65"/>
      <c r="EA760" s="65"/>
      <c r="EB760" s="65"/>
      <c r="EC760" s="65"/>
      <c r="ED760" s="65"/>
      <c r="EE760" s="65"/>
      <c r="EF760" s="65"/>
      <c r="EG760" s="65"/>
      <c r="EH760" s="65"/>
      <c r="EI760" s="65"/>
      <c r="EJ760" s="65"/>
      <c r="EK760" s="65"/>
      <c r="EL760" s="65"/>
      <c r="EM760" s="65"/>
      <c r="EN760" s="65"/>
      <c r="EO760" s="65"/>
      <c r="EP760" s="65"/>
      <c r="EQ760" s="65"/>
      <c r="ER760" s="65"/>
      <c r="ES760" s="65"/>
      <c r="ET760" s="65"/>
      <c r="EU760" s="65"/>
      <c r="EV760" s="65"/>
      <c r="EW760" s="65"/>
      <c r="EX760" s="65"/>
      <c r="EY760" s="65"/>
      <c r="EZ760" s="65"/>
      <c r="FA760" s="65"/>
      <c r="FB760" s="65"/>
      <c r="FC760" s="65"/>
      <c r="FD760" s="65"/>
      <c r="FE760" s="65"/>
      <c r="FF760" s="65"/>
      <c r="FG760" s="65"/>
      <c r="FH760" s="65"/>
      <c r="FI760" s="65"/>
      <c r="FJ760" s="65"/>
      <c r="FK760" s="65"/>
      <c r="FL760" s="65"/>
      <c r="FM760" s="65"/>
      <c r="FN760" s="65"/>
      <c r="FO760" s="65"/>
      <c r="FP760" s="65"/>
      <c r="FQ760" s="65"/>
      <c r="FR760" s="65"/>
      <c r="FS760" s="65"/>
      <c r="FT760" s="65"/>
      <c r="FU760" s="65"/>
      <c r="FV760" s="65"/>
      <c r="FW760" s="65"/>
      <c r="FX760" s="65"/>
      <c r="FY760" s="65"/>
      <c r="FZ760" s="65"/>
      <c r="GA760" s="65"/>
      <c r="GB760" s="65"/>
      <c r="GC760" s="65"/>
      <c r="GD760" s="65"/>
      <c r="GE760" s="65"/>
      <c r="GF760" s="65"/>
      <c r="GG760" s="65"/>
      <c r="GH760" s="65"/>
      <c r="GI760" s="65"/>
      <c r="GJ760" s="65"/>
      <c r="GK760" s="65"/>
      <c r="GL760" s="65"/>
      <c r="GM760" s="65"/>
      <c r="GN760" s="65"/>
      <c r="GO760" s="65"/>
      <c r="GP760" s="65"/>
      <c r="GQ760" s="65"/>
      <c r="GR760" s="65"/>
      <c r="GS760" s="65"/>
      <c r="GT760" s="65"/>
      <c r="GU760" s="65"/>
      <c r="GV760" s="65"/>
      <c r="GW760" s="65"/>
      <c r="GX760" s="65"/>
      <c r="GY760" s="65"/>
      <c r="GZ760" s="65"/>
      <c r="HA760" s="65"/>
      <c r="HB760" s="65"/>
      <c r="HC760" s="65"/>
      <c r="HD760" s="65"/>
      <c r="HE760" s="65"/>
      <c r="HF760" s="65"/>
      <c r="HG760" s="65"/>
      <c r="HH760" s="65"/>
      <c r="HI760" s="65"/>
      <c r="HJ760" s="65"/>
      <c r="HK760" s="65"/>
      <c r="HL760" s="65"/>
      <c r="HM760" s="65"/>
      <c r="HN760" s="65"/>
      <c r="HO760" s="65"/>
      <c r="HP760" s="65"/>
      <c r="HQ760" s="65"/>
      <c r="HR760" s="65"/>
      <c r="HS760" s="65"/>
      <c r="HT760" s="65"/>
      <c r="HU760" s="65"/>
      <c r="HV760" s="65"/>
      <c r="HW760" s="65"/>
      <c r="HX760" s="65"/>
      <c r="HY760" s="65"/>
      <c r="HZ760" s="65"/>
      <c r="IA760" s="65"/>
      <c r="IB760" s="65"/>
      <c r="IC760" s="65"/>
      <c r="ID760" s="65"/>
      <c r="IE760" s="65"/>
      <c r="IF760" s="65"/>
      <c r="IG760" s="65"/>
      <c r="IH760" s="65"/>
      <c r="II760" s="65"/>
      <c r="IJ760" s="65"/>
      <c r="IK760" s="65"/>
      <c r="IL760" s="65"/>
      <c r="IM760" s="65"/>
      <c r="IN760" s="65"/>
      <c r="IO760" s="65"/>
      <c r="IP760" s="65"/>
      <c r="IQ760" s="65"/>
      <c r="IR760" s="65"/>
      <c r="IS760" s="65"/>
      <c r="IT760" s="65"/>
      <c r="IU760" s="65"/>
    </row>
    <row r="761" spans="1:5" ht="14.25" thickBot="1">
      <c r="A761" s="69"/>
      <c r="B761" s="69"/>
      <c r="C761" s="59"/>
      <c r="D761" s="65"/>
      <c r="E761" s="65"/>
    </row>
    <row r="762" spans="1:9" s="5" customFormat="1" ht="13.5">
      <c r="A762" s="988" t="s">
        <v>934</v>
      </c>
      <c r="B762" s="1009"/>
      <c r="C762" s="989"/>
      <c r="D762" s="639" t="s">
        <v>6</v>
      </c>
      <c r="E762" s="754" t="s">
        <v>975</v>
      </c>
      <c r="F762" s="555"/>
      <c r="G762" s="68"/>
      <c r="H762" s="68"/>
      <c r="I762" s="68"/>
    </row>
    <row r="763" spans="1:9" s="5" customFormat="1" ht="14.25" thickBot="1">
      <c r="A763" s="990"/>
      <c r="B763" s="1010"/>
      <c r="C763" s="991"/>
      <c r="D763" s="643"/>
      <c r="E763" s="644"/>
      <c r="F763" s="212"/>
      <c r="G763" s="68"/>
      <c r="H763" s="68"/>
      <c r="I763" s="68"/>
    </row>
    <row r="764" spans="1:9" s="5" customFormat="1" ht="13.5">
      <c r="A764" s="979" t="s">
        <v>935</v>
      </c>
      <c r="B764" s="980"/>
      <c r="C764" s="980"/>
      <c r="D764" s="980"/>
      <c r="E764" s="981"/>
      <c r="F764" s="212"/>
      <c r="G764" s="68"/>
      <c r="H764" s="68"/>
      <c r="I764" s="68"/>
    </row>
    <row r="765" spans="1:9" s="5" customFormat="1" ht="13.5">
      <c r="A765" s="982"/>
      <c r="B765" s="983"/>
      <c r="C765" s="983"/>
      <c r="D765" s="983"/>
      <c r="E765" s="984"/>
      <c r="F765" s="212"/>
      <c r="G765" s="68"/>
      <c r="H765" s="68"/>
      <c r="I765" s="68"/>
    </row>
    <row r="766" spans="1:9" s="5" customFormat="1" ht="14.25" thickBot="1">
      <c r="A766" s="982"/>
      <c r="B766" s="983"/>
      <c r="C766" s="983"/>
      <c r="D766" s="983"/>
      <c r="E766" s="984"/>
      <c r="F766" s="212"/>
      <c r="G766" s="68"/>
      <c r="H766" s="68"/>
      <c r="I766" s="68"/>
    </row>
    <row r="767" spans="1:9" s="5" customFormat="1" ht="13.5">
      <c r="A767" s="436" t="s">
        <v>809</v>
      </c>
      <c r="B767" s="163"/>
      <c r="C767" s="162"/>
      <c r="D767" s="162"/>
      <c r="E767" s="161"/>
      <c r="F767" s="212"/>
      <c r="G767" s="220"/>
      <c r="H767" s="220"/>
      <c r="I767" s="220"/>
    </row>
    <row r="768" spans="1:9" s="5" customFormat="1" ht="13.5">
      <c r="A768" s="57" t="s">
        <v>651</v>
      </c>
      <c r="B768" s="58"/>
      <c r="C768" s="59"/>
      <c r="D768" s="59"/>
      <c r="E768" s="60"/>
      <c r="F768" s="212"/>
      <c r="G768" s="220"/>
      <c r="H768" s="220"/>
      <c r="I768" s="220"/>
    </row>
    <row r="769" spans="1:11" s="128" customFormat="1" ht="13.5">
      <c r="A769" s="57" t="s">
        <v>936</v>
      </c>
      <c r="B769" s="12"/>
      <c r="C769" s="138"/>
      <c r="D769" s="137"/>
      <c r="E769" s="136"/>
      <c r="F769" s="130"/>
      <c r="G769" s="129"/>
      <c r="H769" s="129"/>
      <c r="I769" s="129"/>
      <c r="J769" s="129"/>
      <c r="K769" s="129"/>
    </row>
    <row r="770" spans="1:9" s="5" customFormat="1" ht="14.25" thickBot="1">
      <c r="A770" s="160" t="s">
        <v>933</v>
      </c>
      <c r="B770" s="159"/>
      <c r="C770" s="158"/>
      <c r="D770" s="158"/>
      <c r="E770" s="157"/>
      <c r="F770" s="212"/>
      <c r="G770" s="220"/>
      <c r="H770" s="220"/>
      <c r="I770" s="220"/>
    </row>
    <row r="771" spans="1:9" s="5" customFormat="1" ht="14.25" thickBot="1">
      <c r="A771" s="678" t="s">
        <v>14</v>
      </c>
      <c r="B771" s="679"/>
      <c r="C771" s="685"/>
      <c r="D771" s="686"/>
      <c r="E771" s="682">
        <f>+C774+C792+C807</f>
        <v>1235980</v>
      </c>
      <c r="F771" s="221"/>
      <c r="G771" s="221"/>
      <c r="H771" s="220"/>
      <c r="I771" s="220"/>
    </row>
    <row r="772" spans="1:9" s="5" customFormat="1" ht="13.5">
      <c r="A772" s="62"/>
      <c r="B772" s="62"/>
      <c r="C772" s="63"/>
      <c r="D772" s="63"/>
      <c r="E772" s="222"/>
      <c r="F772" s="212"/>
      <c r="G772" s="220"/>
      <c r="H772" s="220"/>
      <c r="I772" s="220"/>
    </row>
    <row r="773" spans="1:9" s="5" customFormat="1" ht="14.25" thickBot="1">
      <c r="A773" s="58"/>
      <c r="B773" s="69"/>
      <c r="C773" s="66"/>
      <c r="D773" s="223"/>
      <c r="E773" s="67"/>
      <c r="F773" s="194"/>
      <c r="G773" s="65"/>
      <c r="H773" s="65"/>
      <c r="I773" s="65"/>
    </row>
    <row r="774" spans="1:9" s="5" customFormat="1" ht="14.25" thickBot="1">
      <c r="A774" s="1013" t="s">
        <v>2</v>
      </c>
      <c r="B774" s="1014"/>
      <c r="C774" s="634">
        <f>(C775+C777+C779+C786+C788)</f>
        <v>232540</v>
      </c>
      <c r="D774" s="91"/>
      <c r="E774" s="851"/>
      <c r="F774" s="194"/>
      <c r="G774" s="65"/>
      <c r="H774" s="65"/>
      <c r="I774" s="65"/>
    </row>
    <row r="775" spans="1:9" s="5" customFormat="1" ht="13.5">
      <c r="A775" s="11" t="s">
        <v>103</v>
      </c>
      <c r="B775" s="281" t="s">
        <v>104</v>
      </c>
      <c r="C775" s="509">
        <f>SUM(C776)</f>
        <v>25500</v>
      </c>
      <c r="D775" s="94"/>
      <c r="E775" s="824"/>
      <c r="F775" s="98"/>
      <c r="G775" s="225"/>
      <c r="H775" s="225"/>
      <c r="I775" s="225"/>
    </row>
    <row r="776" spans="1:9" s="5" customFormat="1" ht="13.5">
      <c r="A776" s="12" t="s">
        <v>46</v>
      </c>
      <c r="B776" s="42" t="s">
        <v>160</v>
      </c>
      <c r="C776" s="59">
        <v>25500</v>
      </c>
      <c r="D776" s="69"/>
      <c r="E776" s="67"/>
      <c r="F776" s="194"/>
      <c r="G776" s="65"/>
      <c r="H776" s="65"/>
      <c r="I776" s="65"/>
    </row>
    <row r="777" spans="1:9" s="5" customFormat="1" ht="13.5">
      <c r="A777" s="11" t="s">
        <v>105</v>
      </c>
      <c r="B777" s="502" t="s">
        <v>106</v>
      </c>
      <c r="C777" s="63">
        <f>SUM(C778:C778)</f>
        <v>56000</v>
      </c>
      <c r="D777" s="226"/>
      <c r="E777" s="65"/>
      <c r="F777" s="194"/>
      <c r="G777" s="65"/>
      <c r="H777" s="65"/>
      <c r="I777" s="65"/>
    </row>
    <row r="778" spans="1:9" s="5" customFormat="1" ht="13.5">
      <c r="A778" s="12" t="s">
        <v>86</v>
      </c>
      <c r="B778" s="42" t="s">
        <v>66</v>
      </c>
      <c r="C778" s="24">
        <v>56000</v>
      </c>
      <c r="D778" s="65"/>
      <c r="E778" s="65"/>
      <c r="F778" s="95"/>
      <c r="G778" s="31"/>
      <c r="H778" s="42"/>
      <c r="I778" s="42"/>
    </row>
    <row r="779" spans="1:9" s="5" customFormat="1" ht="13.5">
      <c r="A779" s="11" t="s">
        <v>107</v>
      </c>
      <c r="B779" s="502" t="s">
        <v>108</v>
      </c>
      <c r="C779" s="31">
        <f>SUM(C780)</f>
        <v>34000</v>
      </c>
      <c r="D779" s="65"/>
      <c r="E779" s="65"/>
      <c r="F779" s="95"/>
      <c r="G779" s="31"/>
      <c r="H779" s="42"/>
      <c r="I779" s="42"/>
    </row>
    <row r="780" spans="1:9" s="5" customFormat="1" ht="13.5">
      <c r="A780" s="12" t="s">
        <v>47</v>
      </c>
      <c r="B780" s="42" t="s">
        <v>48</v>
      </c>
      <c r="C780" s="59">
        <v>34000</v>
      </c>
      <c r="D780" s="42"/>
      <c r="E780" s="42"/>
      <c r="F780" s="66"/>
      <c r="G780" s="67"/>
      <c r="H780" s="65"/>
      <c r="I780" s="65"/>
    </row>
    <row r="781" spans="1:9" s="5" customFormat="1" ht="13.5" hidden="1">
      <c r="A781" s="11" t="s">
        <v>119</v>
      </c>
      <c r="B781" s="502" t="s">
        <v>109</v>
      </c>
      <c r="C781" s="63">
        <f>SUM(C782:C785)</f>
        <v>0</v>
      </c>
      <c r="D781" s="42"/>
      <c r="E781" s="42"/>
      <c r="F781" s="66"/>
      <c r="G781" s="67"/>
      <c r="H781" s="65"/>
      <c r="I781" s="65"/>
    </row>
    <row r="782" spans="1:9" s="5" customFormat="1" ht="13.5" hidden="1">
      <c r="A782" s="12" t="s">
        <v>191</v>
      </c>
      <c r="B782" s="42" t="s">
        <v>190</v>
      </c>
      <c r="C782" s="59">
        <v>0</v>
      </c>
      <c r="D782" s="42"/>
      <c r="E782" s="42"/>
      <c r="F782" s="66"/>
      <c r="G782" s="67"/>
      <c r="H782" s="65"/>
      <c r="I782" s="65"/>
    </row>
    <row r="783" spans="1:9" s="5" customFormat="1" ht="13.5" hidden="1">
      <c r="A783" s="12" t="s">
        <v>189</v>
      </c>
      <c r="B783" s="42" t="s">
        <v>188</v>
      </c>
      <c r="C783" s="59">
        <v>0</v>
      </c>
      <c r="D783" s="42"/>
      <c r="E783" s="545" t="s">
        <v>588</v>
      </c>
      <c r="F783" s="66"/>
      <c r="G783" s="67"/>
      <c r="H783" s="65"/>
      <c r="I783" s="65"/>
    </row>
    <row r="784" spans="1:9" s="5" customFormat="1" ht="13.5" hidden="1">
      <c r="A784" s="12" t="s">
        <v>187</v>
      </c>
      <c r="B784" s="42" t="s">
        <v>186</v>
      </c>
      <c r="C784" s="59">
        <v>0</v>
      </c>
      <c r="D784" s="42"/>
      <c r="E784" s="42"/>
      <c r="F784" s="66"/>
      <c r="G784" s="67"/>
      <c r="H784" s="65"/>
      <c r="I784" s="65"/>
    </row>
    <row r="785" spans="1:9" s="5" customFormat="1" ht="13.5" hidden="1">
      <c r="A785" s="12" t="s">
        <v>545</v>
      </c>
      <c r="B785" s="42" t="s">
        <v>543</v>
      </c>
      <c r="C785" s="59">
        <v>0</v>
      </c>
      <c r="D785" s="42"/>
      <c r="E785" s="42"/>
      <c r="F785" s="66"/>
      <c r="G785" s="67"/>
      <c r="H785" s="65"/>
      <c r="I785" s="65"/>
    </row>
    <row r="786" spans="1:9" s="5" customFormat="1" ht="13.5">
      <c r="A786" s="249" t="s">
        <v>124</v>
      </c>
      <c r="B786" s="502" t="s">
        <v>123</v>
      </c>
      <c r="C786" s="63">
        <f>SUM(C787:C787)</f>
        <v>25100</v>
      </c>
      <c r="D786" s="42"/>
      <c r="E786" s="42"/>
      <c r="F786" s="42"/>
      <c r="G786" s="67"/>
      <c r="H786" s="65"/>
      <c r="I786" s="65"/>
    </row>
    <row r="787" spans="1:9" s="5" customFormat="1" ht="13.5">
      <c r="A787" s="12" t="s">
        <v>93</v>
      </c>
      <c r="B787" s="42" t="s">
        <v>72</v>
      </c>
      <c r="C787" s="59">
        <v>25100</v>
      </c>
      <c r="D787" s="42"/>
      <c r="E787" s="67"/>
      <c r="F787" s="194"/>
      <c r="G787" s="65"/>
      <c r="H787" s="65"/>
      <c r="I787" s="65"/>
    </row>
    <row r="788" spans="1:9" s="5" customFormat="1" ht="13.5">
      <c r="A788" s="249" t="s">
        <v>150</v>
      </c>
      <c r="B788" s="25" t="s">
        <v>133</v>
      </c>
      <c r="C788" s="63">
        <f>SUM(C789:C790)</f>
        <v>91940</v>
      </c>
      <c r="D788" s="67"/>
      <c r="E788" s="67"/>
      <c r="F788" s="194"/>
      <c r="G788" s="65"/>
      <c r="H788" s="65"/>
      <c r="I788" s="65"/>
    </row>
    <row r="789" spans="1:9" s="5" customFormat="1" ht="13.5">
      <c r="A789" s="12" t="s">
        <v>153</v>
      </c>
      <c r="B789" s="42" t="s">
        <v>125</v>
      </c>
      <c r="C789" s="59">
        <v>11940</v>
      </c>
      <c r="D789" s="66"/>
      <c r="E789" s="67"/>
      <c r="F789" s="194"/>
      <c r="G789" s="65"/>
      <c r="H789" s="65"/>
      <c r="I789" s="65"/>
    </row>
    <row r="790" spans="1:7" s="5" customFormat="1" ht="13.5">
      <c r="A790" s="71" t="s">
        <v>652</v>
      </c>
      <c r="B790" s="42" t="s">
        <v>642</v>
      </c>
      <c r="C790" s="24">
        <v>80000</v>
      </c>
      <c r="E790" s="336"/>
      <c r="F790" s="336"/>
      <c r="G790" s="390"/>
    </row>
    <row r="791" spans="1:9" s="5" customFormat="1" ht="14.25" thickBot="1">
      <c r="A791" s="12"/>
      <c r="B791" s="42"/>
      <c r="C791" s="59"/>
      <c r="D791" s="66"/>
      <c r="E791" s="67"/>
      <c r="F791" s="194"/>
      <c r="G791" s="65"/>
      <c r="H791" s="65"/>
      <c r="I791" s="65"/>
    </row>
    <row r="792" spans="1:9" s="5" customFormat="1" ht="14.25" thickBot="1">
      <c r="A792" s="1015" t="s">
        <v>3</v>
      </c>
      <c r="B792" s="1016"/>
      <c r="C792" s="635">
        <f>C793+C795+C797+C800+C802</f>
        <v>929720</v>
      </c>
      <c r="D792" s="67"/>
      <c r="E792" s="67"/>
      <c r="F792" s="194"/>
      <c r="G792" s="65"/>
      <c r="H792" s="65"/>
      <c r="I792" s="65"/>
    </row>
    <row r="793" spans="1:9" s="5" customFormat="1" ht="13.5">
      <c r="A793" s="62" t="s">
        <v>110</v>
      </c>
      <c r="B793" s="281" t="s">
        <v>111</v>
      </c>
      <c r="C793" s="509">
        <f>SUM(C794:C794)</f>
        <v>31000</v>
      </c>
      <c r="D793" s="94"/>
      <c r="E793" s="94"/>
      <c r="F793" s="98"/>
      <c r="G793" s="225"/>
      <c r="H793" s="225"/>
      <c r="I793" s="225"/>
    </row>
    <row r="794" spans="1:9" s="5" customFormat="1" ht="13.5">
      <c r="A794" s="58" t="s">
        <v>52</v>
      </c>
      <c r="B794" s="42" t="s">
        <v>185</v>
      </c>
      <c r="C794" s="59">
        <v>31000</v>
      </c>
      <c r="D794" s="59"/>
      <c r="E794" s="56"/>
      <c r="F794" s="98"/>
      <c r="G794" s="55"/>
      <c r="H794" s="55"/>
      <c r="I794" s="55"/>
    </row>
    <row r="795" spans="1:9" s="5" customFormat="1" ht="13.5">
      <c r="A795" s="62" t="s">
        <v>120</v>
      </c>
      <c r="B795" s="62" t="s">
        <v>121</v>
      </c>
      <c r="C795" s="31">
        <f>SUM(C796:C796)</f>
        <v>30140</v>
      </c>
      <c r="D795" s="83"/>
      <c r="E795" s="25"/>
      <c r="F795" s="98"/>
      <c r="G795" s="54"/>
      <c r="H795" s="42"/>
      <c r="I795" s="8"/>
    </row>
    <row r="796" spans="1:9" s="5" customFormat="1" ht="13.5">
      <c r="A796" s="58" t="s">
        <v>136</v>
      </c>
      <c r="B796" s="58" t="s">
        <v>71</v>
      </c>
      <c r="C796" s="24">
        <v>30140</v>
      </c>
      <c r="D796" s="77"/>
      <c r="E796" s="25"/>
      <c r="F796" s="194"/>
      <c r="G796" s="54"/>
      <c r="H796" s="54"/>
      <c r="I796" s="8"/>
    </row>
    <row r="797" spans="1:9" s="5" customFormat="1" ht="13.5">
      <c r="A797" s="11" t="s">
        <v>112</v>
      </c>
      <c r="B797" s="62" t="s">
        <v>156</v>
      </c>
      <c r="C797" s="63">
        <f>SUM(C798:C799)</f>
        <v>259100</v>
      </c>
      <c r="D797" s="59"/>
      <c r="E797" s="56"/>
      <c r="F797" s="98"/>
      <c r="G797" s="55"/>
      <c r="H797" s="55"/>
      <c r="I797" s="55"/>
    </row>
    <row r="798" spans="1:9" s="5" customFormat="1" ht="13.5">
      <c r="A798" s="58" t="s">
        <v>138</v>
      </c>
      <c r="B798" s="58" t="s">
        <v>810</v>
      </c>
      <c r="C798" s="59">
        <v>16100</v>
      </c>
      <c r="D798" s="55"/>
      <c r="E798" s="56"/>
      <c r="F798" s="98"/>
      <c r="G798" s="55"/>
      <c r="H798" s="55"/>
      <c r="I798" s="55"/>
    </row>
    <row r="799" spans="1:9" s="5" customFormat="1" ht="13.5">
      <c r="A799" s="58" t="s">
        <v>155</v>
      </c>
      <c r="B799" s="42" t="s">
        <v>87</v>
      </c>
      <c r="C799" s="59">
        <v>243000</v>
      </c>
      <c r="D799" s="55"/>
      <c r="E799" s="56"/>
      <c r="F799" s="56"/>
      <c r="G799" s="55"/>
      <c r="H799" s="55"/>
      <c r="I799" s="55"/>
    </row>
    <row r="800" spans="1:9" s="5" customFormat="1" ht="13.5">
      <c r="A800" s="11" t="s">
        <v>132</v>
      </c>
      <c r="B800" s="31" t="s">
        <v>56</v>
      </c>
      <c r="C800" s="63">
        <f>SUM(C801)</f>
        <v>53480</v>
      </c>
      <c r="D800" s="55"/>
      <c r="E800" s="56"/>
      <c r="F800" s="56"/>
      <c r="G800" s="55"/>
      <c r="H800" s="55"/>
      <c r="I800" s="55"/>
    </row>
    <row r="801" spans="1:9" s="5" customFormat="1" ht="13.5">
      <c r="A801" s="71" t="s">
        <v>55</v>
      </c>
      <c r="B801" s="42" t="s">
        <v>56</v>
      </c>
      <c r="C801" s="59">
        <v>53480</v>
      </c>
      <c r="D801" s="65"/>
      <c r="E801" s="56"/>
      <c r="F801" s="227"/>
      <c r="G801" s="442"/>
      <c r="H801" s="66"/>
      <c r="I801" s="55"/>
    </row>
    <row r="802" spans="1:9" s="5" customFormat="1" ht="13.5">
      <c r="A802" s="11" t="s">
        <v>115</v>
      </c>
      <c r="B802" s="505" t="s">
        <v>8</v>
      </c>
      <c r="C802" s="63">
        <f>SUM(C803:C805)</f>
        <v>556000</v>
      </c>
      <c r="D802" s="65"/>
      <c r="E802" s="56"/>
      <c r="F802" s="56"/>
      <c r="G802" s="55"/>
      <c r="H802" s="194"/>
      <c r="I802" s="55"/>
    </row>
    <row r="803" spans="1:9" s="5" customFormat="1" ht="13.5">
      <c r="A803" s="71" t="s">
        <v>89</v>
      </c>
      <c r="B803" s="42" t="s">
        <v>8</v>
      </c>
      <c r="C803" s="59">
        <v>378000</v>
      </c>
      <c r="D803" s="55"/>
      <c r="E803" s="67"/>
      <c r="F803" s="55"/>
      <c r="G803" s="65"/>
      <c r="H803" s="65"/>
      <c r="I803" s="65"/>
    </row>
    <row r="804" spans="1:9" s="5" customFormat="1" ht="13.5">
      <c r="A804" s="71" t="s">
        <v>182</v>
      </c>
      <c r="B804" s="42" t="s">
        <v>181</v>
      </c>
      <c r="C804" s="59">
        <v>8000</v>
      </c>
      <c r="D804" s="66"/>
      <c r="E804" s="65"/>
      <c r="F804" s="194"/>
      <c r="G804" s="67"/>
      <c r="H804" s="65"/>
      <c r="I804" s="65"/>
    </row>
    <row r="805" spans="1:9" s="5" customFormat="1" ht="13.5">
      <c r="A805" s="58" t="s">
        <v>223</v>
      </c>
      <c r="B805" s="42" t="s">
        <v>222</v>
      </c>
      <c r="C805" s="59">
        <v>170000</v>
      </c>
      <c r="D805" s="65"/>
      <c r="E805" s="67"/>
      <c r="F805" s="194"/>
      <c r="G805" s="65"/>
      <c r="H805" s="66"/>
      <c r="I805" s="65"/>
    </row>
    <row r="806" spans="1:9" s="5" customFormat="1" ht="14.25" thickBot="1">
      <c r="A806" s="58"/>
      <c r="B806" s="100"/>
      <c r="C806" s="59"/>
      <c r="D806" s="66"/>
      <c r="E806" s="67"/>
      <c r="F806" s="194"/>
      <c r="G806" s="65"/>
      <c r="H806" s="65"/>
      <c r="I806" s="65"/>
    </row>
    <row r="807" spans="1:9" s="5" customFormat="1" ht="14.25" thickBot="1">
      <c r="A807" s="1017" t="s">
        <v>4</v>
      </c>
      <c r="B807" s="1018"/>
      <c r="C807" s="637">
        <f>(C808+C812)</f>
        <v>73720</v>
      </c>
      <c r="D807" s="66"/>
      <c r="E807" s="67"/>
      <c r="F807" s="194"/>
      <c r="G807" s="65"/>
      <c r="H807" s="65"/>
      <c r="I807" s="65"/>
    </row>
    <row r="808" spans="1:9" s="5" customFormat="1" ht="13.5">
      <c r="A808" s="249" t="s">
        <v>116</v>
      </c>
      <c r="B808" s="281" t="s">
        <v>117</v>
      </c>
      <c r="C808" s="63">
        <f>SUM(C809:C811)</f>
        <v>63600</v>
      </c>
      <c r="D808" s="228"/>
      <c r="E808" s="61"/>
      <c r="F808" s="211"/>
      <c r="G808" s="51"/>
      <c r="H808" s="51"/>
      <c r="I808" s="51"/>
    </row>
    <row r="809" spans="1:9" s="5" customFormat="1" ht="13.5">
      <c r="A809" s="71" t="s">
        <v>91</v>
      </c>
      <c r="B809" s="42" t="s">
        <v>139</v>
      </c>
      <c r="C809" s="59">
        <v>23100</v>
      </c>
      <c r="D809" s="66"/>
      <c r="E809" s="67"/>
      <c r="F809" s="194"/>
      <c r="G809" s="65"/>
      <c r="H809" s="65"/>
      <c r="I809" s="65"/>
    </row>
    <row r="810" spans="1:9" s="5" customFormat="1" ht="13.5">
      <c r="A810" s="71" t="s">
        <v>57</v>
      </c>
      <c r="B810" s="42" t="s">
        <v>58</v>
      </c>
      <c r="C810" s="59">
        <v>10500</v>
      </c>
      <c r="D810" s="66"/>
      <c r="E810" s="67"/>
      <c r="F810" s="194"/>
      <c r="G810" s="65"/>
      <c r="H810" s="65"/>
      <c r="I810" s="65"/>
    </row>
    <row r="811" spans="1:8" s="8" customFormat="1" ht="13.5" customHeight="1">
      <c r="A811" s="71" t="s">
        <v>756</v>
      </c>
      <c r="B811" s="23" t="s">
        <v>757</v>
      </c>
      <c r="C811" s="24">
        <v>30000</v>
      </c>
      <c r="D811" s="77"/>
      <c r="E811" s="25"/>
      <c r="F811" s="98"/>
      <c r="G811" s="54"/>
      <c r="H811" s="42"/>
    </row>
    <row r="812" spans="1:9" s="5" customFormat="1" ht="13.5">
      <c r="A812" s="249" t="s">
        <v>165</v>
      </c>
      <c r="B812" s="25" t="s">
        <v>135</v>
      </c>
      <c r="C812" s="63">
        <f>SUM(C813)</f>
        <v>10120</v>
      </c>
      <c r="D812" s="66"/>
      <c r="E812" s="67"/>
      <c r="F812" s="194"/>
      <c r="G812" s="65"/>
      <c r="H812" s="65"/>
      <c r="I812" s="65"/>
    </row>
    <row r="813" spans="1:9" s="5" customFormat="1" ht="13.5">
      <c r="A813" s="71" t="s">
        <v>166</v>
      </c>
      <c r="B813" s="42" t="s">
        <v>51</v>
      </c>
      <c r="C813" s="59">
        <v>10120</v>
      </c>
      <c r="D813" s="66"/>
      <c r="E813" s="67"/>
      <c r="F813" s="194"/>
      <c r="G813" s="65"/>
      <c r="H813" s="65"/>
      <c r="I813" s="65"/>
    </row>
    <row r="814" spans="1:9" s="5" customFormat="1" ht="13.5">
      <c r="A814" s="71"/>
      <c r="B814" s="42"/>
      <c r="C814" s="59"/>
      <c r="D814" s="66"/>
      <c r="E814" s="67"/>
      <c r="F814" s="194"/>
      <c r="G814" s="65"/>
      <c r="H814" s="65"/>
      <c r="I814" s="65"/>
    </row>
    <row r="815" spans="1:9" s="5" customFormat="1" ht="14.25" thickBot="1">
      <c r="A815" s="71"/>
      <c r="B815" s="42"/>
      <c r="C815" s="59"/>
      <c r="D815" s="66"/>
      <c r="E815" s="67"/>
      <c r="F815" s="194"/>
      <c r="G815" s="65"/>
      <c r="H815" s="65"/>
      <c r="I815" s="65"/>
    </row>
    <row r="816" spans="1:7" s="51" customFormat="1" ht="12.75">
      <c r="A816" s="583" t="s">
        <v>797</v>
      </c>
      <c r="B816" s="638"/>
      <c r="C816" s="638"/>
      <c r="D816" s="639" t="s">
        <v>6</v>
      </c>
      <c r="E816" s="754" t="s">
        <v>1016</v>
      </c>
      <c r="G816" s="61"/>
    </row>
    <row r="817" spans="1:7" s="51" customFormat="1" ht="13.5" thickBot="1">
      <c r="A817" s="642"/>
      <c r="B817" s="646"/>
      <c r="C817" s="646"/>
      <c r="D817" s="643"/>
      <c r="E817" s="644"/>
      <c r="G817" s="61"/>
    </row>
    <row r="818" spans="1:7" s="51" customFormat="1" ht="12.75" customHeight="1">
      <c r="A818" s="979" t="s">
        <v>913</v>
      </c>
      <c r="B818" s="980"/>
      <c r="C818" s="980"/>
      <c r="D818" s="980"/>
      <c r="E818" s="981"/>
      <c r="F818" s="65"/>
      <c r="G818" s="61"/>
    </row>
    <row r="819" spans="1:7" s="51" customFormat="1" ht="12.75">
      <c r="A819" s="982"/>
      <c r="B819" s="983"/>
      <c r="C819" s="983"/>
      <c r="D819" s="983"/>
      <c r="E819" s="984"/>
      <c r="F819" s="65"/>
      <c r="G819" s="61"/>
    </row>
    <row r="820" spans="1:7" s="51" customFormat="1" ht="12.75">
      <c r="A820" s="982"/>
      <c r="B820" s="983"/>
      <c r="C820" s="983"/>
      <c r="D820" s="983"/>
      <c r="E820" s="984"/>
      <c r="F820" s="65"/>
      <c r="G820" s="61"/>
    </row>
    <row r="821" spans="1:7" s="51" customFormat="1" ht="12.75">
      <c r="A821" s="982"/>
      <c r="B821" s="983"/>
      <c r="C821" s="983"/>
      <c r="D821" s="983"/>
      <c r="E821" s="984"/>
      <c r="F821" s="65"/>
      <c r="G821" s="61"/>
    </row>
    <row r="822" spans="1:7" s="51" customFormat="1" ht="12.75">
      <c r="A822" s="982"/>
      <c r="B822" s="983"/>
      <c r="C822" s="983"/>
      <c r="D822" s="983"/>
      <c r="E822" s="984"/>
      <c r="F822" s="65"/>
      <c r="G822" s="61"/>
    </row>
    <row r="823" spans="1:7" s="51" customFormat="1" ht="16.5" customHeight="1" thickBot="1">
      <c r="A823" s="985"/>
      <c r="B823" s="986"/>
      <c r="C823" s="986"/>
      <c r="D823" s="986"/>
      <c r="E823" s="987"/>
      <c r="F823" s="65"/>
      <c r="G823" s="61"/>
    </row>
    <row r="824" spans="1:7" s="51" customFormat="1" ht="13.5">
      <c r="A824" s="116" t="s">
        <v>809</v>
      </c>
      <c r="B824" s="163"/>
      <c r="C824" s="163"/>
      <c r="D824" s="162"/>
      <c r="E824" s="161"/>
      <c r="F824" s="59"/>
      <c r="G824" s="61"/>
    </row>
    <row r="825" spans="1:7" s="68" customFormat="1" ht="13.5">
      <c r="A825" s="40" t="s">
        <v>577</v>
      </c>
      <c r="B825" s="58"/>
      <c r="C825" s="58"/>
      <c r="D825" s="59"/>
      <c r="E825" s="60"/>
      <c r="F825" s="59"/>
      <c r="G825" s="64"/>
    </row>
    <row r="826" spans="1:7" s="68" customFormat="1" ht="13.5">
      <c r="A826" s="40" t="s">
        <v>580</v>
      </c>
      <c r="B826" s="58"/>
      <c r="C826" s="58"/>
      <c r="D826" s="59"/>
      <c r="E826" s="60"/>
      <c r="F826" s="59"/>
      <c r="G826" s="64"/>
    </row>
    <row r="827" spans="1:7" s="51" customFormat="1" ht="14.25" thickBot="1">
      <c r="A827" s="75" t="s">
        <v>11</v>
      </c>
      <c r="B827" s="159"/>
      <c r="C827" s="159"/>
      <c r="D827" s="158"/>
      <c r="E827" s="157"/>
      <c r="F827" s="59"/>
      <c r="G827" s="61"/>
    </row>
    <row r="828" spans="1:8" s="51" customFormat="1" ht="14.25" thickBot="1">
      <c r="A828" s="678" t="s">
        <v>535</v>
      </c>
      <c r="B828" s="679"/>
      <c r="C828" s="679"/>
      <c r="D828" s="685"/>
      <c r="E828" s="682">
        <f>+C830+C843</f>
        <v>5336000</v>
      </c>
      <c r="F828" s="67"/>
      <c r="G828" s="61"/>
      <c r="H828" s="61"/>
    </row>
    <row r="829" spans="1:6" s="51" customFormat="1" ht="14.25" thickBot="1">
      <c r="A829" s="62"/>
      <c r="B829" s="62"/>
      <c r="C829" s="63"/>
      <c r="D829" s="63"/>
      <c r="E829" s="582"/>
      <c r="F829" s="61"/>
    </row>
    <row r="830" spans="1:6" s="65" customFormat="1" ht="14.25" thickBot="1">
      <c r="A830" s="1013" t="s">
        <v>2</v>
      </c>
      <c r="B830" s="1014"/>
      <c r="C830" s="634">
        <f>C831+C833+C835+C837</f>
        <v>1591000</v>
      </c>
      <c r="D830" s="67"/>
      <c r="E830" s="67"/>
      <c r="F830" s="67"/>
    </row>
    <row r="831" spans="1:9" s="42" customFormat="1" ht="13.5" customHeight="1">
      <c r="A831" s="11" t="s">
        <v>103</v>
      </c>
      <c r="B831" s="199" t="s">
        <v>104</v>
      </c>
      <c r="C831" s="31">
        <f>SUM(C832)</f>
        <v>140000</v>
      </c>
      <c r="D831" s="22"/>
      <c r="E831" s="24"/>
      <c r="F831" s="94"/>
      <c r="G831" s="54"/>
      <c r="I831" s="54"/>
    </row>
    <row r="832" spans="1:7" s="42" customFormat="1" ht="13.5" customHeight="1">
      <c r="A832" s="12" t="s">
        <v>46</v>
      </c>
      <c r="B832" s="8" t="s">
        <v>45</v>
      </c>
      <c r="C832" s="24">
        <v>140000</v>
      </c>
      <c r="E832" s="31"/>
      <c r="F832" s="95"/>
      <c r="G832" s="54"/>
    </row>
    <row r="833" spans="1:7" s="42" customFormat="1" ht="13.5" customHeight="1">
      <c r="A833" s="11" t="s">
        <v>105</v>
      </c>
      <c r="B833" s="502" t="s">
        <v>106</v>
      </c>
      <c r="C833" s="31">
        <f>SUM(C834)</f>
        <v>250000</v>
      </c>
      <c r="D833" s="22"/>
      <c r="E833" s="31"/>
      <c r="F833" s="53"/>
      <c r="G833" s="54"/>
    </row>
    <row r="834" spans="1:7" s="42" customFormat="1" ht="13.5" customHeight="1">
      <c r="A834" s="12" t="s">
        <v>86</v>
      </c>
      <c r="B834" s="8" t="s">
        <v>66</v>
      </c>
      <c r="C834" s="24">
        <v>250000</v>
      </c>
      <c r="D834" s="22"/>
      <c r="E834" s="31"/>
      <c r="F834" s="53"/>
      <c r="G834" s="54"/>
    </row>
    <row r="835" spans="1:7" s="42" customFormat="1" ht="13.5" customHeight="1">
      <c r="A835" s="11" t="s">
        <v>107</v>
      </c>
      <c r="B835" s="502" t="s">
        <v>108</v>
      </c>
      <c r="C835" s="31">
        <f>SUM(C836)</f>
        <v>80000</v>
      </c>
      <c r="D835" s="22"/>
      <c r="E835" s="31"/>
      <c r="F835" s="53"/>
      <c r="G835" s="54"/>
    </row>
    <row r="836" spans="1:6" s="65" customFormat="1" ht="13.5">
      <c r="A836" s="12" t="s">
        <v>47</v>
      </c>
      <c r="B836" s="23" t="s">
        <v>48</v>
      </c>
      <c r="C836" s="59">
        <v>80000</v>
      </c>
      <c r="D836" s="67"/>
      <c r="E836" s="67"/>
      <c r="F836" s="67"/>
    </row>
    <row r="837" spans="1:6" s="65" customFormat="1" ht="13.5">
      <c r="A837" s="249" t="s">
        <v>150</v>
      </c>
      <c r="B837" s="25" t="s">
        <v>125</v>
      </c>
      <c r="C837" s="63">
        <f>SUM(C838:C841)</f>
        <v>1121000</v>
      </c>
      <c r="D837" s="67"/>
      <c r="E837" s="67"/>
      <c r="F837" s="67"/>
    </row>
    <row r="838" spans="1:6" s="65" customFormat="1" ht="13.5">
      <c r="A838" s="69" t="s">
        <v>152</v>
      </c>
      <c r="B838" s="69" t="s">
        <v>775</v>
      </c>
      <c r="C838" s="59">
        <v>275000</v>
      </c>
      <c r="D838" s="67"/>
      <c r="E838" s="67"/>
      <c r="F838" s="67"/>
    </row>
    <row r="839" spans="1:6" s="65" customFormat="1" ht="13.5">
      <c r="A839" s="69" t="s">
        <v>152</v>
      </c>
      <c r="B839" s="69" t="s">
        <v>226</v>
      </c>
      <c r="C839" s="59">
        <v>456000</v>
      </c>
      <c r="D839" s="67"/>
      <c r="E839" s="67"/>
      <c r="F839" s="67"/>
    </row>
    <row r="840" spans="1:6" s="65" customFormat="1" ht="13.5">
      <c r="A840" s="71" t="s">
        <v>153</v>
      </c>
      <c r="B840" s="23" t="s">
        <v>133</v>
      </c>
      <c r="C840" s="59">
        <v>90000</v>
      </c>
      <c r="D840" s="67"/>
      <c r="E840" s="67"/>
      <c r="F840" s="67"/>
    </row>
    <row r="841" spans="1:6" s="65" customFormat="1" ht="13.5">
      <c r="A841" s="71" t="s">
        <v>643</v>
      </c>
      <c r="B841" s="42" t="s">
        <v>642</v>
      </c>
      <c r="C841" s="59">
        <v>300000</v>
      </c>
      <c r="D841" s="67"/>
      <c r="E841" s="67"/>
      <c r="F841" s="67"/>
    </row>
    <row r="842" spans="1:6" s="65" customFormat="1" ht="14.25" thickBot="1">
      <c r="A842" s="71"/>
      <c r="B842" s="23"/>
      <c r="C842" s="59"/>
      <c r="D842" s="67"/>
      <c r="E842" s="67"/>
      <c r="F842" s="67"/>
    </row>
    <row r="843" spans="1:6" s="65" customFormat="1" ht="14.25" thickBot="1">
      <c r="A843" s="1015" t="s">
        <v>3</v>
      </c>
      <c r="B843" s="1016"/>
      <c r="C843" s="635">
        <f>C844+C846+C848+C850</f>
        <v>3745000</v>
      </c>
      <c r="D843" s="67"/>
      <c r="E843" s="67"/>
      <c r="F843" s="67"/>
    </row>
    <row r="844" spans="1:6" s="55" customFormat="1" ht="13.5">
      <c r="A844" s="249" t="s">
        <v>110</v>
      </c>
      <c r="B844" s="281" t="s">
        <v>111</v>
      </c>
      <c r="C844" s="63">
        <f>SUM(C845:C845)</f>
        <v>175000</v>
      </c>
      <c r="D844" s="56"/>
      <c r="E844" s="56"/>
      <c r="F844" s="56"/>
    </row>
    <row r="845" spans="1:6" s="65" customFormat="1" ht="13.5">
      <c r="A845" s="58" t="s">
        <v>52</v>
      </c>
      <c r="B845" s="58" t="s">
        <v>15</v>
      </c>
      <c r="C845" s="59">
        <v>175000</v>
      </c>
      <c r="D845" s="59"/>
      <c r="E845" s="67"/>
      <c r="F845" s="67"/>
    </row>
    <row r="846" spans="1:10" s="65" customFormat="1" ht="13.5">
      <c r="A846" s="506" t="s">
        <v>120</v>
      </c>
      <c r="B846" s="507" t="s">
        <v>121</v>
      </c>
      <c r="C846" s="31">
        <f>SUM(C847:C847)</f>
        <v>200000</v>
      </c>
      <c r="F846" s="56"/>
      <c r="G846" s="55"/>
      <c r="H846" s="55"/>
      <c r="I846" s="55"/>
      <c r="J846" s="55"/>
    </row>
    <row r="847" spans="1:10" s="65" customFormat="1" ht="13.5">
      <c r="A847" s="58" t="s">
        <v>136</v>
      </c>
      <c r="B847" s="58" t="s">
        <v>71</v>
      </c>
      <c r="C847" s="24">
        <v>200000</v>
      </c>
      <c r="F847" s="56"/>
      <c r="G847" s="55"/>
      <c r="H847" s="55"/>
      <c r="I847" s="55"/>
      <c r="J847" s="55"/>
    </row>
    <row r="848" spans="1:10" s="65" customFormat="1" ht="13.5">
      <c r="A848" s="506" t="s">
        <v>112</v>
      </c>
      <c r="B848" s="505" t="s">
        <v>122</v>
      </c>
      <c r="C848" s="63">
        <f>SUM(C849:C849)</f>
        <v>750000</v>
      </c>
      <c r="F848" s="59"/>
      <c r="G848" s="56"/>
      <c r="H848" s="55"/>
      <c r="I848" s="55"/>
      <c r="J848" s="55"/>
    </row>
    <row r="849" spans="1:10" s="65" customFormat="1" ht="13.5">
      <c r="A849" s="71" t="s">
        <v>49</v>
      </c>
      <c r="B849" s="23" t="s">
        <v>87</v>
      </c>
      <c r="C849" s="59">
        <v>750000</v>
      </c>
      <c r="F849" s="59"/>
      <c r="G849" s="56"/>
      <c r="H849" s="55"/>
      <c r="I849" s="55"/>
      <c r="J849" s="55"/>
    </row>
    <row r="850" spans="1:10" s="65" customFormat="1" ht="13.5">
      <c r="A850" s="249" t="s">
        <v>115</v>
      </c>
      <c r="B850" s="506" t="s">
        <v>8</v>
      </c>
      <c r="C850" s="63">
        <f>SUM(C851:C854)</f>
        <v>2620000</v>
      </c>
      <c r="F850" s="104"/>
      <c r="G850" s="56"/>
      <c r="H850" s="55"/>
      <c r="I850" s="55"/>
      <c r="J850" s="55"/>
    </row>
    <row r="851" spans="1:10" s="65" customFormat="1" ht="13.5">
      <c r="A851" s="69" t="s">
        <v>89</v>
      </c>
      <c r="B851" s="69" t="s">
        <v>8</v>
      </c>
      <c r="C851" s="59">
        <v>890000</v>
      </c>
      <c r="F851" s="56"/>
      <c r="G851" s="56"/>
      <c r="H851" s="55"/>
      <c r="I851" s="55"/>
      <c r="J851" s="55"/>
    </row>
    <row r="852" spans="1:10" s="65" customFormat="1" ht="13.5">
      <c r="A852" s="69" t="s">
        <v>225</v>
      </c>
      <c r="B852" s="42" t="s">
        <v>224</v>
      </c>
      <c r="C852" s="59">
        <v>500000</v>
      </c>
      <c r="F852" s="56"/>
      <c r="G852" s="56"/>
      <c r="H852" s="55"/>
      <c r="I852" s="55"/>
      <c r="J852" s="55"/>
    </row>
    <row r="853" spans="1:10" s="65" customFormat="1" ht="13.5">
      <c r="A853" s="69" t="s">
        <v>223</v>
      </c>
      <c r="B853" s="69" t="s">
        <v>222</v>
      </c>
      <c r="C853" s="59">
        <v>750000</v>
      </c>
      <c r="F853" s="56"/>
      <c r="G853" s="56"/>
      <c r="H853" s="55"/>
      <c r="I853" s="55"/>
      <c r="J853" s="55"/>
    </row>
    <row r="854" spans="1:10" s="65" customFormat="1" ht="13.5">
      <c r="A854" s="69" t="s">
        <v>90</v>
      </c>
      <c r="B854" s="69" t="s">
        <v>7</v>
      </c>
      <c r="C854" s="59">
        <v>480000</v>
      </c>
      <c r="F854" s="59"/>
      <c r="G854" s="56"/>
      <c r="H854" s="55"/>
      <c r="I854" s="55"/>
      <c r="J854" s="55"/>
    </row>
    <row r="855" spans="1:7" s="175" customFormat="1" ht="13.5">
      <c r="A855" s="187"/>
      <c r="B855" s="187"/>
      <c r="C855" s="209"/>
      <c r="D855" s="410"/>
      <c r="E855" s="209"/>
      <c r="F855" s="408"/>
      <c r="G855" s="409"/>
    </row>
    <row r="856" ht="14.25" thickBot="1">
      <c r="E856" s="209"/>
    </row>
    <row r="857" spans="1:11" s="125" customFormat="1" ht="13.5">
      <c r="A857" s="988" t="s">
        <v>937</v>
      </c>
      <c r="B857" s="1009"/>
      <c r="C857" s="989"/>
      <c r="D857" s="627" t="s">
        <v>6</v>
      </c>
      <c r="E857" s="757" t="s">
        <v>1017</v>
      </c>
      <c r="F857" s="127"/>
      <c r="G857" s="126"/>
      <c r="H857" s="126"/>
      <c r="I857" s="126"/>
      <c r="J857" s="126"/>
      <c r="K857" s="126"/>
    </row>
    <row r="858" spans="1:11" s="125" customFormat="1" ht="14.25" thickBot="1">
      <c r="A858" s="990"/>
      <c r="B858" s="1010"/>
      <c r="C858" s="991"/>
      <c r="D858" s="630"/>
      <c r="E858" s="653"/>
      <c r="F858" s="127"/>
      <c r="G858" s="126"/>
      <c r="H858" s="126"/>
      <c r="I858" s="126"/>
      <c r="J858" s="126"/>
      <c r="K858" s="126"/>
    </row>
    <row r="859" spans="1:11" s="854" customFormat="1" ht="54" customHeight="1" thickBot="1">
      <c r="A859" s="1021" t="s">
        <v>938</v>
      </c>
      <c r="B859" s="1022"/>
      <c r="C859" s="1022"/>
      <c r="D859" s="1022"/>
      <c r="E859" s="1023"/>
      <c r="F859" s="852"/>
      <c r="G859" s="853"/>
      <c r="H859" s="853"/>
      <c r="I859" s="853"/>
      <c r="J859" s="853"/>
      <c r="K859" s="853"/>
    </row>
    <row r="860" spans="1:11" s="125" customFormat="1" ht="13.5">
      <c r="A860" s="116" t="s">
        <v>809</v>
      </c>
      <c r="B860" s="167"/>
      <c r="C860" s="400"/>
      <c r="D860" s="400"/>
      <c r="E860" s="402"/>
      <c r="F860" s="127"/>
      <c r="G860" s="126"/>
      <c r="H860" s="126"/>
      <c r="I860" s="126"/>
      <c r="J860" s="126"/>
      <c r="K860" s="126"/>
    </row>
    <row r="861" spans="1:11" s="125" customFormat="1" ht="13.5">
      <c r="A861" s="40" t="s">
        <v>577</v>
      </c>
      <c r="B861" s="12"/>
      <c r="C861" s="24"/>
      <c r="D861" s="24"/>
      <c r="E861" s="303"/>
      <c r="F861" s="127"/>
      <c r="G861" s="126"/>
      <c r="H861" s="126"/>
      <c r="I861" s="126"/>
      <c r="J861" s="126"/>
      <c r="K861" s="126"/>
    </row>
    <row r="862" spans="1:11" s="125" customFormat="1" ht="13.5">
      <c r="A862" s="40" t="s">
        <v>580</v>
      </c>
      <c r="B862" s="12"/>
      <c r="C862" s="24"/>
      <c r="D862" s="24"/>
      <c r="E862" s="303"/>
      <c r="F862" s="127"/>
      <c r="G862" s="126"/>
      <c r="H862" s="126"/>
      <c r="I862" s="126"/>
      <c r="J862" s="126"/>
      <c r="K862" s="126"/>
    </row>
    <row r="863" spans="1:11" s="125" customFormat="1" ht="14.25" thickBot="1">
      <c r="A863" s="75" t="s">
        <v>13</v>
      </c>
      <c r="B863" s="135"/>
      <c r="C863" s="360"/>
      <c r="D863" s="360"/>
      <c r="E863" s="361"/>
      <c r="F863" s="127"/>
      <c r="G863" s="126"/>
      <c r="H863" s="126"/>
      <c r="I863" s="126"/>
      <c r="J863" s="126"/>
      <c r="K863" s="126"/>
    </row>
    <row r="864" spans="1:11" s="125" customFormat="1" ht="14.25" thickBot="1">
      <c r="A864" s="697" t="s">
        <v>14</v>
      </c>
      <c r="B864" s="698"/>
      <c r="C864" s="699"/>
      <c r="D864" s="701"/>
      <c r="E864" s="707">
        <f>+C866+C876+C888</f>
        <v>2034200</v>
      </c>
      <c r="F864" s="565"/>
      <c r="G864" s="126"/>
      <c r="H864" s="126"/>
      <c r="I864" s="126"/>
      <c r="J864" s="126"/>
      <c r="K864" s="126"/>
    </row>
    <row r="865" spans="1:11" s="125" customFormat="1" ht="14.25" thickBot="1">
      <c r="A865" s="11"/>
      <c r="B865" s="11"/>
      <c r="C865" s="31"/>
      <c r="D865" s="31"/>
      <c r="E865" s="3"/>
      <c r="F865" s="127"/>
      <c r="G865" s="126"/>
      <c r="H865" s="126"/>
      <c r="I865" s="126"/>
      <c r="J865" s="126"/>
      <c r="K865" s="126"/>
    </row>
    <row r="866" spans="1:11" s="125" customFormat="1" ht="14.25" thickBot="1">
      <c r="A866" s="992" t="s">
        <v>2</v>
      </c>
      <c r="B866" s="993"/>
      <c r="C866" s="602">
        <f>+C867+C869+C871</f>
        <v>431900</v>
      </c>
      <c r="D866" s="18"/>
      <c r="E866" s="3"/>
      <c r="F866" s="127"/>
      <c r="G866" s="126"/>
      <c r="H866" s="126"/>
      <c r="I866" s="126"/>
      <c r="J866" s="126"/>
      <c r="K866" s="126"/>
    </row>
    <row r="867" spans="1:9" s="42" customFormat="1" ht="13.5" customHeight="1">
      <c r="A867" s="11" t="s">
        <v>103</v>
      </c>
      <c r="B867" s="199" t="s">
        <v>104</v>
      </c>
      <c r="C867" s="31">
        <f>SUM(C868)</f>
        <v>120000</v>
      </c>
      <c r="D867" s="22"/>
      <c r="E867" s="24"/>
      <c r="F867" s="94"/>
      <c r="G867" s="54"/>
      <c r="I867" s="54"/>
    </row>
    <row r="868" spans="1:7" s="42" customFormat="1" ht="13.5" customHeight="1">
      <c r="A868" s="12" t="s">
        <v>46</v>
      </c>
      <c r="B868" s="8" t="s">
        <v>45</v>
      </c>
      <c r="C868" s="24">
        <v>120000</v>
      </c>
      <c r="E868" s="31"/>
      <c r="F868" s="95"/>
      <c r="G868" s="54"/>
    </row>
    <row r="869" spans="1:7" s="42" customFormat="1" ht="13.5" customHeight="1">
      <c r="A869" s="11" t="s">
        <v>105</v>
      </c>
      <c r="B869" s="502" t="s">
        <v>106</v>
      </c>
      <c r="C869" s="31">
        <f>SUM(C870:C870)</f>
        <v>11800</v>
      </c>
      <c r="E869" s="31"/>
      <c r="F869" s="95"/>
      <c r="G869" s="54"/>
    </row>
    <row r="870" spans="1:7" s="42" customFormat="1" ht="13.5" customHeight="1">
      <c r="A870" s="12" t="s">
        <v>86</v>
      </c>
      <c r="B870" s="8" t="s">
        <v>66</v>
      </c>
      <c r="C870" s="24">
        <v>11800</v>
      </c>
      <c r="E870" s="31"/>
      <c r="F870" s="95"/>
      <c r="G870" s="54"/>
    </row>
    <row r="871" spans="1:7" s="42" customFormat="1" ht="13.5" customHeight="1">
      <c r="A871" s="11" t="s">
        <v>107</v>
      </c>
      <c r="B871" s="502" t="s">
        <v>108</v>
      </c>
      <c r="C871" s="31">
        <f>SUM(C872:C874)</f>
        <v>300100</v>
      </c>
      <c r="E871" s="31"/>
      <c r="F871" s="22"/>
      <c r="G871" s="54"/>
    </row>
    <row r="872" spans="1:8" s="8" customFormat="1" ht="13.5" customHeight="1">
      <c r="A872" s="12" t="s">
        <v>47</v>
      </c>
      <c r="B872" s="23" t="s">
        <v>48</v>
      </c>
      <c r="C872" s="24">
        <v>75820</v>
      </c>
      <c r="E872" s="25"/>
      <c r="F872" s="78"/>
      <c r="G872" s="54"/>
      <c r="H872" s="42"/>
    </row>
    <row r="873" spans="1:8" s="65" customFormat="1" ht="13.5">
      <c r="A873" s="71" t="s">
        <v>153</v>
      </c>
      <c r="B873" s="23" t="s">
        <v>133</v>
      </c>
      <c r="C873" s="59">
        <v>38280</v>
      </c>
      <c r="F873" s="67"/>
      <c r="G873" s="67"/>
      <c r="H873" s="67"/>
    </row>
    <row r="874" spans="1:8" s="249" customFormat="1" ht="13.5" customHeight="1">
      <c r="A874" s="71" t="s">
        <v>643</v>
      </c>
      <c r="B874" s="42" t="s">
        <v>642</v>
      </c>
      <c r="C874" s="24">
        <v>186000</v>
      </c>
      <c r="D874" s="386"/>
      <c r="E874" s="336"/>
      <c r="F874" s="336"/>
      <c r="G874" s="385"/>
      <c r="H874" s="11"/>
    </row>
    <row r="875" spans="1:8" s="8" customFormat="1" ht="13.5" customHeight="1" thickBot="1">
      <c r="A875" s="71"/>
      <c r="B875" s="23"/>
      <c r="C875" s="23"/>
      <c r="F875" s="77"/>
      <c r="G875" s="25"/>
      <c r="H875" s="93"/>
    </row>
    <row r="876" spans="1:8" s="8" customFormat="1" ht="13.5" customHeight="1" thickBot="1">
      <c r="A876" s="994" t="s">
        <v>3</v>
      </c>
      <c r="B876" s="995"/>
      <c r="C876" s="603">
        <f>C877+C879+C881+C883</f>
        <v>1396800</v>
      </c>
      <c r="F876" s="77"/>
      <c r="G876" s="25"/>
      <c r="H876" s="53"/>
    </row>
    <row r="877" spans="1:8" s="8" customFormat="1" ht="13.5" customHeight="1">
      <c r="A877" s="249" t="s">
        <v>110</v>
      </c>
      <c r="B877" s="281" t="s">
        <v>111</v>
      </c>
      <c r="C877" s="31">
        <f>SUM(C878)</f>
        <v>145000</v>
      </c>
      <c r="F877" s="77"/>
      <c r="G877" s="25"/>
      <c r="H877" s="53"/>
    </row>
    <row r="878" spans="1:8" s="8" customFormat="1" ht="13.5" customHeight="1">
      <c r="A878" s="12" t="s">
        <v>52</v>
      </c>
      <c r="B878" s="24" t="s">
        <v>15</v>
      </c>
      <c r="C878" s="24">
        <v>145000</v>
      </c>
      <c r="F878" s="78"/>
      <c r="G878" s="25"/>
      <c r="H878" s="91"/>
    </row>
    <row r="879" spans="1:8" s="8" customFormat="1" ht="13.5" customHeight="1">
      <c r="A879" s="506" t="s">
        <v>120</v>
      </c>
      <c r="B879" s="507" t="s">
        <v>121</v>
      </c>
      <c r="C879" s="31">
        <f>SUM(C880:C880)</f>
        <v>32000</v>
      </c>
      <c r="F879" s="77"/>
      <c r="G879" s="25"/>
      <c r="H879" s="91"/>
    </row>
    <row r="880" spans="1:8" s="8" customFormat="1" ht="13.5" customHeight="1">
      <c r="A880" s="58" t="s">
        <v>136</v>
      </c>
      <c r="B880" s="58" t="s">
        <v>71</v>
      </c>
      <c r="C880" s="24">
        <v>32000</v>
      </c>
      <c r="G880" s="25"/>
      <c r="H880" s="91"/>
    </row>
    <row r="881" spans="1:8" s="8" customFormat="1" ht="13.5" customHeight="1">
      <c r="A881" s="506" t="s">
        <v>112</v>
      </c>
      <c r="B881" s="505" t="s">
        <v>156</v>
      </c>
      <c r="C881" s="31">
        <f>SUM(C882:C882)</f>
        <v>313000</v>
      </c>
      <c r="F881" s="77"/>
      <c r="G881" s="25"/>
      <c r="H881" s="91"/>
    </row>
    <row r="882" spans="1:8" s="8" customFormat="1" ht="13.5" customHeight="1">
      <c r="A882" s="71" t="s">
        <v>49</v>
      </c>
      <c r="B882" s="23" t="s">
        <v>87</v>
      </c>
      <c r="C882" s="24">
        <v>313000</v>
      </c>
      <c r="F882" s="95"/>
      <c r="G882" s="31"/>
      <c r="H882" s="94"/>
    </row>
    <row r="883" spans="1:8" s="8" customFormat="1" ht="13.5" customHeight="1">
      <c r="A883" s="249" t="s">
        <v>115</v>
      </c>
      <c r="B883" s="25" t="s">
        <v>8</v>
      </c>
      <c r="C883" s="31">
        <f>SUM(C884:C886)</f>
        <v>906800</v>
      </c>
      <c r="F883" s="77"/>
      <c r="G883" s="25"/>
      <c r="H883" s="91"/>
    </row>
    <row r="884" spans="1:10" s="8" customFormat="1" ht="13.5" customHeight="1">
      <c r="A884" s="71" t="s">
        <v>92</v>
      </c>
      <c r="B884" s="23" t="s">
        <v>8</v>
      </c>
      <c r="C884" s="24">
        <v>550000</v>
      </c>
      <c r="F884" s="78"/>
      <c r="G884" s="25"/>
      <c r="J884" s="82"/>
    </row>
    <row r="885" spans="1:10" s="65" customFormat="1" ht="13.5">
      <c r="A885" s="69" t="s">
        <v>223</v>
      </c>
      <c r="B885" s="69" t="s">
        <v>222</v>
      </c>
      <c r="C885" s="59">
        <v>250000</v>
      </c>
      <c r="F885" s="56"/>
      <c r="G885" s="56"/>
      <c r="H885" s="55"/>
      <c r="I885" s="55"/>
      <c r="J885" s="55"/>
    </row>
    <row r="886" spans="1:8" s="8" customFormat="1" ht="13.5" customHeight="1">
      <c r="A886" s="71" t="s">
        <v>90</v>
      </c>
      <c r="B886" s="23" t="s">
        <v>7</v>
      </c>
      <c r="C886" s="24">
        <v>106800</v>
      </c>
      <c r="D886" s="83"/>
      <c r="E886" s="438"/>
      <c r="F886" s="94"/>
      <c r="G886" s="54"/>
      <c r="H886" s="42"/>
    </row>
    <row r="887" spans="1:8" s="8" customFormat="1" ht="13.5" customHeight="1" thickBot="1">
      <c r="A887" s="71"/>
      <c r="B887" s="23"/>
      <c r="C887" s="24"/>
      <c r="D887" s="83"/>
      <c r="E887" s="25"/>
      <c r="F887" s="94"/>
      <c r="G887" s="54"/>
      <c r="H887" s="42"/>
    </row>
    <row r="888" spans="1:8" s="8" customFormat="1" ht="13.5" customHeight="1" thickBot="1">
      <c r="A888" s="996" t="s">
        <v>4</v>
      </c>
      <c r="B888" s="997"/>
      <c r="C888" s="605">
        <f>+C889+C893</f>
        <v>205500</v>
      </c>
      <c r="D888" s="77"/>
      <c r="E888" s="25"/>
      <c r="F888" s="94"/>
      <c r="G888" s="54"/>
      <c r="H888" s="42"/>
    </row>
    <row r="889" spans="1:7" s="42" customFormat="1" ht="13.5" customHeight="1">
      <c r="A889" s="249" t="s">
        <v>116</v>
      </c>
      <c r="B889" s="199" t="s">
        <v>117</v>
      </c>
      <c r="C889" s="31">
        <f>SUM(C890:C892)</f>
        <v>190500</v>
      </c>
      <c r="D889" s="22"/>
      <c r="E889" s="24"/>
      <c r="F889" s="94"/>
      <c r="G889" s="54"/>
    </row>
    <row r="890" spans="1:8" s="8" customFormat="1" ht="13.5" customHeight="1">
      <c r="A890" s="71" t="s">
        <v>91</v>
      </c>
      <c r="B890" s="23" t="s">
        <v>9</v>
      </c>
      <c r="C890" s="24">
        <v>145000</v>
      </c>
      <c r="D890" s="77"/>
      <c r="E890" s="25"/>
      <c r="F890" s="94"/>
      <c r="G890" s="54"/>
      <c r="H890" s="42"/>
    </row>
    <row r="891" spans="1:8" s="8" customFormat="1" ht="13.5" customHeight="1">
      <c r="A891" s="71" t="s">
        <v>57</v>
      </c>
      <c r="B891" s="23" t="s">
        <v>58</v>
      </c>
      <c r="C891" s="24">
        <v>15500</v>
      </c>
      <c r="D891" s="77"/>
      <c r="E891" s="25"/>
      <c r="F891" s="53"/>
      <c r="G891" s="72"/>
      <c r="H891" s="42"/>
    </row>
    <row r="892" spans="1:8" s="8" customFormat="1" ht="13.5" customHeight="1">
      <c r="A892" s="71" t="s">
        <v>756</v>
      </c>
      <c r="B892" s="23" t="s">
        <v>757</v>
      </c>
      <c r="C892" s="24">
        <v>30000</v>
      </c>
      <c r="D892" s="77"/>
      <c r="E892" s="25"/>
      <c r="F892" s="98"/>
      <c r="G892" s="54"/>
      <c r="H892" s="42"/>
    </row>
    <row r="893" spans="1:8" s="8" customFormat="1" ht="13.5" customHeight="1">
      <c r="A893" s="249" t="s">
        <v>165</v>
      </c>
      <c r="B893" s="25" t="s">
        <v>135</v>
      </c>
      <c r="C893" s="31">
        <f>SUM(C894)</f>
        <v>15000</v>
      </c>
      <c r="D893" s="77"/>
      <c r="E893" s="25"/>
      <c r="F893" s="94"/>
      <c r="G893" s="54"/>
      <c r="H893" s="42"/>
    </row>
    <row r="894" spans="1:8" s="8" customFormat="1" ht="13.5" customHeight="1">
      <c r="A894" s="71" t="s">
        <v>166</v>
      </c>
      <c r="B894" s="23" t="s">
        <v>51</v>
      </c>
      <c r="C894" s="24">
        <v>15000</v>
      </c>
      <c r="D894" s="77"/>
      <c r="E894" s="25"/>
      <c r="F894" s="94"/>
      <c r="G894" s="54"/>
      <c r="H894" s="42"/>
    </row>
    <row r="895" spans="1:8" s="8" customFormat="1" ht="13.5" customHeight="1">
      <c r="A895" s="71"/>
      <c r="B895" s="23"/>
      <c r="C895" s="24"/>
      <c r="D895" s="77"/>
      <c r="E895" s="25"/>
      <c r="F895" s="94"/>
      <c r="G895" s="54"/>
      <c r="H895" s="42"/>
    </row>
    <row r="896" spans="1:8" s="8" customFormat="1" ht="13.5" customHeight="1" thickBot="1">
      <c r="A896" s="71"/>
      <c r="B896" s="23"/>
      <c r="C896" s="24"/>
      <c r="D896" s="77"/>
      <c r="E896" s="25"/>
      <c r="F896" s="94"/>
      <c r="G896" s="54"/>
      <c r="H896" s="42"/>
    </row>
    <row r="897" spans="1:9" s="293" customFormat="1" ht="13.5" customHeight="1">
      <c r="A897" s="583" t="s">
        <v>718</v>
      </c>
      <c r="B897" s="584" t="s">
        <v>723</v>
      </c>
      <c r="C897" s="625"/>
      <c r="D897" s="810" t="s">
        <v>6</v>
      </c>
      <c r="E897" s="816">
        <v>1414</v>
      </c>
      <c r="F897" s="624"/>
      <c r="I897" s="294"/>
    </row>
    <row r="898" spans="1:9" s="293" customFormat="1" ht="13.5" customHeight="1" thickBot="1">
      <c r="A898" s="709"/>
      <c r="B898" s="588"/>
      <c r="C898" s="628"/>
      <c r="D898" s="825"/>
      <c r="E898" s="817"/>
      <c r="F898" s="624"/>
      <c r="I898" s="294"/>
    </row>
    <row r="899" spans="1:9" s="293" customFormat="1" ht="13.5" customHeight="1">
      <c r="A899" s="252" t="s">
        <v>798</v>
      </c>
      <c r="B899" s="52"/>
      <c r="C899" s="286"/>
      <c r="D899" s="261"/>
      <c r="E899" s="288"/>
      <c r="F899" s="624"/>
      <c r="I899" s="294"/>
    </row>
    <row r="900" spans="1:9" s="293" customFormat="1" ht="13.5" customHeight="1">
      <c r="A900" s="252" t="s">
        <v>702</v>
      </c>
      <c r="B900" s="52"/>
      <c r="C900" s="286"/>
      <c r="D900" s="261"/>
      <c r="E900" s="288"/>
      <c r="F900" s="624"/>
      <c r="I900" s="294"/>
    </row>
    <row r="901" spans="1:9" s="293" customFormat="1" ht="13.5" customHeight="1">
      <c r="A901" s="252" t="s">
        <v>617</v>
      </c>
      <c r="B901" s="52"/>
      <c r="C901" s="286"/>
      <c r="D901" s="261"/>
      <c r="E901" s="288"/>
      <c r="F901" s="624"/>
      <c r="I901" s="294"/>
    </row>
    <row r="902" spans="1:9" s="293" customFormat="1" ht="13.5" customHeight="1" thickBot="1">
      <c r="A902" s="252" t="s">
        <v>11</v>
      </c>
      <c r="B902" s="52"/>
      <c r="C902" s="313"/>
      <c r="D902" s="261"/>
      <c r="E902" s="288"/>
      <c r="F902" s="624"/>
      <c r="I902" s="294"/>
    </row>
    <row r="903" spans="1:9" s="293" customFormat="1" ht="13.5" customHeight="1" thickBot="1">
      <c r="A903" s="697" t="s">
        <v>300</v>
      </c>
      <c r="B903" s="698"/>
      <c r="C903" s="699"/>
      <c r="D903" s="700"/>
      <c r="E903" s="701">
        <f>(C905)</f>
        <v>4358000</v>
      </c>
      <c r="F903" s="624"/>
      <c r="I903" s="294"/>
    </row>
    <row r="904" spans="1:9" s="293" customFormat="1" ht="13.5" customHeight="1" thickBot="1">
      <c r="A904" s="12"/>
      <c r="B904" s="12"/>
      <c r="C904" s="286"/>
      <c r="D904" s="276"/>
      <c r="E904" s="286"/>
      <c r="F904" s="624"/>
      <c r="I904" s="294"/>
    </row>
    <row r="905" spans="1:9" s="293" customFormat="1" ht="13.5" customHeight="1" thickBot="1">
      <c r="A905" s="1011" t="s">
        <v>301</v>
      </c>
      <c r="B905" s="1012"/>
      <c r="C905" s="710">
        <f>(C906+C908)</f>
        <v>4358000</v>
      </c>
      <c r="D905" s="316"/>
      <c r="E905" s="286"/>
      <c r="F905" s="624"/>
      <c r="I905" s="294"/>
    </row>
    <row r="906" spans="1:9" s="293" customFormat="1" ht="13.5" customHeight="1">
      <c r="A906" s="319" t="s">
        <v>302</v>
      </c>
      <c r="B906" s="510" t="s">
        <v>323</v>
      </c>
      <c r="C906" s="283">
        <f>SUM(C907)</f>
        <v>4358000</v>
      </c>
      <c r="D906" s="276"/>
      <c r="E906" s="286"/>
      <c r="F906" s="624"/>
      <c r="I906" s="294"/>
    </row>
    <row r="907" spans="1:9" s="293" customFormat="1" ht="13.5" customHeight="1">
      <c r="A907" s="12" t="s">
        <v>305</v>
      </c>
      <c r="B907" s="42" t="s">
        <v>306</v>
      </c>
      <c r="C907" s="779">
        <v>4358000</v>
      </c>
      <c r="D907" s="276"/>
      <c r="E907" s="286"/>
      <c r="F907" s="624"/>
      <c r="I907" s="294"/>
    </row>
    <row r="909" ht="14.25" thickBot="1"/>
    <row r="910" spans="1:9" s="293" customFormat="1" ht="13.5" customHeight="1">
      <c r="A910" s="583" t="s">
        <v>718</v>
      </c>
      <c r="B910" s="584" t="s">
        <v>737</v>
      </c>
      <c r="C910" s="625"/>
      <c r="D910" s="811" t="s">
        <v>6</v>
      </c>
      <c r="E910" s="814">
        <v>1415</v>
      </c>
      <c r="F910" s="624"/>
      <c r="I910" s="294"/>
    </row>
    <row r="911" spans="1:9" s="293" customFormat="1" ht="13.5" customHeight="1" thickBot="1">
      <c r="A911" s="587" t="s">
        <v>738</v>
      </c>
      <c r="B911" s="588"/>
      <c r="C911" s="628"/>
      <c r="D911" s="844"/>
      <c r="E911" s="826"/>
      <c r="F911" s="624"/>
      <c r="I911" s="294"/>
    </row>
    <row r="912" spans="1:9" s="293" customFormat="1" ht="13.5" customHeight="1">
      <c r="A912" s="252" t="s">
        <v>798</v>
      </c>
      <c r="B912" s="52"/>
      <c r="C912" s="286"/>
      <c r="D912" s="261"/>
      <c r="E912" s="288"/>
      <c r="F912" s="624"/>
      <c r="I912" s="294"/>
    </row>
    <row r="913" spans="1:9" s="293" customFormat="1" ht="13.5" customHeight="1">
      <c r="A913" s="252" t="s">
        <v>702</v>
      </c>
      <c r="B913" s="52"/>
      <c r="C913" s="286"/>
      <c r="D913" s="261"/>
      <c r="E913" s="288"/>
      <c r="F913" s="624"/>
      <c r="I913" s="294"/>
    </row>
    <row r="914" spans="1:9" s="293" customFormat="1" ht="13.5" customHeight="1">
      <c r="A914" s="252" t="s">
        <v>617</v>
      </c>
      <c r="B914" s="52"/>
      <c r="C914" s="286"/>
      <c r="D914" s="261"/>
      <c r="E914" s="288"/>
      <c r="F914" s="624"/>
      <c r="I914" s="294"/>
    </row>
    <row r="915" spans="1:9" s="293" customFormat="1" ht="13.5" customHeight="1" thickBot="1">
      <c r="A915" s="252" t="s">
        <v>11</v>
      </c>
      <c r="B915" s="52"/>
      <c r="C915" s="313"/>
      <c r="D915" s="261"/>
      <c r="E915" s="288"/>
      <c r="F915" s="624"/>
      <c r="I915" s="294"/>
    </row>
    <row r="916" spans="1:9" s="293" customFormat="1" ht="13.5" customHeight="1" thickBot="1">
      <c r="A916" s="697" t="s">
        <v>300</v>
      </c>
      <c r="B916" s="698"/>
      <c r="C916" s="699"/>
      <c r="D916" s="700"/>
      <c r="E916" s="701">
        <f>(C918)</f>
        <v>2675000</v>
      </c>
      <c r="F916" s="624"/>
      <c r="I916" s="294"/>
    </row>
    <row r="917" spans="1:9" s="293" customFormat="1" ht="13.5" customHeight="1" thickBot="1">
      <c r="A917" s="12"/>
      <c r="B917" s="12"/>
      <c r="C917" s="286"/>
      <c r="D917" s="276"/>
      <c r="E917" s="286"/>
      <c r="F917" s="624"/>
      <c r="I917" s="294"/>
    </row>
    <row r="918" spans="1:9" s="293" customFormat="1" ht="13.5" customHeight="1" thickBot="1">
      <c r="A918" s="1011" t="s">
        <v>301</v>
      </c>
      <c r="B918" s="1012"/>
      <c r="C918" s="710">
        <f>(C920)</f>
        <v>2675000</v>
      </c>
      <c r="D918" s="316"/>
      <c r="E918" s="286"/>
      <c r="F918" s="624"/>
      <c r="I918" s="294"/>
    </row>
    <row r="919" spans="1:9" s="293" customFormat="1" ht="13.5" customHeight="1">
      <c r="A919" s="319" t="s">
        <v>302</v>
      </c>
      <c r="B919" s="510" t="s">
        <v>323</v>
      </c>
      <c r="C919" s="286"/>
      <c r="D919" s="276"/>
      <c r="E919" s="286"/>
      <c r="F919" s="624"/>
      <c r="I919" s="294"/>
    </row>
    <row r="920" spans="1:9" s="293" customFormat="1" ht="13.5" customHeight="1">
      <c r="A920" s="12" t="s">
        <v>311</v>
      </c>
      <c r="B920" s="12" t="s">
        <v>312</v>
      </c>
      <c r="C920" s="779">
        <v>2675000</v>
      </c>
      <c r="D920" s="276"/>
      <c r="E920" s="286"/>
      <c r="F920" s="624"/>
      <c r="I920" s="294"/>
    </row>
    <row r="921" ht="13.5">
      <c r="F921" s="800"/>
    </row>
  </sheetData>
  <sheetProtection sheet="1" objects="1" scenarios="1" sort="0" autoFilter="0"/>
  <mergeCells count="76">
    <mergeCell ref="A843:B843"/>
    <mergeCell ref="A818:E823"/>
    <mergeCell ref="A762:C763"/>
    <mergeCell ref="A764:E766"/>
    <mergeCell ref="A774:B774"/>
    <mergeCell ref="A792:B792"/>
    <mergeCell ref="A807:B807"/>
    <mergeCell ref="A672:B672"/>
    <mergeCell ref="A680:B680"/>
    <mergeCell ref="A652:B652"/>
    <mergeCell ref="A746:B746"/>
    <mergeCell ref="A751:B751"/>
    <mergeCell ref="A830:B830"/>
    <mergeCell ref="A690:B691"/>
    <mergeCell ref="A692:D697"/>
    <mergeCell ref="A704:B704"/>
    <mergeCell ref="A731:B731"/>
    <mergeCell ref="A577:B577"/>
    <mergeCell ref="A593:B593"/>
    <mergeCell ref="A598:B598"/>
    <mergeCell ref="A606:C607"/>
    <mergeCell ref="A608:E614"/>
    <mergeCell ref="A621:B621"/>
    <mergeCell ref="A511:B511"/>
    <mergeCell ref="A528:B528"/>
    <mergeCell ref="A533:B533"/>
    <mergeCell ref="A541:C542"/>
    <mergeCell ref="A543:E548"/>
    <mergeCell ref="A555:B555"/>
    <mergeCell ref="A357:E362"/>
    <mergeCell ref="A369:B369"/>
    <mergeCell ref="A393:B393"/>
    <mergeCell ref="A408:B408"/>
    <mergeCell ref="A419:E430"/>
    <mergeCell ref="A437:B437"/>
    <mergeCell ref="A217:C218"/>
    <mergeCell ref="A219:E226"/>
    <mergeCell ref="A233:B233"/>
    <mergeCell ref="A257:B257"/>
    <mergeCell ref="A285:E290"/>
    <mergeCell ref="A274:B274"/>
    <mergeCell ref="A115:B115"/>
    <mergeCell ref="A132:B132"/>
    <mergeCell ref="A144:B144"/>
    <mergeCell ref="A153:C154"/>
    <mergeCell ref="A155:E166"/>
    <mergeCell ref="A173:B173"/>
    <mergeCell ref="A4:C5"/>
    <mergeCell ref="A6:E15"/>
    <mergeCell ref="A22:B22"/>
    <mergeCell ref="A45:B45"/>
    <mergeCell ref="A67:B67"/>
    <mergeCell ref="A85:B85"/>
    <mergeCell ref="A905:B905"/>
    <mergeCell ref="A918:B918"/>
    <mergeCell ref="A857:C858"/>
    <mergeCell ref="A859:E859"/>
    <mergeCell ref="A866:B866"/>
    <mergeCell ref="A876:B876"/>
    <mergeCell ref="A888:B888"/>
    <mergeCell ref="A453:B453"/>
    <mergeCell ref="A469:B469"/>
    <mergeCell ref="A475:B475"/>
    <mergeCell ref="A482:C483"/>
    <mergeCell ref="A484:E488"/>
    <mergeCell ref="A495:B495"/>
    <mergeCell ref="A90:B90"/>
    <mergeCell ref="A99:C100"/>
    <mergeCell ref="A297:B297"/>
    <mergeCell ref="A323:B323"/>
    <mergeCell ref="A341:B341"/>
    <mergeCell ref="A345:B345"/>
    <mergeCell ref="A191:B191"/>
    <mergeCell ref="A202:B202"/>
    <mergeCell ref="A209:B209"/>
    <mergeCell ref="A101:E108"/>
  </mergeCell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sheetPr>
    <tabColor theme="9" tint="-0.24997000396251678"/>
  </sheetPr>
  <dimension ref="A1:IU1974"/>
  <sheetViews>
    <sheetView zoomScalePageLayoutView="0" workbookViewId="0" topLeftCell="A1">
      <selection activeCell="G11" sqref="G11"/>
    </sheetView>
  </sheetViews>
  <sheetFormatPr defaultColWidth="11.421875" defaultRowHeight="12.75"/>
  <cols>
    <col min="1" max="1" width="9.7109375" style="238" customWidth="1"/>
    <col min="2" max="2" width="46.7109375" style="238" customWidth="1"/>
    <col min="3" max="3" width="14.57421875" style="239" customWidth="1"/>
    <col min="4" max="4" width="11.421875" style="238" customWidth="1"/>
    <col min="5" max="5" width="12.8515625" style="240" customWidth="1"/>
    <col min="6" max="6" width="15.57421875" style="152" customWidth="1"/>
    <col min="7" max="11" width="12.7109375" style="151" customWidth="1"/>
  </cols>
  <sheetData>
    <row r="1" spans="1:11" s="186" customFormat="1" ht="12.75" customHeight="1">
      <c r="A1" s="525"/>
      <c r="B1" s="782" t="s">
        <v>1012</v>
      </c>
      <c r="C1" s="180"/>
      <c r="D1" s="181"/>
      <c r="E1" s="182"/>
      <c r="F1" s="796"/>
      <c r="G1" s="184"/>
      <c r="H1" s="185"/>
      <c r="I1" s="185"/>
      <c r="J1" s="185"/>
      <c r="K1" s="185"/>
    </row>
    <row r="2" spans="1:11" s="186" customFormat="1" ht="12.75" customHeight="1">
      <c r="A2" s="182"/>
      <c r="B2" s="182"/>
      <c r="C2" s="180"/>
      <c r="D2" s="181"/>
      <c r="E2" s="182"/>
      <c r="F2" s="183"/>
      <c r="G2" s="184"/>
      <c r="H2" s="185"/>
      <c r="I2" s="185"/>
      <c r="J2" s="185"/>
      <c r="K2" s="185"/>
    </row>
    <row r="3" spans="1:11" s="175" customFormat="1" ht="12.75" customHeight="1" thickBot="1">
      <c r="A3" s="12"/>
      <c r="B3" s="12"/>
      <c r="C3" s="138"/>
      <c r="D3" s="70"/>
      <c r="E3" s="187"/>
      <c r="F3" s="188"/>
      <c r="G3" s="176"/>
      <c r="H3" s="176"/>
      <c r="I3" s="176"/>
      <c r="J3" s="176"/>
      <c r="K3" s="176"/>
    </row>
    <row r="4" spans="1:11" s="191" customFormat="1" ht="13.5" customHeight="1">
      <c r="A4" s="988" t="s">
        <v>916</v>
      </c>
      <c r="B4" s="1009"/>
      <c r="C4" s="989"/>
      <c r="D4" s="666" t="s">
        <v>6</v>
      </c>
      <c r="E4" s="761">
        <v>1501</v>
      </c>
      <c r="F4" s="189"/>
      <c r="G4" s="190"/>
      <c r="H4" s="190"/>
      <c r="I4" s="190"/>
      <c r="J4" s="190"/>
      <c r="K4" s="190"/>
    </row>
    <row r="5" spans="1:11" s="191" customFormat="1" ht="13.5" customHeight="1" thickBot="1">
      <c r="A5" s="990"/>
      <c r="B5" s="1010"/>
      <c r="C5" s="991"/>
      <c r="D5" s="667"/>
      <c r="E5" s="656"/>
      <c r="F5" s="189"/>
      <c r="G5" s="190"/>
      <c r="H5" s="190"/>
      <c r="I5" s="190"/>
      <c r="J5" s="190"/>
      <c r="K5" s="190"/>
    </row>
    <row r="6" spans="1:11" s="191" customFormat="1" ht="13.5" customHeight="1">
      <c r="A6" s="979" t="s">
        <v>917</v>
      </c>
      <c r="B6" s="980"/>
      <c r="C6" s="980"/>
      <c r="D6" s="980"/>
      <c r="E6" s="981"/>
      <c r="F6" s="9"/>
      <c r="G6" s="147"/>
      <c r="H6" s="147"/>
      <c r="I6" s="147"/>
      <c r="J6" s="147"/>
      <c r="K6" s="147"/>
    </row>
    <row r="7" spans="1:11" s="191" customFormat="1" ht="13.5" customHeight="1">
      <c r="A7" s="982"/>
      <c r="B7" s="983"/>
      <c r="C7" s="983"/>
      <c r="D7" s="983"/>
      <c r="E7" s="984"/>
      <c r="F7" s="9"/>
      <c r="G7" s="147"/>
      <c r="H7" s="147"/>
      <c r="I7" s="147"/>
      <c r="J7" s="147"/>
      <c r="K7" s="147"/>
    </row>
    <row r="8" spans="1:11" s="191" customFormat="1" ht="13.5" customHeight="1">
      <c r="A8" s="982"/>
      <c r="B8" s="983"/>
      <c r="C8" s="983"/>
      <c r="D8" s="983"/>
      <c r="E8" s="984"/>
      <c r="F8" s="9"/>
      <c r="G8" s="147"/>
      <c r="H8" s="147"/>
      <c r="I8" s="147"/>
      <c r="J8" s="147"/>
      <c r="K8" s="147"/>
    </row>
    <row r="9" spans="1:11" s="191" customFormat="1" ht="13.5" customHeight="1">
      <c r="A9" s="982"/>
      <c r="B9" s="983"/>
      <c r="C9" s="983"/>
      <c r="D9" s="983"/>
      <c r="E9" s="984"/>
      <c r="F9" s="9"/>
      <c r="G9" s="147"/>
      <c r="H9" s="147"/>
      <c r="I9" s="147"/>
      <c r="J9" s="147"/>
      <c r="K9" s="147"/>
    </row>
    <row r="10" spans="1:11" s="191" customFormat="1" ht="13.5" customHeight="1" thickBot="1">
      <c r="A10" s="985"/>
      <c r="B10" s="986"/>
      <c r="C10" s="986"/>
      <c r="D10" s="986"/>
      <c r="E10" s="987"/>
      <c r="F10" s="9"/>
      <c r="G10" s="147"/>
      <c r="H10" s="147"/>
      <c r="I10" s="147"/>
      <c r="J10" s="147"/>
      <c r="K10" s="147"/>
    </row>
    <row r="11" spans="1:11" s="191" customFormat="1" ht="13.5" customHeight="1">
      <c r="A11" s="116" t="s">
        <v>809</v>
      </c>
      <c r="B11" s="167"/>
      <c r="C11" s="166"/>
      <c r="D11" s="760"/>
      <c r="E11" s="164"/>
      <c r="F11" s="9"/>
      <c r="G11" s="147"/>
      <c r="H11" s="147"/>
      <c r="I11" s="147"/>
      <c r="J11" s="147"/>
      <c r="K11" s="147"/>
    </row>
    <row r="12" spans="1:11" s="191" customFormat="1" ht="13.5" customHeight="1">
      <c r="A12" s="40" t="s">
        <v>565</v>
      </c>
      <c r="B12" s="12"/>
      <c r="C12" s="138"/>
      <c r="D12" s="70"/>
      <c r="E12" s="136"/>
      <c r="F12" s="9"/>
      <c r="G12" s="147"/>
      <c r="H12" s="147"/>
      <c r="I12" s="147"/>
      <c r="J12" s="147"/>
      <c r="K12" s="147"/>
    </row>
    <row r="13" spans="1:11" s="191" customFormat="1" ht="13.5" customHeight="1">
      <c r="A13" s="40" t="s">
        <v>585</v>
      </c>
      <c r="B13" s="12"/>
      <c r="C13" s="138"/>
      <c r="D13" s="70"/>
      <c r="E13" s="136"/>
      <c r="F13" s="9"/>
      <c r="G13" s="147"/>
      <c r="H13" s="147"/>
      <c r="I13" s="147"/>
      <c r="J13" s="147"/>
      <c r="K13" s="147"/>
    </row>
    <row r="14" spans="1:11" s="191" customFormat="1" ht="13.5" customHeight="1" thickBot="1">
      <c r="A14" s="75" t="s">
        <v>11</v>
      </c>
      <c r="B14" s="135"/>
      <c r="C14" s="134"/>
      <c r="D14" s="427"/>
      <c r="E14" s="132"/>
      <c r="F14" s="9"/>
      <c r="G14" s="147"/>
      <c r="H14" s="147"/>
      <c r="I14" s="147"/>
      <c r="J14" s="147"/>
      <c r="K14" s="147"/>
    </row>
    <row r="15" spans="1:11" s="191" customFormat="1" ht="13.5" customHeight="1" thickBot="1">
      <c r="A15" s="697" t="s">
        <v>221</v>
      </c>
      <c r="B15" s="698"/>
      <c r="C15" s="721"/>
      <c r="D15" s="722"/>
      <c r="E15" s="723">
        <f>C17+C40+C62+C82+C91</f>
        <v>166344549</v>
      </c>
      <c r="F15" s="9"/>
      <c r="G15" s="147"/>
      <c r="H15" s="207"/>
      <c r="I15" s="147"/>
      <c r="J15" s="147"/>
      <c r="K15" s="147"/>
    </row>
    <row r="16" spans="1:11" s="146" customFormat="1" ht="13.5" customHeight="1" thickBot="1">
      <c r="A16" s="11"/>
      <c r="B16" s="11"/>
      <c r="C16" s="138"/>
      <c r="D16" s="70"/>
      <c r="E16" s="70"/>
      <c r="F16" s="9"/>
      <c r="G16" s="147"/>
      <c r="H16" s="147"/>
      <c r="I16" s="147"/>
      <c r="J16" s="147"/>
      <c r="K16" s="147"/>
    </row>
    <row r="17" spans="1:11" s="193" customFormat="1" ht="13.5" customHeight="1" thickBot="1">
      <c r="A17" s="1095" t="s">
        <v>1</v>
      </c>
      <c r="B17" s="1096"/>
      <c r="C17" s="601">
        <f>C18+C25+C32</f>
        <v>164165389</v>
      </c>
      <c r="D17" s="553"/>
      <c r="E17" s="829"/>
      <c r="F17" s="554"/>
      <c r="G17" s="192"/>
      <c r="H17" s="147"/>
      <c r="I17" s="147"/>
      <c r="J17" s="147"/>
      <c r="K17" s="147"/>
    </row>
    <row r="18" spans="1:6" s="8" customFormat="1" ht="12.75" customHeight="1">
      <c r="A18" s="11" t="s">
        <v>97</v>
      </c>
      <c r="B18" s="199" t="s">
        <v>98</v>
      </c>
      <c r="C18" s="63">
        <f>SUM(C19:C24)</f>
        <v>82718828</v>
      </c>
      <c r="D18" s="22"/>
      <c r="E18" s="31"/>
      <c r="F18" s="98"/>
    </row>
    <row r="19" spans="1:6" s="8" customFormat="1" ht="12.75" customHeight="1">
      <c r="A19" s="12" t="s">
        <v>23</v>
      </c>
      <c r="B19" s="24" t="s">
        <v>20</v>
      </c>
      <c r="C19" s="24">
        <f>60203338+3604008+10594217-10000000</f>
        <v>64401563</v>
      </c>
      <c r="D19" s="22"/>
      <c r="E19" s="31"/>
      <c r="F19" s="98"/>
    </row>
    <row r="20" spans="1:6" s="8" customFormat="1" ht="12.75" customHeight="1">
      <c r="A20" s="12" t="s">
        <v>24</v>
      </c>
      <c r="B20" s="24" t="s">
        <v>22</v>
      </c>
      <c r="C20" s="24">
        <f>9417082+2648555+2542</f>
        <v>12068179</v>
      </c>
      <c r="D20" s="22"/>
      <c r="E20" s="25"/>
      <c r="F20" s="194"/>
    </row>
    <row r="21" spans="1:6" s="8" customFormat="1" ht="12.75" customHeight="1">
      <c r="A21" s="12" t="s">
        <v>25</v>
      </c>
      <c r="B21" s="24" t="s">
        <v>76</v>
      </c>
      <c r="C21" s="24">
        <f>55000+1741848</f>
        <v>1796848</v>
      </c>
      <c r="D21" s="22"/>
      <c r="E21" s="25"/>
      <c r="F21" s="194"/>
    </row>
    <row r="22" spans="1:6" s="8" customFormat="1" ht="12.75" customHeight="1">
      <c r="A22" s="12" t="s">
        <v>26</v>
      </c>
      <c r="B22" s="24" t="s">
        <v>77</v>
      </c>
      <c r="C22" s="24">
        <v>1</v>
      </c>
      <c r="D22" s="22"/>
      <c r="E22" s="25"/>
      <c r="F22" s="194"/>
    </row>
    <row r="23" spans="1:6" s="8" customFormat="1" ht="12.75" customHeight="1">
      <c r="A23" s="12" t="s">
        <v>27</v>
      </c>
      <c r="B23" s="24" t="s">
        <v>21</v>
      </c>
      <c r="C23" s="24">
        <f>1144212+90304</f>
        <v>1234516</v>
      </c>
      <c r="D23" s="22"/>
      <c r="E23" s="25"/>
      <c r="F23" s="194"/>
    </row>
    <row r="24" spans="1:6" s="8" customFormat="1" ht="12.75" customHeight="1">
      <c r="A24" s="12" t="s">
        <v>28</v>
      </c>
      <c r="B24" s="24" t="s">
        <v>19</v>
      </c>
      <c r="C24" s="24">
        <f>2968625+75800+31224+142072</f>
        <v>3217721</v>
      </c>
      <c r="D24" s="22"/>
      <c r="E24" s="25"/>
      <c r="F24" s="194"/>
    </row>
    <row r="25" spans="1:6" s="8" customFormat="1" ht="12.75" customHeight="1">
      <c r="A25" s="11" t="s">
        <v>99</v>
      </c>
      <c r="B25" s="31" t="s">
        <v>100</v>
      </c>
      <c r="C25" s="31">
        <f>SUM(C26:C31)</f>
        <v>27791336</v>
      </c>
      <c r="D25" s="22"/>
      <c r="E25" s="25"/>
      <c r="F25" s="194"/>
    </row>
    <row r="26" spans="1:6" s="9" customFormat="1" ht="12.75" customHeight="1">
      <c r="A26" s="12" t="s">
        <v>30</v>
      </c>
      <c r="B26" s="24" t="s">
        <v>78</v>
      </c>
      <c r="C26" s="24">
        <f>4050586+1188188+22229409-5000000</f>
        <v>22468183</v>
      </c>
      <c r="D26" s="22"/>
      <c r="E26" s="25"/>
      <c r="F26" s="195"/>
    </row>
    <row r="27" spans="1:6" s="9" customFormat="1" ht="12.75" customHeight="1">
      <c r="A27" s="12" t="s">
        <v>31</v>
      </c>
      <c r="B27" s="24" t="s">
        <v>79</v>
      </c>
      <c r="C27" s="24">
        <f>2541+1012648+3605219</f>
        <v>4620408</v>
      </c>
      <c r="D27" s="22"/>
      <c r="E27" s="25"/>
      <c r="F27" s="195"/>
    </row>
    <row r="28" spans="1:6" s="9" customFormat="1" ht="12.75" customHeight="1">
      <c r="A28" s="12" t="s">
        <v>32</v>
      </c>
      <c r="B28" s="24" t="s">
        <v>80</v>
      </c>
      <c r="C28" s="24">
        <v>632949</v>
      </c>
      <c r="D28" s="22"/>
      <c r="E28" s="25"/>
      <c r="F28" s="195"/>
    </row>
    <row r="29" spans="1:6" s="9" customFormat="1" ht="12.75" customHeight="1">
      <c r="A29" s="12" t="s">
        <v>33</v>
      </c>
      <c r="B29" s="24" t="s">
        <v>81</v>
      </c>
      <c r="C29" s="24">
        <v>1</v>
      </c>
      <c r="D29" s="22"/>
      <c r="E29" s="25"/>
      <c r="F29" s="195"/>
    </row>
    <row r="30" spans="1:5" s="9" customFormat="1" ht="12.75" customHeight="1">
      <c r="A30" s="12" t="s">
        <v>34</v>
      </c>
      <c r="B30" s="24" t="s">
        <v>29</v>
      </c>
      <c r="C30" s="24">
        <f>2822+66972</f>
        <v>69794</v>
      </c>
      <c r="D30" s="22"/>
      <c r="E30" s="25"/>
    </row>
    <row r="31" spans="1:8" s="8" customFormat="1" ht="12.75" customHeight="1">
      <c r="A31" s="12" t="s">
        <v>83</v>
      </c>
      <c r="B31" s="24" t="s">
        <v>82</v>
      </c>
      <c r="C31" s="24">
        <v>1</v>
      </c>
      <c r="D31" s="22"/>
      <c r="E31" s="25"/>
      <c r="F31" s="42"/>
      <c r="G31" s="42"/>
      <c r="H31" s="42"/>
    </row>
    <row r="32" spans="1:6" s="8" customFormat="1" ht="12.75" customHeight="1">
      <c r="A32" s="11" t="s">
        <v>101</v>
      </c>
      <c r="B32" s="31" t="s">
        <v>102</v>
      </c>
      <c r="C32" s="31">
        <f>SUM(C33:C38)</f>
        <v>53655225</v>
      </c>
      <c r="D32" s="22"/>
      <c r="E32" s="25"/>
      <c r="F32" s="194"/>
    </row>
    <row r="33" spans="1:6" s="9" customFormat="1" ht="12.75" customHeight="1">
      <c r="A33" s="12" t="s">
        <v>39</v>
      </c>
      <c r="B33" s="24" t="s">
        <v>35</v>
      </c>
      <c r="C33" s="24">
        <f>39464954+2055056+6902621-5000000</f>
        <v>43422631</v>
      </c>
      <c r="D33" s="22"/>
      <c r="E33" s="25"/>
      <c r="F33" s="195"/>
    </row>
    <row r="34" spans="1:6" s="9" customFormat="1" ht="12.75" customHeight="1">
      <c r="A34" s="12" t="s">
        <v>40</v>
      </c>
      <c r="B34" s="24" t="s">
        <v>37</v>
      </c>
      <c r="C34" s="24">
        <f>6138921+1726280</f>
        <v>7865201</v>
      </c>
      <c r="D34" s="22"/>
      <c r="E34" s="25"/>
      <c r="F34" s="195"/>
    </row>
    <row r="35" spans="1:5" s="9" customFormat="1" ht="12.75" customHeight="1">
      <c r="A35" s="12" t="s">
        <v>41</v>
      </c>
      <c r="B35" s="24" t="s">
        <v>84</v>
      </c>
      <c r="C35" s="24">
        <v>1122467</v>
      </c>
      <c r="D35" s="22"/>
      <c r="E35" s="25"/>
    </row>
    <row r="36" spans="1:6" s="8" customFormat="1" ht="12.75" customHeight="1">
      <c r="A36" s="12" t="s">
        <v>42</v>
      </c>
      <c r="B36" s="24" t="s">
        <v>85</v>
      </c>
      <c r="C36" s="24">
        <v>1</v>
      </c>
      <c r="D36" s="22"/>
      <c r="E36" s="25"/>
      <c r="F36" s="194"/>
    </row>
    <row r="37" spans="1:6" s="8" customFormat="1" ht="12.75" customHeight="1">
      <c r="A37" s="12" t="s">
        <v>43</v>
      </c>
      <c r="B37" s="24" t="s">
        <v>36</v>
      </c>
      <c r="C37" s="24">
        <f>53072+1191852</f>
        <v>1244924</v>
      </c>
      <c r="D37" s="22"/>
      <c r="E37" s="25"/>
      <c r="F37" s="194"/>
    </row>
    <row r="38" spans="1:6" s="9" customFormat="1" ht="12.75" customHeight="1">
      <c r="A38" s="12" t="s">
        <v>44</v>
      </c>
      <c r="B38" s="24" t="s">
        <v>38</v>
      </c>
      <c r="C38" s="24">
        <v>1</v>
      </c>
      <c r="D38" s="22"/>
      <c r="E38" s="25"/>
      <c r="F38" s="195"/>
    </row>
    <row r="39" spans="1:11" s="193" customFormat="1" ht="13.5" customHeight="1" thickBot="1">
      <c r="A39" s="12"/>
      <c r="B39" s="12"/>
      <c r="C39" s="24"/>
      <c r="D39" s="24"/>
      <c r="E39" s="70"/>
      <c r="F39" s="9"/>
      <c r="G39" s="147"/>
      <c r="H39" s="147"/>
      <c r="I39" s="147"/>
      <c r="J39" s="147"/>
      <c r="K39" s="147"/>
    </row>
    <row r="40" spans="1:11" s="193" customFormat="1" ht="13.5" customHeight="1" thickBot="1">
      <c r="A40" s="992" t="s">
        <v>2</v>
      </c>
      <c r="B40" s="993"/>
      <c r="C40" s="602">
        <f>+C41+C43+C45+C47+C53+C56</f>
        <v>632170</v>
      </c>
      <c r="D40" s="803"/>
      <c r="E40" s="71"/>
      <c r="F40" s="9"/>
      <c r="G40" s="147"/>
      <c r="H40" s="196"/>
      <c r="I40" s="147"/>
      <c r="J40" s="147"/>
      <c r="K40" s="147"/>
    </row>
    <row r="41" spans="1:11" s="198" customFormat="1" ht="13.5" customHeight="1">
      <c r="A41" s="11" t="s">
        <v>103</v>
      </c>
      <c r="B41" s="281" t="s">
        <v>104</v>
      </c>
      <c r="C41" s="32">
        <f>SUM(C42)</f>
        <v>130100</v>
      </c>
      <c r="D41" s="849"/>
      <c r="E41" s="100"/>
      <c r="F41" s="150"/>
      <c r="G41" s="149"/>
      <c r="H41" s="197"/>
      <c r="I41" s="149"/>
      <c r="J41" s="149"/>
      <c r="K41" s="149"/>
    </row>
    <row r="42" spans="1:7" s="42" customFormat="1" ht="13.5" customHeight="1">
      <c r="A42" s="12" t="s">
        <v>46</v>
      </c>
      <c r="B42" s="8" t="s">
        <v>45</v>
      </c>
      <c r="C42" s="24">
        <v>130100</v>
      </c>
      <c r="D42" s="22"/>
      <c r="E42" s="31"/>
      <c r="G42" s="54"/>
    </row>
    <row r="43" spans="1:7" s="42" customFormat="1" ht="13.5" customHeight="1">
      <c r="A43" s="11" t="s">
        <v>105</v>
      </c>
      <c r="B43" s="502" t="s">
        <v>106</v>
      </c>
      <c r="C43" s="31">
        <f>SUM(C44:C44)</f>
        <v>24000</v>
      </c>
      <c r="D43" s="22"/>
      <c r="E43" s="31"/>
      <c r="G43" s="54"/>
    </row>
    <row r="44" spans="1:7" s="42" customFormat="1" ht="13.5" customHeight="1">
      <c r="A44" s="12" t="s">
        <v>86</v>
      </c>
      <c r="B44" s="8" t="s">
        <v>66</v>
      </c>
      <c r="C44" s="24">
        <v>24000</v>
      </c>
      <c r="D44" s="22"/>
      <c r="E44" s="31"/>
      <c r="G44" s="54"/>
    </row>
    <row r="45" spans="1:7" s="42" customFormat="1" ht="13.5" customHeight="1">
      <c r="A45" s="11" t="s">
        <v>107</v>
      </c>
      <c r="B45" s="502" t="s">
        <v>108</v>
      </c>
      <c r="C45" s="31">
        <f>SUM(C46)</f>
        <v>134760</v>
      </c>
      <c r="D45" s="22"/>
      <c r="E45" s="31"/>
      <c r="G45" s="54"/>
    </row>
    <row r="46" spans="1:8" s="8" customFormat="1" ht="13.5" customHeight="1">
      <c r="A46" s="12" t="s">
        <v>47</v>
      </c>
      <c r="B46" s="23" t="s">
        <v>48</v>
      </c>
      <c r="C46" s="24">
        <v>134760</v>
      </c>
      <c r="D46" s="77"/>
      <c r="E46" s="25"/>
      <c r="F46" s="98"/>
      <c r="G46" s="54"/>
      <c r="H46" s="42"/>
    </row>
    <row r="47" spans="1:8" s="71" customFormat="1" ht="13.5" customHeight="1">
      <c r="A47" s="249" t="s">
        <v>119</v>
      </c>
      <c r="B47" s="25" t="s">
        <v>109</v>
      </c>
      <c r="C47" s="31">
        <f>SUM(C48:C52)</f>
        <v>117640</v>
      </c>
      <c r="D47" s="77"/>
      <c r="E47" s="25"/>
      <c r="F47" s="100"/>
      <c r="G47" s="95"/>
      <c r="H47" s="12"/>
    </row>
    <row r="48" spans="1:8" s="71" customFormat="1" ht="13.5" customHeight="1">
      <c r="A48" s="71" t="s">
        <v>149</v>
      </c>
      <c r="B48" s="23" t="s">
        <v>338</v>
      </c>
      <c r="C48" s="24">
        <v>10200</v>
      </c>
      <c r="D48" s="21"/>
      <c r="E48" s="21"/>
      <c r="F48" s="5"/>
      <c r="G48" s="333"/>
      <c r="H48" s="119"/>
    </row>
    <row r="49" spans="1:8" s="71" customFormat="1" ht="13.5" customHeight="1">
      <c r="A49" s="71" t="s">
        <v>641</v>
      </c>
      <c r="B49" s="42" t="s">
        <v>640</v>
      </c>
      <c r="C49" s="24">
        <v>11440</v>
      </c>
      <c r="D49" s="21"/>
      <c r="E49" s="21"/>
      <c r="F49" s="5"/>
      <c r="G49" s="333"/>
      <c r="H49" s="119"/>
    </row>
    <row r="50" spans="1:5" s="65" customFormat="1" ht="13.5">
      <c r="A50" s="71" t="s">
        <v>758</v>
      </c>
      <c r="B50" s="24" t="s">
        <v>753</v>
      </c>
      <c r="C50" s="24">
        <v>23000</v>
      </c>
      <c r="D50" s="77"/>
      <c r="E50" s="25"/>
    </row>
    <row r="51" spans="1:5" s="65" customFormat="1" ht="13.5">
      <c r="A51" s="71" t="s">
        <v>762</v>
      </c>
      <c r="B51" s="24" t="s">
        <v>763</v>
      </c>
      <c r="C51" s="24">
        <v>55000</v>
      </c>
      <c r="D51" s="77"/>
      <c r="E51" s="25"/>
    </row>
    <row r="52" spans="1:5" s="65" customFormat="1" ht="13.5">
      <c r="A52" s="71" t="s">
        <v>754</v>
      </c>
      <c r="B52" s="24" t="s">
        <v>755</v>
      </c>
      <c r="C52" s="24">
        <v>18000</v>
      </c>
      <c r="D52" s="77"/>
      <c r="E52" s="25"/>
    </row>
    <row r="53" spans="1:8" s="71" customFormat="1" ht="13.5" customHeight="1">
      <c r="A53" s="249" t="s">
        <v>124</v>
      </c>
      <c r="B53" s="25" t="s">
        <v>123</v>
      </c>
      <c r="C53" s="31">
        <f>SUM(C54:C55)</f>
        <v>56310</v>
      </c>
      <c r="D53" s="21"/>
      <c r="E53" s="21"/>
      <c r="F53" s="5"/>
      <c r="G53" s="333"/>
      <c r="H53" s="119"/>
    </row>
    <row r="54" spans="1:5" s="65" customFormat="1" ht="13.5">
      <c r="A54" s="12" t="s">
        <v>231</v>
      </c>
      <c r="B54" s="42" t="s">
        <v>230</v>
      </c>
      <c r="C54" s="24">
        <v>34000</v>
      </c>
      <c r="D54" s="56"/>
      <c r="E54" s="56"/>
    </row>
    <row r="55" spans="1:8" s="71" customFormat="1" ht="13.5" customHeight="1">
      <c r="A55" s="71" t="s">
        <v>93</v>
      </c>
      <c r="B55" s="23" t="s">
        <v>72</v>
      </c>
      <c r="C55" s="24">
        <v>22310</v>
      </c>
      <c r="D55" s="21"/>
      <c r="E55" s="21"/>
      <c r="F55" s="5"/>
      <c r="G55" s="333"/>
      <c r="H55" s="119"/>
    </row>
    <row r="56" spans="1:6" s="65" customFormat="1" ht="13.5">
      <c r="A56" s="249" t="s">
        <v>150</v>
      </c>
      <c r="B56" s="25" t="s">
        <v>133</v>
      </c>
      <c r="C56" s="63">
        <f>SUM(C57:C60)</f>
        <v>169360</v>
      </c>
      <c r="D56" s="67"/>
      <c r="E56" s="67"/>
      <c r="F56" s="69"/>
    </row>
    <row r="57" spans="1:8" s="8" customFormat="1" ht="13.5" customHeight="1">
      <c r="A57" s="71" t="s">
        <v>151</v>
      </c>
      <c r="B57" s="23" t="s">
        <v>65</v>
      </c>
      <c r="C57" s="24">
        <v>12540</v>
      </c>
      <c r="D57" s="77"/>
      <c r="E57" s="25"/>
      <c r="F57" s="98"/>
      <c r="G57" s="54"/>
      <c r="H57" s="42"/>
    </row>
    <row r="58" spans="1:8" s="8" customFormat="1" ht="13.5" customHeight="1">
      <c r="A58" s="71" t="s">
        <v>152</v>
      </c>
      <c r="B58" s="23" t="s">
        <v>70</v>
      </c>
      <c r="C58" s="24">
        <v>36360</v>
      </c>
      <c r="D58" s="77"/>
      <c r="E58" s="25"/>
      <c r="F58" s="98"/>
      <c r="G58" s="54"/>
      <c r="H58" s="42"/>
    </row>
    <row r="59" spans="1:8" s="8" customFormat="1" ht="13.5" customHeight="1">
      <c r="A59" s="71" t="s">
        <v>154</v>
      </c>
      <c r="B59" s="23" t="s">
        <v>133</v>
      </c>
      <c r="C59" s="24">
        <v>40460</v>
      </c>
      <c r="D59" s="77"/>
      <c r="E59" s="25"/>
      <c r="F59" s="199"/>
      <c r="G59" s="54"/>
      <c r="H59" s="73"/>
    </row>
    <row r="60" spans="1:6" s="65" customFormat="1" ht="13.5">
      <c r="A60" s="71" t="s">
        <v>643</v>
      </c>
      <c r="B60" s="42" t="s">
        <v>642</v>
      </c>
      <c r="C60" s="59">
        <v>80000</v>
      </c>
      <c r="D60" s="67"/>
      <c r="E60" s="67"/>
      <c r="F60" s="67"/>
    </row>
    <row r="61" spans="1:11" s="193" customFormat="1" ht="13.5" customHeight="1" thickBot="1">
      <c r="A61" s="71"/>
      <c r="B61" s="200"/>
      <c r="C61" s="23"/>
      <c r="D61" s="127"/>
      <c r="E61" s="71"/>
      <c r="F61" s="9"/>
      <c r="G61" s="147"/>
      <c r="H61" s="147"/>
      <c r="I61" s="147"/>
      <c r="J61" s="147"/>
      <c r="K61" s="147"/>
    </row>
    <row r="62" spans="1:11" s="193" customFormat="1" ht="13.5" customHeight="1" thickBot="1">
      <c r="A62" s="994" t="s">
        <v>3</v>
      </c>
      <c r="B62" s="995"/>
      <c r="C62" s="603">
        <f>C63+C65+C68+C71+C73+C75</f>
        <v>951310</v>
      </c>
      <c r="D62" s="71"/>
      <c r="E62" s="71"/>
      <c r="F62" s="9"/>
      <c r="G62" s="147"/>
      <c r="H62" s="147"/>
      <c r="I62" s="196"/>
      <c r="J62" s="147"/>
      <c r="K62" s="147"/>
    </row>
    <row r="63" spans="1:11" s="198" customFormat="1" ht="13.5" customHeight="1">
      <c r="A63" s="62" t="s">
        <v>110</v>
      </c>
      <c r="B63" s="281" t="s">
        <v>111</v>
      </c>
      <c r="C63" s="32">
        <f>SUM(C64:C64)</f>
        <v>85420</v>
      </c>
      <c r="D63" s="100"/>
      <c r="E63" s="100"/>
      <c r="F63" s="150"/>
      <c r="G63" s="149"/>
      <c r="H63" s="149"/>
      <c r="I63" s="197"/>
      <c r="J63" s="149"/>
      <c r="K63" s="149"/>
    </row>
    <row r="64" spans="1:8" s="8" customFormat="1" ht="13.5" customHeight="1">
      <c r="A64" s="58" t="s">
        <v>52</v>
      </c>
      <c r="B64" s="58" t="s">
        <v>15</v>
      </c>
      <c r="C64" s="24">
        <v>85420</v>
      </c>
      <c r="F64" s="83"/>
      <c r="G64" s="25"/>
      <c r="H64" s="42"/>
    </row>
    <row r="65" spans="1:8" s="8" customFormat="1" ht="13.5" customHeight="1">
      <c r="A65" s="62" t="s">
        <v>120</v>
      </c>
      <c r="B65" s="62" t="s">
        <v>121</v>
      </c>
      <c r="C65" s="31">
        <f>SUM(C66:C67)</f>
        <v>35310</v>
      </c>
      <c r="F65" s="83"/>
      <c r="G65" s="25"/>
      <c r="H65" s="42"/>
    </row>
    <row r="66" spans="1:8" s="8" customFormat="1" ht="13.5" customHeight="1">
      <c r="A66" s="58" t="s">
        <v>235</v>
      </c>
      <c r="B66" s="42" t="s">
        <v>236</v>
      </c>
      <c r="C66" s="24">
        <v>10200</v>
      </c>
      <c r="F66" s="83"/>
      <c r="G66" s="25"/>
      <c r="H66" s="42"/>
    </row>
    <row r="67" spans="1:8" s="8" customFormat="1" ht="13.5" customHeight="1">
      <c r="A67" s="58" t="s">
        <v>136</v>
      </c>
      <c r="B67" s="58" t="s">
        <v>71</v>
      </c>
      <c r="C67" s="24">
        <v>25110</v>
      </c>
      <c r="F67" s="77"/>
      <c r="G67" s="25"/>
      <c r="H67" s="54"/>
    </row>
    <row r="68" spans="1:8" s="8" customFormat="1" ht="13.5" customHeight="1">
      <c r="A68" s="11" t="s">
        <v>112</v>
      </c>
      <c r="B68" s="62" t="s">
        <v>156</v>
      </c>
      <c r="C68" s="31">
        <f>SUM(C69:C70)</f>
        <v>259000</v>
      </c>
      <c r="F68" s="83"/>
      <c r="G68" s="25"/>
      <c r="H68" s="42"/>
    </row>
    <row r="69" spans="1:7" s="55" customFormat="1" ht="13.5">
      <c r="A69" s="12" t="s">
        <v>138</v>
      </c>
      <c r="B69" s="58" t="s">
        <v>810</v>
      </c>
      <c r="C69" s="59">
        <v>9000</v>
      </c>
      <c r="F69" s="63"/>
      <c r="G69" s="56"/>
    </row>
    <row r="70" spans="1:7" s="55" customFormat="1" ht="13.5">
      <c r="A70" s="12" t="s">
        <v>49</v>
      </c>
      <c r="B70" s="24" t="s">
        <v>87</v>
      </c>
      <c r="C70" s="59">
        <v>250000</v>
      </c>
      <c r="F70" s="59"/>
      <c r="G70" s="56"/>
    </row>
    <row r="71" spans="1:7" s="55" customFormat="1" ht="13.5">
      <c r="A71" s="11" t="s">
        <v>113</v>
      </c>
      <c r="B71" s="31" t="s">
        <v>114</v>
      </c>
      <c r="C71" s="63">
        <f>SUM(C72:C72)</f>
        <v>10540</v>
      </c>
      <c r="F71" s="59"/>
      <c r="G71" s="56"/>
    </row>
    <row r="72" spans="1:7" s="55" customFormat="1" ht="13.5">
      <c r="A72" s="12" t="s">
        <v>88</v>
      </c>
      <c r="B72" s="24" t="s">
        <v>64</v>
      </c>
      <c r="C72" s="59">
        <v>10540</v>
      </c>
      <c r="F72" s="59"/>
      <c r="G72" s="56"/>
    </row>
    <row r="73" spans="1:7" s="55" customFormat="1" ht="13.5">
      <c r="A73" s="11" t="s">
        <v>132</v>
      </c>
      <c r="B73" s="31" t="s">
        <v>56</v>
      </c>
      <c r="C73" s="63">
        <f>SUM(C74)</f>
        <v>26000</v>
      </c>
      <c r="F73" s="59"/>
      <c r="G73" s="56"/>
    </row>
    <row r="74" spans="1:7" s="55" customFormat="1" ht="13.5">
      <c r="A74" s="12" t="s">
        <v>55</v>
      </c>
      <c r="B74" s="58" t="s">
        <v>56</v>
      </c>
      <c r="C74" s="59">
        <v>26000</v>
      </c>
      <c r="F74" s="59"/>
      <c r="G74" s="56"/>
    </row>
    <row r="75" spans="1:7" s="55" customFormat="1" ht="13.5">
      <c r="A75" s="11" t="s">
        <v>115</v>
      </c>
      <c r="B75" s="31" t="s">
        <v>8</v>
      </c>
      <c r="C75" s="63">
        <f>SUM(C76:C80)</f>
        <v>535040</v>
      </c>
      <c r="F75" s="59"/>
      <c r="G75" s="56"/>
    </row>
    <row r="76" spans="1:255" s="55" customFormat="1" ht="13.5">
      <c r="A76" s="12" t="s">
        <v>92</v>
      </c>
      <c r="B76" s="24" t="s">
        <v>8</v>
      </c>
      <c r="C76" s="59">
        <v>147200</v>
      </c>
      <c r="F76" s="56"/>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c r="BG76" s="65"/>
      <c r="BH76" s="65"/>
      <c r="BI76" s="65"/>
      <c r="BJ76" s="65"/>
      <c r="BK76" s="65"/>
      <c r="BL76" s="65"/>
      <c r="BM76" s="65"/>
      <c r="BN76" s="65"/>
      <c r="BO76" s="65"/>
      <c r="BP76" s="65"/>
      <c r="BQ76" s="65"/>
      <c r="BR76" s="65"/>
      <c r="BS76" s="65"/>
      <c r="BT76" s="65"/>
      <c r="BU76" s="65"/>
      <c r="BV76" s="65"/>
      <c r="BW76" s="65"/>
      <c r="BX76" s="65"/>
      <c r="BY76" s="65"/>
      <c r="BZ76" s="65"/>
      <c r="CA76" s="65"/>
      <c r="CB76" s="65"/>
      <c r="CC76" s="65"/>
      <c r="CD76" s="65"/>
      <c r="CE76" s="65"/>
      <c r="CF76" s="65"/>
      <c r="CG76" s="65"/>
      <c r="CH76" s="65"/>
      <c r="CI76" s="65"/>
      <c r="CJ76" s="65"/>
      <c r="CK76" s="65"/>
      <c r="CL76" s="65"/>
      <c r="CM76" s="65"/>
      <c r="CN76" s="65"/>
      <c r="CO76" s="65"/>
      <c r="CP76" s="65"/>
      <c r="CQ76" s="65"/>
      <c r="CR76" s="65"/>
      <c r="CS76" s="65"/>
      <c r="CT76" s="65"/>
      <c r="CU76" s="65"/>
      <c r="CV76" s="65"/>
      <c r="CW76" s="65"/>
      <c r="CX76" s="65"/>
      <c r="CY76" s="65"/>
      <c r="CZ76" s="65"/>
      <c r="DA76" s="65"/>
      <c r="DB76" s="65"/>
      <c r="DC76" s="65"/>
      <c r="DD76" s="65"/>
      <c r="DE76" s="65"/>
      <c r="DF76" s="65"/>
      <c r="DG76" s="65"/>
      <c r="DH76" s="65"/>
      <c r="DI76" s="65"/>
      <c r="DJ76" s="65"/>
      <c r="DK76" s="65"/>
      <c r="DL76" s="65"/>
      <c r="DM76" s="65"/>
      <c r="DN76" s="65"/>
      <c r="DO76" s="65"/>
      <c r="DP76" s="65"/>
      <c r="DQ76" s="65"/>
      <c r="DR76" s="65"/>
      <c r="DS76" s="65"/>
      <c r="DT76" s="65"/>
      <c r="DU76" s="65"/>
      <c r="DV76" s="65"/>
      <c r="DW76" s="65"/>
      <c r="DX76" s="65"/>
      <c r="DY76" s="65"/>
      <c r="DZ76" s="65"/>
      <c r="EA76" s="65"/>
      <c r="EB76" s="65"/>
      <c r="EC76" s="65"/>
      <c r="ED76" s="65"/>
      <c r="EE76" s="65"/>
      <c r="EF76" s="65"/>
      <c r="EG76" s="65"/>
      <c r="EH76" s="65"/>
      <c r="EI76" s="65"/>
      <c r="EJ76" s="65"/>
      <c r="EK76" s="65"/>
      <c r="EL76" s="65"/>
      <c r="EM76" s="65"/>
      <c r="EN76" s="65"/>
      <c r="EO76" s="65"/>
      <c r="EP76" s="65"/>
      <c r="EQ76" s="65"/>
      <c r="ER76" s="65"/>
      <c r="ES76" s="65"/>
      <c r="ET76" s="65"/>
      <c r="EU76" s="65"/>
      <c r="EV76" s="65"/>
      <c r="EW76" s="65"/>
      <c r="EX76" s="65"/>
      <c r="EY76" s="65"/>
      <c r="EZ76" s="65"/>
      <c r="FA76" s="65"/>
      <c r="FB76" s="65"/>
      <c r="FC76" s="65"/>
      <c r="FD76" s="65"/>
      <c r="FE76" s="65"/>
      <c r="FF76" s="65"/>
      <c r="FG76" s="65"/>
      <c r="FH76" s="65"/>
      <c r="FI76" s="65"/>
      <c r="FJ76" s="65"/>
      <c r="FK76" s="65"/>
      <c r="FL76" s="65"/>
      <c r="FM76" s="65"/>
      <c r="FN76" s="65"/>
      <c r="FO76" s="65"/>
      <c r="FP76" s="65"/>
      <c r="FQ76" s="65"/>
      <c r="FR76" s="65"/>
      <c r="FS76" s="65"/>
      <c r="FT76" s="65"/>
      <c r="FU76" s="65"/>
      <c r="FV76" s="65"/>
      <c r="FW76" s="65"/>
      <c r="FX76" s="65"/>
      <c r="FY76" s="65"/>
      <c r="FZ76" s="65"/>
      <c r="GA76" s="65"/>
      <c r="GB76" s="65"/>
      <c r="GC76" s="65"/>
      <c r="GD76" s="65"/>
      <c r="GE76" s="65"/>
      <c r="GF76" s="65"/>
      <c r="GG76" s="65"/>
      <c r="GH76" s="65"/>
      <c r="GI76" s="65"/>
      <c r="GJ76" s="65"/>
      <c r="GK76" s="65"/>
      <c r="GL76" s="65"/>
      <c r="GM76" s="65"/>
      <c r="GN76" s="65"/>
      <c r="GO76" s="65"/>
      <c r="GP76" s="65"/>
      <c r="GQ76" s="65"/>
      <c r="GR76" s="65"/>
      <c r="GS76" s="65"/>
      <c r="GT76" s="65"/>
      <c r="GU76" s="65"/>
      <c r="GV76" s="65"/>
      <c r="GW76" s="65"/>
      <c r="GX76" s="65"/>
      <c r="GY76" s="65"/>
      <c r="GZ76" s="65"/>
      <c r="HA76" s="65"/>
      <c r="HB76" s="65"/>
      <c r="HC76" s="65"/>
      <c r="HD76" s="65"/>
      <c r="HE76" s="65"/>
      <c r="HF76" s="65"/>
      <c r="HG76" s="65"/>
      <c r="HH76" s="65"/>
      <c r="HI76" s="65"/>
      <c r="HJ76" s="65"/>
      <c r="HK76" s="65"/>
      <c r="HL76" s="65"/>
      <c r="HM76" s="65"/>
      <c r="HN76" s="65"/>
      <c r="HO76" s="65"/>
      <c r="HP76" s="65"/>
      <c r="HQ76" s="65"/>
      <c r="HR76" s="65"/>
      <c r="HS76" s="65"/>
      <c r="HT76" s="65"/>
      <c r="HU76" s="65"/>
      <c r="HV76" s="65"/>
      <c r="HW76" s="65"/>
      <c r="HX76" s="65"/>
      <c r="HY76" s="65"/>
      <c r="HZ76" s="65"/>
      <c r="IA76" s="65"/>
      <c r="IB76" s="65"/>
      <c r="IC76" s="65"/>
      <c r="ID76" s="65"/>
      <c r="IE76" s="65"/>
      <c r="IF76" s="65"/>
      <c r="IG76" s="65"/>
      <c r="IH76" s="65"/>
      <c r="II76" s="65"/>
      <c r="IJ76" s="65"/>
      <c r="IK76" s="65"/>
      <c r="IL76" s="65"/>
      <c r="IM76" s="65"/>
      <c r="IN76" s="65"/>
      <c r="IO76" s="65"/>
      <c r="IP76" s="65"/>
      <c r="IQ76" s="65"/>
      <c r="IR76" s="65"/>
      <c r="IS76" s="65"/>
      <c r="IT76" s="65"/>
      <c r="IU76" s="65"/>
    </row>
    <row r="77" spans="1:6" s="55" customFormat="1" ht="13.5">
      <c r="A77" s="12" t="s">
        <v>182</v>
      </c>
      <c r="B77" s="24" t="s">
        <v>50</v>
      </c>
      <c r="C77" s="59">
        <v>113440</v>
      </c>
      <c r="D77" s="63"/>
      <c r="E77" s="56"/>
      <c r="F77" s="59"/>
    </row>
    <row r="78" spans="1:255" s="55" customFormat="1" ht="13.5">
      <c r="A78" s="71" t="s">
        <v>225</v>
      </c>
      <c r="B78" s="24" t="s">
        <v>224</v>
      </c>
      <c r="C78" s="24">
        <v>30000</v>
      </c>
      <c r="D78" s="59"/>
      <c r="E78" s="56"/>
      <c r="F78" s="59"/>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c r="BG78" s="65"/>
      <c r="BH78" s="65"/>
      <c r="BI78" s="65"/>
      <c r="BJ78" s="65"/>
      <c r="BK78" s="65"/>
      <c r="BL78" s="65"/>
      <c r="BM78" s="65"/>
      <c r="BN78" s="65"/>
      <c r="BO78" s="65"/>
      <c r="BP78" s="65"/>
      <c r="BQ78" s="65"/>
      <c r="BR78" s="65"/>
      <c r="BS78" s="65"/>
      <c r="BT78" s="65"/>
      <c r="BU78" s="65"/>
      <c r="BV78" s="65"/>
      <c r="BW78" s="65"/>
      <c r="BX78" s="65"/>
      <c r="BY78" s="65"/>
      <c r="BZ78" s="65"/>
      <c r="CA78" s="65"/>
      <c r="CB78" s="65"/>
      <c r="CC78" s="65"/>
      <c r="CD78" s="65"/>
      <c r="CE78" s="65"/>
      <c r="CF78" s="65"/>
      <c r="CG78" s="65"/>
      <c r="CH78" s="65"/>
      <c r="CI78" s="65"/>
      <c r="CJ78" s="65"/>
      <c r="CK78" s="65"/>
      <c r="CL78" s="65"/>
      <c r="CM78" s="65"/>
      <c r="CN78" s="65"/>
      <c r="CO78" s="65"/>
      <c r="CP78" s="65"/>
      <c r="CQ78" s="65"/>
      <c r="CR78" s="65"/>
      <c r="CS78" s="65"/>
      <c r="CT78" s="65"/>
      <c r="CU78" s="65"/>
      <c r="CV78" s="65"/>
      <c r="CW78" s="65"/>
      <c r="CX78" s="65"/>
      <c r="CY78" s="65"/>
      <c r="CZ78" s="65"/>
      <c r="DA78" s="65"/>
      <c r="DB78" s="65"/>
      <c r="DC78" s="65"/>
      <c r="DD78" s="65"/>
      <c r="DE78" s="65"/>
      <c r="DF78" s="65"/>
      <c r="DG78" s="65"/>
      <c r="DH78" s="65"/>
      <c r="DI78" s="65"/>
      <c r="DJ78" s="65"/>
      <c r="DK78" s="65"/>
      <c r="DL78" s="65"/>
      <c r="DM78" s="65"/>
      <c r="DN78" s="65"/>
      <c r="DO78" s="65"/>
      <c r="DP78" s="65"/>
      <c r="DQ78" s="65"/>
      <c r="DR78" s="65"/>
      <c r="DS78" s="65"/>
      <c r="DT78" s="65"/>
      <c r="DU78" s="65"/>
      <c r="DV78" s="65"/>
      <c r="DW78" s="65"/>
      <c r="DX78" s="65"/>
      <c r="DY78" s="65"/>
      <c r="DZ78" s="65"/>
      <c r="EA78" s="65"/>
      <c r="EB78" s="65"/>
      <c r="EC78" s="65"/>
      <c r="ED78" s="65"/>
      <c r="EE78" s="65"/>
      <c r="EF78" s="65"/>
      <c r="EG78" s="65"/>
      <c r="EH78" s="65"/>
      <c r="EI78" s="65"/>
      <c r="EJ78" s="65"/>
      <c r="EK78" s="65"/>
      <c r="EL78" s="65"/>
      <c r="EM78" s="65"/>
      <c r="EN78" s="65"/>
      <c r="EO78" s="65"/>
      <c r="EP78" s="65"/>
      <c r="EQ78" s="65"/>
      <c r="ER78" s="65"/>
      <c r="ES78" s="65"/>
      <c r="ET78" s="65"/>
      <c r="EU78" s="65"/>
      <c r="EV78" s="65"/>
      <c r="EW78" s="65"/>
      <c r="EX78" s="65"/>
      <c r="EY78" s="65"/>
      <c r="EZ78" s="65"/>
      <c r="FA78" s="65"/>
      <c r="FB78" s="65"/>
      <c r="FC78" s="65"/>
      <c r="FD78" s="65"/>
      <c r="FE78" s="65"/>
      <c r="FF78" s="65"/>
      <c r="FG78" s="65"/>
      <c r="FH78" s="65"/>
      <c r="FI78" s="65"/>
      <c r="FJ78" s="65"/>
      <c r="FK78" s="65"/>
      <c r="FL78" s="65"/>
      <c r="FM78" s="65"/>
      <c r="FN78" s="65"/>
      <c r="FO78" s="65"/>
      <c r="FP78" s="65"/>
      <c r="FQ78" s="65"/>
      <c r="FR78" s="65"/>
      <c r="FS78" s="65"/>
      <c r="FT78" s="65"/>
      <c r="FU78" s="65"/>
      <c r="FV78" s="65"/>
      <c r="FW78" s="65"/>
      <c r="FX78" s="65"/>
      <c r="FY78" s="65"/>
      <c r="FZ78" s="65"/>
      <c r="GA78" s="65"/>
      <c r="GB78" s="65"/>
      <c r="GC78" s="65"/>
      <c r="GD78" s="65"/>
      <c r="GE78" s="65"/>
      <c r="GF78" s="65"/>
      <c r="GG78" s="65"/>
      <c r="GH78" s="65"/>
      <c r="GI78" s="65"/>
      <c r="GJ78" s="65"/>
      <c r="GK78" s="65"/>
      <c r="GL78" s="65"/>
      <c r="GM78" s="65"/>
      <c r="GN78" s="65"/>
      <c r="GO78" s="65"/>
      <c r="GP78" s="65"/>
      <c r="GQ78" s="65"/>
      <c r="GR78" s="65"/>
      <c r="GS78" s="65"/>
      <c r="GT78" s="65"/>
      <c r="GU78" s="65"/>
      <c r="GV78" s="65"/>
      <c r="GW78" s="65"/>
      <c r="GX78" s="65"/>
      <c r="GY78" s="65"/>
      <c r="GZ78" s="65"/>
      <c r="HA78" s="65"/>
      <c r="HB78" s="65"/>
      <c r="HC78" s="65"/>
      <c r="HD78" s="65"/>
      <c r="HE78" s="65"/>
      <c r="HF78" s="65"/>
      <c r="HG78" s="65"/>
      <c r="HH78" s="65"/>
      <c r="HI78" s="65"/>
      <c r="HJ78" s="65"/>
      <c r="HK78" s="65"/>
      <c r="HL78" s="65"/>
      <c r="HM78" s="65"/>
      <c r="HN78" s="65"/>
      <c r="HO78" s="65"/>
      <c r="HP78" s="65"/>
      <c r="HQ78" s="65"/>
      <c r="HR78" s="65"/>
      <c r="HS78" s="65"/>
      <c r="HT78" s="65"/>
      <c r="HU78" s="65"/>
      <c r="HV78" s="65"/>
      <c r="HW78" s="65"/>
      <c r="HX78" s="65"/>
      <c r="HY78" s="65"/>
      <c r="HZ78" s="65"/>
      <c r="IA78" s="65"/>
      <c r="IB78" s="65"/>
      <c r="IC78" s="65"/>
      <c r="ID78" s="65"/>
      <c r="IE78" s="65"/>
      <c r="IF78" s="65"/>
      <c r="IG78" s="65"/>
      <c r="IH78" s="65"/>
      <c r="II78" s="65"/>
      <c r="IJ78" s="65"/>
      <c r="IK78" s="65"/>
      <c r="IL78" s="65"/>
      <c r="IM78" s="65"/>
      <c r="IN78" s="65"/>
      <c r="IO78" s="65"/>
      <c r="IP78" s="65"/>
      <c r="IQ78" s="65"/>
      <c r="IR78" s="65"/>
      <c r="IS78" s="65"/>
      <c r="IT78" s="65"/>
      <c r="IU78" s="65"/>
    </row>
    <row r="79" spans="1:255" s="55" customFormat="1" ht="13.5">
      <c r="A79" s="12" t="s">
        <v>223</v>
      </c>
      <c r="B79" s="42" t="s">
        <v>222</v>
      </c>
      <c r="C79" s="59">
        <v>122700</v>
      </c>
      <c r="D79" s="59"/>
      <c r="E79" s="56"/>
      <c r="F79" s="59"/>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c r="BG79" s="65"/>
      <c r="BH79" s="65"/>
      <c r="BI79" s="65"/>
      <c r="BJ79" s="65"/>
      <c r="BK79" s="65"/>
      <c r="BL79" s="65"/>
      <c r="BM79" s="65"/>
      <c r="BN79" s="65"/>
      <c r="BO79" s="65"/>
      <c r="BP79" s="65"/>
      <c r="BQ79" s="65"/>
      <c r="BR79" s="65"/>
      <c r="BS79" s="65"/>
      <c r="BT79" s="65"/>
      <c r="BU79" s="65"/>
      <c r="BV79" s="65"/>
      <c r="BW79" s="65"/>
      <c r="BX79" s="65"/>
      <c r="BY79" s="65"/>
      <c r="BZ79" s="65"/>
      <c r="CA79" s="65"/>
      <c r="CB79" s="65"/>
      <c r="CC79" s="65"/>
      <c r="CD79" s="65"/>
      <c r="CE79" s="65"/>
      <c r="CF79" s="65"/>
      <c r="CG79" s="65"/>
      <c r="CH79" s="65"/>
      <c r="CI79" s="65"/>
      <c r="CJ79" s="65"/>
      <c r="CK79" s="65"/>
      <c r="CL79" s="65"/>
      <c r="CM79" s="65"/>
      <c r="CN79" s="65"/>
      <c r="CO79" s="65"/>
      <c r="CP79" s="65"/>
      <c r="CQ79" s="65"/>
      <c r="CR79" s="65"/>
      <c r="CS79" s="65"/>
      <c r="CT79" s="65"/>
      <c r="CU79" s="65"/>
      <c r="CV79" s="65"/>
      <c r="CW79" s="65"/>
      <c r="CX79" s="65"/>
      <c r="CY79" s="65"/>
      <c r="CZ79" s="65"/>
      <c r="DA79" s="65"/>
      <c r="DB79" s="65"/>
      <c r="DC79" s="65"/>
      <c r="DD79" s="65"/>
      <c r="DE79" s="65"/>
      <c r="DF79" s="65"/>
      <c r="DG79" s="65"/>
      <c r="DH79" s="65"/>
      <c r="DI79" s="65"/>
      <c r="DJ79" s="65"/>
      <c r="DK79" s="65"/>
      <c r="DL79" s="65"/>
      <c r="DM79" s="65"/>
      <c r="DN79" s="65"/>
      <c r="DO79" s="65"/>
      <c r="DP79" s="65"/>
      <c r="DQ79" s="65"/>
      <c r="DR79" s="65"/>
      <c r="DS79" s="65"/>
      <c r="DT79" s="65"/>
      <c r="DU79" s="65"/>
      <c r="DV79" s="65"/>
      <c r="DW79" s="65"/>
      <c r="DX79" s="65"/>
      <c r="DY79" s="65"/>
      <c r="DZ79" s="65"/>
      <c r="EA79" s="65"/>
      <c r="EB79" s="65"/>
      <c r="EC79" s="65"/>
      <c r="ED79" s="65"/>
      <c r="EE79" s="65"/>
      <c r="EF79" s="65"/>
      <c r="EG79" s="65"/>
      <c r="EH79" s="65"/>
      <c r="EI79" s="65"/>
      <c r="EJ79" s="65"/>
      <c r="EK79" s="65"/>
      <c r="EL79" s="65"/>
      <c r="EM79" s="65"/>
      <c r="EN79" s="65"/>
      <c r="EO79" s="65"/>
      <c r="EP79" s="65"/>
      <c r="EQ79" s="65"/>
      <c r="ER79" s="65"/>
      <c r="ES79" s="65"/>
      <c r="ET79" s="65"/>
      <c r="EU79" s="65"/>
      <c r="EV79" s="65"/>
      <c r="EW79" s="65"/>
      <c r="EX79" s="65"/>
      <c r="EY79" s="65"/>
      <c r="EZ79" s="65"/>
      <c r="FA79" s="65"/>
      <c r="FB79" s="65"/>
      <c r="FC79" s="65"/>
      <c r="FD79" s="65"/>
      <c r="FE79" s="65"/>
      <c r="FF79" s="65"/>
      <c r="FG79" s="65"/>
      <c r="FH79" s="65"/>
      <c r="FI79" s="65"/>
      <c r="FJ79" s="65"/>
      <c r="FK79" s="65"/>
      <c r="FL79" s="65"/>
      <c r="FM79" s="65"/>
      <c r="FN79" s="65"/>
      <c r="FO79" s="65"/>
      <c r="FP79" s="65"/>
      <c r="FQ79" s="65"/>
      <c r="FR79" s="65"/>
      <c r="FS79" s="65"/>
      <c r="FT79" s="65"/>
      <c r="FU79" s="65"/>
      <c r="FV79" s="65"/>
      <c r="FW79" s="65"/>
      <c r="FX79" s="65"/>
      <c r="FY79" s="65"/>
      <c r="FZ79" s="65"/>
      <c r="GA79" s="65"/>
      <c r="GB79" s="65"/>
      <c r="GC79" s="65"/>
      <c r="GD79" s="65"/>
      <c r="GE79" s="65"/>
      <c r="GF79" s="65"/>
      <c r="GG79" s="65"/>
      <c r="GH79" s="65"/>
      <c r="GI79" s="65"/>
      <c r="GJ79" s="65"/>
      <c r="GK79" s="65"/>
      <c r="GL79" s="65"/>
      <c r="GM79" s="65"/>
      <c r="GN79" s="65"/>
      <c r="GO79" s="65"/>
      <c r="GP79" s="65"/>
      <c r="GQ79" s="65"/>
      <c r="GR79" s="65"/>
      <c r="GS79" s="65"/>
      <c r="GT79" s="65"/>
      <c r="GU79" s="65"/>
      <c r="GV79" s="65"/>
      <c r="GW79" s="65"/>
      <c r="GX79" s="65"/>
      <c r="GY79" s="65"/>
      <c r="GZ79" s="65"/>
      <c r="HA79" s="65"/>
      <c r="HB79" s="65"/>
      <c r="HC79" s="65"/>
      <c r="HD79" s="65"/>
      <c r="HE79" s="65"/>
      <c r="HF79" s="65"/>
      <c r="HG79" s="65"/>
      <c r="HH79" s="65"/>
      <c r="HI79" s="65"/>
      <c r="HJ79" s="65"/>
      <c r="HK79" s="65"/>
      <c r="HL79" s="65"/>
      <c r="HM79" s="65"/>
      <c r="HN79" s="65"/>
      <c r="HO79" s="65"/>
      <c r="HP79" s="65"/>
      <c r="HQ79" s="65"/>
      <c r="HR79" s="65"/>
      <c r="HS79" s="65"/>
      <c r="HT79" s="65"/>
      <c r="HU79" s="65"/>
      <c r="HV79" s="65"/>
      <c r="HW79" s="65"/>
      <c r="HX79" s="65"/>
      <c r="HY79" s="65"/>
      <c r="HZ79" s="65"/>
      <c r="IA79" s="65"/>
      <c r="IB79" s="65"/>
      <c r="IC79" s="65"/>
      <c r="ID79" s="65"/>
      <c r="IE79" s="65"/>
      <c r="IF79" s="65"/>
      <c r="IG79" s="65"/>
      <c r="IH79" s="65"/>
      <c r="II79" s="65"/>
      <c r="IJ79" s="65"/>
      <c r="IK79" s="65"/>
      <c r="IL79" s="65"/>
      <c r="IM79" s="65"/>
      <c r="IN79" s="65"/>
      <c r="IO79" s="65"/>
      <c r="IP79" s="65"/>
      <c r="IQ79" s="65"/>
      <c r="IR79" s="65"/>
      <c r="IS79" s="65"/>
      <c r="IT79" s="65"/>
      <c r="IU79" s="65"/>
    </row>
    <row r="80" spans="1:255" s="65" customFormat="1" ht="13.5">
      <c r="A80" s="12" t="s">
        <v>90</v>
      </c>
      <c r="B80" s="24" t="s">
        <v>7</v>
      </c>
      <c r="C80" s="59">
        <v>121700</v>
      </c>
      <c r="D80" s="25"/>
      <c r="E80" s="201"/>
      <c r="F80" s="59"/>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c r="AS80" s="55"/>
      <c r="AT80" s="55"/>
      <c r="AU80" s="55"/>
      <c r="AV80" s="55"/>
      <c r="AW80" s="55"/>
      <c r="AX80" s="55"/>
      <c r="AY80" s="55"/>
      <c r="AZ80" s="55"/>
      <c r="BA80" s="55"/>
      <c r="BB80" s="55"/>
      <c r="BC80" s="55"/>
      <c r="BD80" s="55"/>
      <c r="BE80" s="55"/>
      <c r="BF80" s="55"/>
      <c r="BG80" s="55"/>
      <c r="BH80" s="55"/>
      <c r="BI80" s="55"/>
      <c r="BJ80" s="55"/>
      <c r="BK80" s="55"/>
      <c r="BL80" s="55"/>
      <c r="BM80" s="55"/>
      <c r="BN80" s="55"/>
      <c r="BO80" s="55"/>
      <c r="BP80" s="55"/>
      <c r="BQ80" s="55"/>
      <c r="BR80" s="55"/>
      <c r="BS80" s="55"/>
      <c r="BT80" s="55"/>
      <c r="BU80" s="55"/>
      <c r="BV80" s="55"/>
      <c r="BW80" s="55"/>
      <c r="BX80" s="55"/>
      <c r="BY80" s="55"/>
      <c r="BZ80" s="55"/>
      <c r="CA80" s="55"/>
      <c r="CB80" s="55"/>
      <c r="CC80" s="55"/>
      <c r="CD80" s="55"/>
      <c r="CE80" s="55"/>
      <c r="CF80" s="55"/>
      <c r="CG80" s="55"/>
      <c r="CH80" s="55"/>
      <c r="CI80" s="55"/>
      <c r="CJ80" s="55"/>
      <c r="CK80" s="55"/>
      <c r="CL80" s="55"/>
      <c r="CM80" s="55"/>
      <c r="CN80" s="55"/>
      <c r="CO80" s="55"/>
      <c r="CP80" s="55"/>
      <c r="CQ80" s="55"/>
      <c r="CR80" s="55"/>
      <c r="CS80" s="55"/>
      <c r="CT80" s="55"/>
      <c r="CU80" s="55"/>
      <c r="CV80" s="55"/>
      <c r="CW80" s="55"/>
      <c r="CX80" s="55"/>
      <c r="CY80" s="55"/>
      <c r="CZ80" s="55"/>
      <c r="DA80" s="55"/>
      <c r="DB80" s="55"/>
      <c r="DC80" s="55"/>
      <c r="DD80" s="55"/>
      <c r="DE80" s="55"/>
      <c r="DF80" s="55"/>
      <c r="DG80" s="55"/>
      <c r="DH80" s="55"/>
      <c r="DI80" s="55"/>
      <c r="DJ80" s="55"/>
      <c r="DK80" s="55"/>
      <c r="DL80" s="55"/>
      <c r="DM80" s="55"/>
      <c r="DN80" s="55"/>
      <c r="DO80" s="55"/>
      <c r="DP80" s="55"/>
      <c r="DQ80" s="55"/>
      <c r="DR80" s="55"/>
      <c r="DS80" s="55"/>
      <c r="DT80" s="55"/>
      <c r="DU80" s="55"/>
      <c r="DV80" s="55"/>
      <c r="DW80" s="55"/>
      <c r="DX80" s="55"/>
      <c r="DY80" s="55"/>
      <c r="DZ80" s="55"/>
      <c r="EA80" s="55"/>
      <c r="EB80" s="55"/>
      <c r="EC80" s="55"/>
      <c r="ED80" s="55"/>
      <c r="EE80" s="55"/>
      <c r="EF80" s="55"/>
      <c r="EG80" s="55"/>
      <c r="EH80" s="55"/>
      <c r="EI80" s="55"/>
      <c r="EJ80" s="55"/>
      <c r="EK80" s="55"/>
      <c r="EL80" s="55"/>
      <c r="EM80" s="55"/>
      <c r="EN80" s="55"/>
      <c r="EO80" s="55"/>
      <c r="EP80" s="55"/>
      <c r="EQ80" s="55"/>
      <c r="ER80" s="55"/>
      <c r="ES80" s="55"/>
      <c r="ET80" s="55"/>
      <c r="EU80" s="55"/>
      <c r="EV80" s="55"/>
      <c r="EW80" s="55"/>
      <c r="EX80" s="55"/>
      <c r="EY80" s="55"/>
      <c r="EZ80" s="55"/>
      <c r="FA80" s="55"/>
      <c r="FB80" s="55"/>
      <c r="FC80" s="55"/>
      <c r="FD80" s="55"/>
      <c r="FE80" s="55"/>
      <c r="FF80" s="55"/>
      <c r="FG80" s="55"/>
      <c r="FH80" s="55"/>
      <c r="FI80" s="55"/>
      <c r="FJ80" s="55"/>
      <c r="FK80" s="55"/>
      <c r="FL80" s="55"/>
      <c r="FM80" s="55"/>
      <c r="FN80" s="55"/>
      <c r="FO80" s="55"/>
      <c r="FP80" s="55"/>
      <c r="FQ80" s="55"/>
      <c r="FR80" s="55"/>
      <c r="FS80" s="55"/>
      <c r="FT80" s="55"/>
      <c r="FU80" s="55"/>
      <c r="FV80" s="55"/>
      <c r="FW80" s="55"/>
      <c r="FX80" s="55"/>
      <c r="FY80" s="55"/>
      <c r="FZ80" s="55"/>
      <c r="GA80" s="55"/>
      <c r="GB80" s="55"/>
      <c r="GC80" s="55"/>
      <c r="GD80" s="55"/>
      <c r="GE80" s="55"/>
      <c r="GF80" s="55"/>
      <c r="GG80" s="55"/>
      <c r="GH80" s="55"/>
      <c r="GI80" s="55"/>
      <c r="GJ80" s="55"/>
      <c r="GK80" s="55"/>
      <c r="GL80" s="55"/>
      <c r="GM80" s="55"/>
      <c r="GN80" s="55"/>
      <c r="GO80" s="55"/>
      <c r="GP80" s="55"/>
      <c r="GQ80" s="55"/>
      <c r="GR80" s="55"/>
      <c r="GS80" s="55"/>
      <c r="GT80" s="55"/>
      <c r="GU80" s="55"/>
      <c r="GV80" s="55"/>
      <c r="GW80" s="55"/>
      <c r="GX80" s="55"/>
      <c r="GY80" s="55"/>
      <c r="GZ80" s="55"/>
      <c r="HA80" s="55"/>
      <c r="HB80" s="55"/>
      <c r="HC80" s="55"/>
      <c r="HD80" s="55"/>
      <c r="HE80" s="55"/>
      <c r="HF80" s="55"/>
      <c r="HG80" s="55"/>
      <c r="HH80" s="55"/>
      <c r="HI80" s="55"/>
      <c r="HJ80" s="55"/>
      <c r="HK80" s="55"/>
      <c r="HL80" s="55"/>
      <c r="HM80" s="55"/>
      <c r="HN80" s="55"/>
      <c r="HO80" s="55"/>
      <c r="HP80" s="55"/>
      <c r="HQ80" s="55"/>
      <c r="HR80" s="55"/>
      <c r="HS80" s="55"/>
      <c r="HT80" s="55"/>
      <c r="HU80" s="55"/>
      <c r="HV80" s="55"/>
      <c r="HW80" s="55"/>
      <c r="HX80" s="55"/>
      <c r="HY80" s="55"/>
      <c r="HZ80" s="55"/>
      <c r="IA80" s="55"/>
      <c r="IB80" s="55"/>
      <c r="IC80" s="55"/>
      <c r="ID80" s="55"/>
      <c r="IE80" s="55"/>
      <c r="IF80" s="55"/>
      <c r="IG80" s="55"/>
      <c r="IH80" s="55"/>
      <c r="II80" s="55"/>
      <c r="IJ80" s="55"/>
      <c r="IK80" s="55"/>
      <c r="IL80" s="55"/>
      <c r="IM80" s="55"/>
      <c r="IN80" s="55"/>
      <c r="IO80" s="55"/>
      <c r="IP80" s="55"/>
      <c r="IQ80" s="55"/>
      <c r="IR80" s="55"/>
      <c r="IS80" s="55"/>
      <c r="IT80" s="55"/>
      <c r="IU80" s="55"/>
    </row>
    <row r="81" spans="1:11" s="193" customFormat="1" ht="13.5" customHeight="1" thickBot="1">
      <c r="A81" s="71"/>
      <c r="B81" s="71"/>
      <c r="C81" s="23"/>
      <c r="D81" s="11"/>
      <c r="E81" s="24"/>
      <c r="F81" s="72"/>
      <c r="G81" s="147"/>
      <c r="H81" s="147"/>
      <c r="I81" s="147"/>
      <c r="J81" s="147"/>
      <c r="K81" s="147"/>
    </row>
    <row r="82" spans="1:11" s="193" customFormat="1" ht="13.5" customHeight="1" thickBot="1">
      <c r="A82" s="1007" t="s">
        <v>5</v>
      </c>
      <c r="B82" s="1008"/>
      <c r="C82" s="604">
        <f>C83+C86</f>
        <v>517200</v>
      </c>
      <c r="D82" s="12"/>
      <c r="E82" s="12"/>
      <c r="F82" s="72"/>
      <c r="G82" s="147"/>
      <c r="H82" s="147"/>
      <c r="I82" s="147"/>
      <c r="J82" s="196"/>
      <c r="K82" s="147"/>
    </row>
    <row r="83" spans="1:11" s="198" customFormat="1" ht="13.5" customHeight="1">
      <c r="A83" s="249" t="s">
        <v>126</v>
      </c>
      <c r="B83" s="281" t="s">
        <v>127</v>
      </c>
      <c r="C83" s="32">
        <f>SUM(C84:C85)</f>
        <v>130200</v>
      </c>
      <c r="D83" s="100"/>
      <c r="E83" s="100"/>
      <c r="F83" s="95"/>
      <c r="G83" s="149"/>
      <c r="H83" s="149"/>
      <c r="I83" s="149"/>
      <c r="J83" s="197"/>
      <c r="K83" s="149"/>
    </row>
    <row r="84" spans="1:7" s="42" customFormat="1" ht="13.5">
      <c r="A84" s="71" t="s">
        <v>63</v>
      </c>
      <c r="B84" s="24" t="s">
        <v>62</v>
      </c>
      <c r="C84" s="24">
        <v>60000</v>
      </c>
      <c r="E84" s="84"/>
      <c r="F84" s="95"/>
      <c r="G84" s="54"/>
    </row>
    <row r="85" spans="1:7" s="42" customFormat="1" ht="13.5">
      <c r="A85" s="71" t="s">
        <v>538</v>
      </c>
      <c r="B85" s="23" t="s">
        <v>542</v>
      </c>
      <c r="C85" s="24">
        <v>70200</v>
      </c>
      <c r="E85" s="84"/>
      <c r="F85" s="78"/>
      <c r="G85" s="54"/>
    </row>
    <row r="86" spans="1:8" s="8" customFormat="1" ht="13.5">
      <c r="A86" s="249" t="s">
        <v>128</v>
      </c>
      <c r="B86" s="249" t="s">
        <v>129</v>
      </c>
      <c r="C86" s="31">
        <f>SUM(C87:C89)</f>
        <v>387000</v>
      </c>
      <c r="E86" s="85"/>
      <c r="F86" s="172"/>
      <c r="G86" s="54"/>
      <c r="H86" s="42"/>
    </row>
    <row r="87" spans="1:8" s="8" customFormat="1" ht="13.5">
      <c r="A87" s="71" t="s">
        <v>237</v>
      </c>
      <c r="B87" s="23" t="s">
        <v>238</v>
      </c>
      <c r="C87" s="24">
        <v>24000</v>
      </c>
      <c r="D87" s="95"/>
      <c r="E87" s="84"/>
      <c r="F87" s="172"/>
      <c r="G87" s="54"/>
      <c r="H87" s="42"/>
    </row>
    <row r="88" spans="1:8" s="8" customFormat="1" ht="13.5">
      <c r="A88" s="71" t="s">
        <v>239</v>
      </c>
      <c r="B88" s="23" t="s">
        <v>240</v>
      </c>
      <c r="C88" s="24">
        <f>55000-10000</f>
        <v>45000</v>
      </c>
      <c r="D88" s="95"/>
      <c r="E88" s="84"/>
      <c r="F88" s="172"/>
      <c r="G88" s="54"/>
      <c r="H88" s="42"/>
    </row>
    <row r="89" spans="1:6" s="8" customFormat="1" ht="13.5">
      <c r="A89" s="71" t="s">
        <v>144</v>
      </c>
      <c r="B89" s="24" t="s">
        <v>12</v>
      </c>
      <c r="C89" s="24">
        <v>318000</v>
      </c>
      <c r="D89" s="22"/>
      <c r="E89" s="496"/>
      <c r="F89" s="83"/>
    </row>
    <row r="90" spans="1:255" s="202" customFormat="1" ht="13.5" customHeight="1" thickBot="1">
      <c r="A90" s="12"/>
      <c r="B90" s="58"/>
      <c r="C90" s="59"/>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58"/>
      <c r="AF90" s="58"/>
      <c r="AG90" s="58"/>
      <c r="AH90" s="58"/>
      <c r="AI90" s="58"/>
      <c r="AJ90" s="58"/>
      <c r="AK90" s="58"/>
      <c r="AL90" s="58"/>
      <c r="AM90" s="58"/>
      <c r="AN90" s="58"/>
      <c r="AO90" s="58"/>
      <c r="AP90" s="58"/>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c r="BO90" s="58"/>
      <c r="BP90" s="58"/>
      <c r="BQ90" s="58"/>
      <c r="BR90" s="58"/>
      <c r="BS90" s="58"/>
      <c r="BT90" s="58"/>
      <c r="BU90" s="58"/>
      <c r="BV90" s="58"/>
      <c r="BW90" s="58"/>
      <c r="BX90" s="58"/>
      <c r="BY90" s="58"/>
      <c r="BZ90" s="58"/>
      <c r="CA90" s="58"/>
      <c r="CB90" s="58"/>
      <c r="CC90" s="58"/>
      <c r="CD90" s="58"/>
      <c r="CE90" s="58"/>
      <c r="CF90" s="58"/>
      <c r="CG90" s="58"/>
      <c r="CH90" s="58"/>
      <c r="CI90" s="58"/>
      <c r="CJ90" s="58"/>
      <c r="CK90" s="58"/>
      <c r="CL90" s="58"/>
      <c r="CM90" s="58"/>
      <c r="CN90" s="58"/>
      <c r="CO90" s="58"/>
      <c r="CP90" s="58"/>
      <c r="CQ90" s="58"/>
      <c r="CR90" s="58"/>
      <c r="CS90" s="58"/>
      <c r="CT90" s="58"/>
      <c r="CU90" s="58"/>
      <c r="CV90" s="58"/>
      <c r="CW90" s="58"/>
      <c r="CX90" s="58"/>
      <c r="CY90" s="58"/>
      <c r="CZ90" s="58"/>
      <c r="DA90" s="58"/>
      <c r="DB90" s="58"/>
      <c r="DC90" s="58"/>
      <c r="DD90" s="58"/>
      <c r="DE90" s="58"/>
      <c r="DF90" s="58"/>
      <c r="DG90" s="58"/>
      <c r="DH90" s="58"/>
      <c r="DI90" s="58"/>
      <c r="DJ90" s="58"/>
      <c r="DK90" s="58"/>
      <c r="DL90" s="58"/>
      <c r="DM90" s="58"/>
      <c r="DN90" s="58"/>
      <c r="DO90" s="58"/>
      <c r="DP90" s="58"/>
      <c r="DQ90" s="58"/>
      <c r="DR90" s="58"/>
      <c r="DS90" s="58"/>
      <c r="DT90" s="58"/>
      <c r="DU90" s="58"/>
      <c r="DV90" s="58"/>
      <c r="DW90" s="58"/>
      <c r="DX90" s="58"/>
      <c r="DY90" s="58"/>
      <c r="DZ90" s="58"/>
      <c r="EA90" s="58"/>
      <c r="EB90" s="58"/>
      <c r="EC90" s="58"/>
      <c r="ED90" s="58"/>
      <c r="EE90" s="58"/>
      <c r="EF90" s="58"/>
      <c r="EG90" s="58"/>
      <c r="EH90" s="58"/>
      <c r="EI90" s="58"/>
      <c r="EJ90" s="58"/>
      <c r="EK90" s="58"/>
      <c r="EL90" s="58"/>
      <c r="EM90" s="58"/>
      <c r="EN90" s="58"/>
      <c r="EO90" s="58"/>
      <c r="EP90" s="58"/>
      <c r="EQ90" s="58"/>
      <c r="ER90" s="58"/>
      <c r="ES90" s="58"/>
      <c r="ET90" s="58"/>
      <c r="EU90" s="58"/>
      <c r="EV90" s="58"/>
      <c r="EW90" s="58"/>
      <c r="EX90" s="58"/>
      <c r="EY90" s="58"/>
      <c r="EZ90" s="58"/>
      <c r="FA90" s="58"/>
      <c r="FB90" s="58"/>
      <c r="FC90" s="58"/>
      <c r="FD90" s="58"/>
      <c r="FE90" s="58"/>
      <c r="FF90" s="58"/>
      <c r="FG90" s="58"/>
      <c r="FH90" s="58"/>
      <c r="FI90" s="58"/>
      <c r="FJ90" s="58"/>
      <c r="FK90" s="58"/>
      <c r="FL90" s="58"/>
      <c r="FM90" s="58"/>
      <c r="FN90" s="58"/>
      <c r="FO90" s="58"/>
      <c r="FP90" s="58"/>
      <c r="FQ90" s="58"/>
      <c r="FR90" s="58"/>
      <c r="FS90" s="58"/>
      <c r="FT90" s="58"/>
      <c r="FU90" s="58"/>
      <c r="FV90" s="58"/>
      <c r="FW90" s="58"/>
      <c r="FX90" s="58"/>
      <c r="FY90" s="58"/>
      <c r="FZ90" s="58"/>
      <c r="GA90" s="58"/>
      <c r="GB90" s="58"/>
      <c r="GC90" s="58"/>
      <c r="GD90" s="58"/>
      <c r="GE90" s="58"/>
      <c r="GF90" s="58"/>
      <c r="GG90" s="58"/>
      <c r="GH90" s="58"/>
      <c r="GI90" s="58"/>
      <c r="GJ90" s="58"/>
      <c r="GK90" s="58"/>
      <c r="GL90" s="58"/>
      <c r="GM90" s="58"/>
      <c r="GN90" s="58"/>
      <c r="GO90" s="58"/>
      <c r="GP90" s="58"/>
      <c r="GQ90" s="58"/>
      <c r="GR90" s="58"/>
      <c r="GS90" s="58"/>
      <c r="GT90" s="58"/>
      <c r="GU90" s="58"/>
      <c r="GV90" s="58"/>
      <c r="GW90" s="58"/>
      <c r="GX90" s="58"/>
      <c r="GY90" s="58"/>
      <c r="GZ90" s="58"/>
      <c r="HA90" s="58"/>
      <c r="HB90" s="58"/>
      <c r="HC90" s="58"/>
      <c r="HD90" s="58"/>
      <c r="HE90" s="58"/>
      <c r="HF90" s="58"/>
      <c r="HG90" s="58"/>
      <c r="HH90" s="58"/>
      <c r="HI90" s="58"/>
      <c r="HJ90" s="58"/>
      <c r="HK90" s="58"/>
      <c r="HL90" s="58"/>
      <c r="HM90" s="58"/>
      <c r="HN90" s="58"/>
      <c r="HO90" s="58"/>
      <c r="HP90" s="58"/>
      <c r="HQ90" s="58"/>
      <c r="HR90" s="58"/>
      <c r="HS90" s="58"/>
      <c r="HT90" s="58"/>
      <c r="HU90" s="58"/>
      <c r="HV90" s="58"/>
      <c r="HW90" s="58"/>
      <c r="HX90" s="58"/>
      <c r="HY90" s="58"/>
      <c r="HZ90" s="58"/>
      <c r="IA90" s="58"/>
      <c r="IB90" s="58"/>
      <c r="IC90" s="58"/>
      <c r="ID90" s="58"/>
      <c r="IE90" s="58"/>
      <c r="IF90" s="58"/>
      <c r="IG90" s="58"/>
      <c r="IH90" s="58"/>
      <c r="II90" s="58"/>
      <c r="IJ90" s="58"/>
      <c r="IK90" s="58"/>
      <c r="IL90" s="58"/>
      <c r="IM90" s="58"/>
      <c r="IN90" s="58"/>
      <c r="IO90" s="58"/>
      <c r="IP90" s="58"/>
      <c r="IQ90" s="58"/>
      <c r="IR90" s="58"/>
      <c r="IS90" s="58"/>
      <c r="IT90" s="58"/>
      <c r="IU90" s="58"/>
    </row>
    <row r="91" spans="1:11" s="193" customFormat="1" ht="13.5" customHeight="1" thickBot="1">
      <c r="A91" s="996" t="s">
        <v>4</v>
      </c>
      <c r="B91" s="997"/>
      <c r="C91" s="605">
        <f>C92+C96</f>
        <v>78480</v>
      </c>
      <c r="D91" s="24"/>
      <c r="E91" s="203"/>
      <c r="F91" s="9"/>
      <c r="G91" s="147"/>
      <c r="H91" s="147"/>
      <c r="I91" s="147"/>
      <c r="J91" s="147"/>
      <c r="K91" s="147"/>
    </row>
    <row r="92" spans="1:11" s="198" customFormat="1" ht="13.5" customHeight="1">
      <c r="A92" s="249" t="s">
        <v>116</v>
      </c>
      <c r="B92" s="281" t="s">
        <v>117</v>
      </c>
      <c r="C92" s="32">
        <f>SUM(C93:C95)</f>
        <v>73680</v>
      </c>
      <c r="D92" s="95"/>
      <c r="E92" s="204"/>
      <c r="F92" s="150"/>
      <c r="G92" s="149"/>
      <c r="H92" s="149"/>
      <c r="I92" s="149"/>
      <c r="J92" s="149"/>
      <c r="K92" s="149"/>
    </row>
    <row r="93" spans="1:8" s="8" customFormat="1" ht="13.5" customHeight="1">
      <c r="A93" s="71" t="s">
        <v>91</v>
      </c>
      <c r="B93" s="23" t="s">
        <v>9</v>
      </c>
      <c r="C93" s="24">
        <v>28680</v>
      </c>
      <c r="D93" s="77"/>
      <c r="E93" s="25"/>
      <c r="F93" s="172"/>
      <c r="G93" s="54"/>
      <c r="H93" s="42"/>
    </row>
    <row r="94" spans="1:8" s="8" customFormat="1" ht="13.5" customHeight="1">
      <c r="A94" s="71" t="s">
        <v>57</v>
      </c>
      <c r="B94" s="42" t="s">
        <v>58</v>
      </c>
      <c r="C94" s="24">
        <v>15000</v>
      </c>
      <c r="D94" s="77"/>
      <c r="E94" s="25"/>
      <c r="F94" s="172"/>
      <c r="G94" s="54"/>
      <c r="H94" s="42"/>
    </row>
    <row r="95" spans="1:8" s="8" customFormat="1" ht="13.5" customHeight="1">
      <c r="A95" s="71" t="s">
        <v>756</v>
      </c>
      <c r="B95" s="23" t="s">
        <v>757</v>
      </c>
      <c r="C95" s="24">
        <v>30000</v>
      </c>
      <c r="D95" s="77"/>
      <c r="E95" s="25"/>
      <c r="F95" s="98"/>
      <c r="G95" s="54"/>
      <c r="H95" s="42"/>
    </row>
    <row r="96" spans="1:8" s="8" customFormat="1" ht="13.5" customHeight="1">
      <c r="A96" s="249" t="s">
        <v>165</v>
      </c>
      <c r="B96" s="25" t="s">
        <v>135</v>
      </c>
      <c r="C96" s="31">
        <f>SUM(C97)</f>
        <v>4800</v>
      </c>
      <c r="D96" s="77"/>
      <c r="E96" s="25"/>
      <c r="F96" s="172"/>
      <c r="G96" s="54"/>
      <c r="H96" s="42"/>
    </row>
    <row r="97" spans="1:8" s="8" customFormat="1" ht="13.5" customHeight="1">
      <c r="A97" s="71" t="s">
        <v>166</v>
      </c>
      <c r="B97" s="23" t="s">
        <v>51</v>
      </c>
      <c r="C97" s="24">
        <v>4800</v>
      </c>
      <c r="D97" s="77"/>
      <c r="E97" s="25"/>
      <c r="F97" s="172"/>
      <c r="G97" s="54"/>
      <c r="H97" s="42"/>
    </row>
    <row r="98" spans="1:11" s="193" customFormat="1" ht="13.5" customHeight="1">
      <c r="A98" s="71"/>
      <c r="B98" s="71"/>
      <c r="C98" s="23"/>
      <c r="D98" s="71"/>
      <c r="E98" s="71"/>
      <c r="F98" s="9"/>
      <c r="G98" s="147"/>
      <c r="H98" s="147"/>
      <c r="I98" s="147"/>
      <c r="J98" s="147"/>
      <c r="K98" s="147"/>
    </row>
    <row r="99" spans="1:11" ht="14.25" thickBot="1">
      <c r="A99" s="71"/>
      <c r="B99" s="71"/>
      <c r="C99" s="24"/>
      <c r="D99" s="24"/>
      <c r="E99" s="430"/>
      <c r="F99"/>
      <c r="G99"/>
      <c r="H99"/>
      <c r="I99"/>
      <c r="J99"/>
      <c r="K99"/>
    </row>
    <row r="100" spans="1:5" s="175" customFormat="1" ht="12.75">
      <c r="A100" s="988" t="s">
        <v>918</v>
      </c>
      <c r="B100" s="1009"/>
      <c r="C100" s="989"/>
      <c r="D100" s="654" t="s">
        <v>6</v>
      </c>
      <c r="E100" s="761">
        <v>1502</v>
      </c>
    </row>
    <row r="101" spans="1:11" ht="13.5" thickBot="1">
      <c r="A101" s="990"/>
      <c r="B101" s="1010"/>
      <c r="C101" s="991"/>
      <c r="D101" s="655"/>
      <c r="E101" s="656"/>
      <c r="F101"/>
      <c r="G101"/>
      <c r="H101"/>
      <c r="I101"/>
      <c r="J101"/>
      <c r="K101"/>
    </row>
    <row r="102" spans="1:11" ht="12.75">
      <c r="A102" s="979" t="s">
        <v>919</v>
      </c>
      <c r="B102" s="980"/>
      <c r="C102" s="980"/>
      <c r="D102" s="980"/>
      <c r="E102" s="981"/>
      <c r="F102"/>
      <c r="G102"/>
      <c r="H102"/>
      <c r="I102"/>
      <c r="J102"/>
      <c r="K102"/>
    </row>
    <row r="103" spans="1:11" ht="12.75">
      <c r="A103" s="982"/>
      <c r="B103" s="983"/>
      <c r="C103" s="983"/>
      <c r="D103" s="983"/>
      <c r="E103" s="984"/>
      <c r="F103"/>
      <c r="G103"/>
      <c r="H103"/>
      <c r="I103"/>
      <c r="J103"/>
      <c r="K103"/>
    </row>
    <row r="104" spans="1:11" ht="12.75">
      <c r="A104" s="982"/>
      <c r="B104" s="983"/>
      <c r="C104" s="983"/>
      <c r="D104" s="983"/>
      <c r="E104" s="984"/>
      <c r="F104"/>
      <c r="G104"/>
      <c r="H104"/>
      <c r="I104"/>
      <c r="J104"/>
      <c r="K104"/>
    </row>
    <row r="105" spans="1:11" ht="12.75">
      <c r="A105" s="982"/>
      <c r="B105" s="983"/>
      <c r="C105" s="983"/>
      <c r="D105" s="983"/>
      <c r="E105" s="984"/>
      <c r="F105"/>
      <c r="G105"/>
      <c r="H105"/>
      <c r="I105"/>
      <c r="J105"/>
      <c r="K105"/>
    </row>
    <row r="106" spans="1:5" s="146" customFormat="1" ht="12.75">
      <c r="A106" s="982"/>
      <c r="B106" s="983"/>
      <c r="C106" s="983"/>
      <c r="D106" s="983"/>
      <c r="E106" s="984"/>
    </row>
    <row r="107" spans="1:5" s="146" customFormat="1" ht="12.75">
      <c r="A107" s="982"/>
      <c r="B107" s="983"/>
      <c r="C107" s="983"/>
      <c r="D107" s="983"/>
      <c r="E107" s="984"/>
    </row>
    <row r="108" spans="1:5" s="146" customFormat="1" ht="12.75">
      <c r="A108" s="982"/>
      <c r="B108" s="983"/>
      <c r="C108" s="983"/>
      <c r="D108" s="983"/>
      <c r="E108" s="984"/>
    </row>
    <row r="109" spans="1:5" s="146" customFormat="1" ht="12.75">
      <c r="A109" s="982"/>
      <c r="B109" s="983"/>
      <c r="C109" s="983"/>
      <c r="D109" s="983"/>
      <c r="E109" s="984"/>
    </row>
    <row r="110" spans="1:5" s="146" customFormat="1" ht="12.75">
      <c r="A110" s="982"/>
      <c r="B110" s="983"/>
      <c r="C110" s="983"/>
      <c r="D110" s="983"/>
      <c r="E110" s="984"/>
    </row>
    <row r="111" spans="1:5" s="146" customFormat="1" ht="13.5" thickBot="1">
      <c r="A111" s="982"/>
      <c r="B111" s="983"/>
      <c r="C111" s="983"/>
      <c r="D111" s="983"/>
      <c r="E111" s="984"/>
    </row>
    <row r="112" spans="1:11" s="191" customFormat="1" ht="13.5" customHeight="1">
      <c r="A112" s="116" t="s">
        <v>809</v>
      </c>
      <c r="B112" s="167"/>
      <c r="C112" s="166"/>
      <c r="D112" s="760"/>
      <c r="E112" s="164"/>
      <c r="F112" s="9"/>
      <c r="G112" s="147"/>
      <c r="H112" s="147"/>
      <c r="I112" s="147"/>
      <c r="J112" s="147"/>
      <c r="K112" s="147"/>
    </row>
    <row r="113" spans="1:11" ht="13.5">
      <c r="A113" s="40" t="s">
        <v>464</v>
      </c>
      <c r="B113" s="12"/>
      <c r="C113" s="138"/>
      <c r="D113" s="70"/>
      <c r="E113" s="136"/>
      <c r="F113"/>
      <c r="G113"/>
      <c r="H113"/>
      <c r="I113"/>
      <c r="J113"/>
      <c r="K113"/>
    </row>
    <row r="114" spans="1:11" ht="13.5">
      <c r="A114" s="40" t="s">
        <v>632</v>
      </c>
      <c r="B114" s="12"/>
      <c r="C114" s="138"/>
      <c r="D114" s="70"/>
      <c r="E114" s="136"/>
      <c r="F114"/>
      <c r="G114"/>
      <c r="H114"/>
      <c r="I114"/>
      <c r="J114"/>
      <c r="K114"/>
    </row>
    <row r="115" spans="1:11" ht="14.25" thickBot="1">
      <c r="A115" s="75" t="s">
        <v>11</v>
      </c>
      <c r="B115" s="135"/>
      <c r="C115" s="134"/>
      <c r="D115" s="427"/>
      <c r="E115" s="132"/>
      <c r="F115"/>
      <c r="G115"/>
      <c r="H115"/>
      <c r="I115"/>
      <c r="J115"/>
      <c r="K115"/>
    </row>
    <row r="116" spans="1:11" ht="14.25" thickBot="1">
      <c r="A116" s="697" t="s">
        <v>0</v>
      </c>
      <c r="B116" s="698"/>
      <c r="C116" s="699"/>
      <c r="D116" s="701"/>
      <c r="E116" s="707">
        <f>+C118+C148+C161</f>
        <v>2009020</v>
      </c>
      <c r="F116" s="428"/>
      <c r="G116"/>
      <c r="H116" s="428"/>
      <c r="I116"/>
      <c r="J116"/>
      <c r="K116"/>
    </row>
    <row r="117" spans="1:11" ht="14.25" thickBot="1">
      <c r="A117" s="12"/>
      <c r="B117" s="12"/>
      <c r="C117" s="24"/>
      <c r="D117" s="24"/>
      <c r="E117" s="24"/>
      <c r="F117"/>
      <c r="G117"/>
      <c r="H117"/>
      <c r="I117"/>
      <c r="J117"/>
      <c r="K117"/>
    </row>
    <row r="118" spans="1:11" ht="14.25" thickBot="1">
      <c r="A118" s="992" t="s">
        <v>2</v>
      </c>
      <c r="B118" s="993"/>
      <c r="C118" s="602">
        <f>+C121+C123+C125+C127+C135+C140+C143+C131+C119</f>
        <v>918710</v>
      </c>
      <c r="D118" s="23"/>
      <c r="E118" s="848"/>
      <c r="F118"/>
      <c r="G118"/>
      <c r="H118"/>
      <c r="I118"/>
      <c r="J118"/>
      <c r="K118"/>
    </row>
    <row r="119" spans="1:11" s="198" customFormat="1" ht="13.5" customHeight="1">
      <c r="A119" s="11" t="s">
        <v>103</v>
      </c>
      <c r="B119" s="281" t="s">
        <v>104</v>
      </c>
      <c r="C119" s="32">
        <f>SUM(C120)</f>
        <v>25600</v>
      </c>
      <c r="D119" s="849"/>
      <c r="E119" s="100"/>
      <c r="F119" s="150"/>
      <c r="G119" s="149"/>
      <c r="H119" s="197"/>
      <c r="I119" s="149"/>
      <c r="J119" s="149"/>
      <c r="K119" s="149"/>
    </row>
    <row r="120" spans="1:7" s="42" customFormat="1" ht="13.5" customHeight="1">
      <c r="A120" s="12" t="s">
        <v>46</v>
      </c>
      <c r="B120" s="8" t="s">
        <v>45</v>
      </c>
      <c r="C120" s="24">
        <v>25600</v>
      </c>
      <c r="D120" s="22"/>
      <c r="E120" s="31"/>
      <c r="G120" s="54"/>
    </row>
    <row r="121" spans="1:11" ht="13.5">
      <c r="A121" s="11" t="s">
        <v>200</v>
      </c>
      <c r="B121" s="249" t="s">
        <v>220</v>
      </c>
      <c r="C121" s="25">
        <f>SUM(C122:C122)</f>
        <v>15410</v>
      </c>
      <c r="D121" s="23"/>
      <c r="E121" s="23"/>
      <c r="F121"/>
      <c r="G121"/>
      <c r="H121"/>
      <c r="I121"/>
      <c r="J121"/>
      <c r="K121"/>
    </row>
    <row r="122" spans="1:11" ht="13.5">
      <c r="A122" s="12" t="s">
        <v>219</v>
      </c>
      <c r="B122" s="12" t="s">
        <v>218</v>
      </c>
      <c r="C122" s="24">
        <v>15410</v>
      </c>
      <c r="D122" s="77"/>
      <c r="E122" s="25"/>
      <c r="F122"/>
      <c r="G122"/>
      <c r="H122"/>
      <c r="I122"/>
      <c r="J122"/>
      <c r="K122"/>
    </row>
    <row r="123" spans="1:11" ht="13.5">
      <c r="A123" s="11" t="s">
        <v>105</v>
      </c>
      <c r="B123" s="249" t="s">
        <v>106</v>
      </c>
      <c r="C123" s="32">
        <f>SUM(C124)</f>
        <v>61200</v>
      </c>
      <c r="D123" s="95"/>
      <c r="E123" s="850"/>
      <c r="F123"/>
      <c r="G123"/>
      <c r="H123"/>
      <c r="I123"/>
      <c r="J123"/>
      <c r="K123"/>
    </row>
    <row r="124" spans="1:11" ht="13.5">
      <c r="A124" s="12" t="s">
        <v>86</v>
      </c>
      <c r="B124" s="12" t="s">
        <v>66</v>
      </c>
      <c r="C124" s="24">
        <v>61200</v>
      </c>
      <c r="D124" s="23"/>
      <c r="E124" s="23"/>
      <c r="F124"/>
      <c r="G124"/>
      <c r="H124"/>
      <c r="I124"/>
      <c r="J124"/>
      <c r="K124"/>
    </row>
    <row r="125" spans="1:11" ht="13.5">
      <c r="A125" s="11" t="s">
        <v>107</v>
      </c>
      <c r="B125" s="249" t="s">
        <v>108</v>
      </c>
      <c r="C125" s="32">
        <f>SUM(C126)</f>
        <v>97150</v>
      </c>
      <c r="D125" s="95"/>
      <c r="E125" s="850"/>
      <c r="F125"/>
      <c r="G125"/>
      <c r="H125"/>
      <c r="I125"/>
      <c r="J125"/>
      <c r="K125"/>
    </row>
    <row r="126" spans="1:11" ht="13.5">
      <c r="A126" s="12" t="s">
        <v>47</v>
      </c>
      <c r="B126" s="23" t="s">
        <v>48</v>
      </c>
      <c r="C126" s="24">
        <v>97150</v>
      </c>
      <c r="D126" s="23"/>
      <c r="E126" s="23"/>
      <c r="F126"/>
      <c r="G126"/>
      <c r="H126"/>
      <c r="I126"/>
      <c r="J126"/>
      <c r="K126"/>
    </row>
    <row r="127" spans="1:11" ht="13.5">
      <c r="A127" s="11" t="s">
        <v>196</v>
      </c>
      <c r="B127" s="25" t="s">
        <v>195</v>
      </c>
      <c r="C127" s="31">
        <f>SUM(C128:C130)</f>
        <v>188960</v>
      </c>
      <c r="D127" s="23"/>
      <c r="E127" s="23"/>
      <c r="F127"/>
      <c r="G127"/>
      <c r="H127"/>
      <c r="I127"/>
      <c r="J127"/>
      <c r="K127"/>
    </row>
    <row r="128" spans="1:11" ht="13.5">
      <c r="A128" s="12" t="s">
        <v>194</v>
      </c>
      <c r="B128" s="71" t="s">
        <v>216</v>
      </c>
      <c r="C128" s="24">
        <v>65660</v>
      </c>
      <c r="D128" s="23"/>
      <c r="E128" s="24"/>
      <c r="F128" s="175"/>
      <c r="G128"/>
      <c r="H128"/>
      <c r="I128"/>
      <c r="J128"/>
      <c r="K128"/>
    </row>
    <row r="129" spans="1:11" ht="13.5">
      <c r="A129" s="12" t="s">
        <v>260</v>
      </c>
      <c r="B129" s="42" t="s">
        <v>647</v>
      </c>
      <c r="C129" s="24">
        <v>101400</v>
      </c>
      <c r="D129" s="23"/>
      <c r="E129" s="12"/>
      <c r="F129" s="175"/>
      <c r="G129"/>
      <c r="H129"/>
      <c r="I129"/>
      <c r="J129"/>
      <c r="K129"/>
    </row>
    <row r="130" spans="1:11" ht="13.5">
      <c r="A130" s="12" t="s">
        <v>294</v>
      </c>
      <c r="B130" s="12" t="s">
        <v>465</v>
      </c>
      <c r="C130" s="24">
        <v>21900</v>
      </c>
      <c r="D130" s="23"/>
      <c r="E130" s="12"/>
      <c r="F130" s="175"/>
      <c r="G130"/>
      <c r="H130"/>
      <c r="I130"/>
      <c r="J130"/>
      <c r="K130"/>
    </row>
    <row r="131" spans="1:11" ht="13.5">
      <c r="A131" s="11" t="s">
        <v>466</v>
      </c>
      <c r="B131" s="11" t="s">
        <v>467</v>
      </c>
      <c r="C131" s="31">
        <f>SUM(C132:C134)</f>
        <v>209250</v>
      </c>
      <c r="D131" s="71"/>
      <c r="E131" s="12"/>
      <c r="F131" s="175"/>
      <c r="G131"/>
      <c r="H131"/>
      <c r="I131"/>
      <c r="J131"/>
      <c r="K131"/>
    </row>
    <row r="132" spans="1:11" ht="13.5">
      <c r="A132" s="12" t="s">
        <v>468</v>
      </c>
      <c r="B132" s="12" t="s">
        <v>469</v>
      </c>
      <c r="C132" s="24">
        <v>94400</v>
      </c>
      <c r="D132" s="71"/>
      <c r="E132" s="12"/>
      <c r="F132" s="175"/>
      <c r="G132"/>
      <c r="H132"/>
      <c r="I132"/>
      <c r="J132"/>
      <c r="K132"/>
    </row>
    <row r="133" spans="1:11" ht="13.5">
      <c r="A133" s="12" t="s">
        <v>470</v>
      </c>
      <c r="B133" s="12" t="s">
        <v>471</v>
      </c>
      <c r="C133" s="24">
        <v>28600</v>
      </c>
      <c r="D133" s="71"/>
      <c r="E133" s="12"/>
      <c r="F133" s="175"/>
      <c r="G133"/>
      <c r="H133"/>
      <c r="I133"/>
      <c r="J133"/>
      <c r="K133"/>
    </row>
    <row r="134" spans="1:11" ht="13.5">
      <c r="A134" s="12" t="s">
        <v>472</v>
      </c>
      <c r="B134" s="12" t="s">
        <v>473</v>
      </c>
      <c r="C134" s="24">
        <v>86250</v>
      </c>
      <c r="D134" s="23"/>
      <c r="E134" s="23"/>
      <c r="F134"/>
      <c r="G134"/>
      <c r="H134"/>
      <c r="I134"/>
      <c r="J134"/>
      <c r="K134"/>
    </row>
    <row r="135" spans="1:11" ht="13.5">
      <c r="A135" s="249" t="s">
        <v>119</v>
      </c>
      <c r="B135" s="25" t="s">
        <v>109</v>
      </c>
      <c r="C135" s="31">
        <f>SUM(C136:C139)</f>
        <v>50040</v>
      </c>
      <c r="D135" s="23"/>
      <c r="E135" s="24"/>
      <c r="F135" s="175"/>
      <c r="G135"/>
      <c r="H135"/>
      <c r="I135"/>
      <c r="J135"/>
      <c r="K135"/>
    </row>
    <row r="136" spans="1:11" ht="13.5">
      <c r="A136" s="71" t="s">
        <v>149</v>
      </c>
      <c r="B136" s="42" t="s">
        <v>639</v>
      </c>
      <c r="C136" s="24">
        <v>10440</v>
      </c>
      <c r="D136" s="71"/>
      <c r="E136" s="12"/>
      <c r="F136" s="175"/>
      <c r="G136"/>
      <c r="H136"/>
      <c r="I136"/>
      <c r="J136"/>
      <c r="K136"/>
    </row>
    <row r="137" spans="1:11" ht="13.5">
      <c r="A137" s="71" t="s">
        <v>474</v>
      </c>
      <c r="B137" s="12" t="s">
        <v>475</v>
      </c>
      <c r="C137" s="24">
        <v>19900</v>
      </c>
      <c r="D137" s="71"/>
      <c r="E137" s="12"/>
      <c r="F137" s="175"/>
      <c r="G137"/>
      <c r="H137"/>
      <c r="I137"/>
      <c r="J137"/>
      <c r="K137"/>
    </row>
    <row r="138" spans="1:11" ht="13.5">
      <c r="A138" s="71" t="s">
        <v>189</v>
      </c>
      <c r="B138" s="23" t="s">
        <v>188</v>
      </c>
      <c r="C138" s="24">
        <v>11900</v>
      </c>
      <c r="D138" s="23"/>
      <c r="E138" s="24"/>
      <c r="F138" s="175"/>
      <c r="G138"/>
      <c r="H138"/>
      <c r="I138"/>
      <c r="J138"/>
      <c r="K138"/>
    </row>
    <row r="139" spans="1:11" ht="13.5">
      <c r="A139" s="71" t="s">
        <v>641</v>
      </c>
      <c r="B139" s="42" t="s">
        <v>640</v>
      </c>
      <c r="C139" s="24">
        <v>7800</v>
      </c>
      <c r="D139" s="23"/>
      <c r="E139" s="24"/>
      <c r="F139" s="175"/>
      <c r="G139"/>
      <c r="H139"/>
      <c r="I139"/>
      <c r="J139"/>
      <c r="K139"/>
    </row>
    <row r="140" spans="1:11" ht="13.5">
      <c r="A140" s="249" t="s">
        <v>124</v>
      </c>
      <c r="B140" s="249" t="s">
        <v>123</v>
      </c>
      <c r="C140" s="31">
        <f>SUM(C141:C142)</f>
        <v>51400</v>
      </c>
      <c r="D140" s="23"/>
      <c r="E140" s="23"/>
      <c r="F140"/>
      <c r="G140"/>
      <c r="H140"/>
      <c r="I140"/>
      <c r="J140"/>
      <c r="K140"/>
    </row>
    <row r="141" spans="1:5" s="175" customFormat="1" ht="13.5">
      <c r="A141" s="12" t="s">
        <v>93</v>
      </c>
      <c r="B141" s="24" t="s">
        <v>72</v>
      </c>
      <c r="C141" s="24">
        <v>35600</v>
      </c>
      <c r="D141" s="24"/>
      <c r="E141" s="24"/>
    </row>
    <row r="142" spans="1:5" s="175" customFormat="1" ht="13.5">
      <c r="A142" s="12" t="s">
        <v>555</v>
      </c>
      <c r="B142" s="578" t="s">
        <v>556</v>
      </c>
      <c r="C142" s="24">
        <v>15800</v>
      </c>
      <c r="D142" s="24"/>
      <c r="E142" s="24"/>
    </row>
    <row r="143" spans="1:11" ht="13.5">
      <c r="A143" s="249" t="s">
        <v>150</v>
      </c>
      <c r="B143" s="25" t="s">
        <v>133</v>
      </c>
      <c r="C143" s="31">
        <f>SUM(C144:C146)</f>
        <v>219700</v>
      </c>
      <c r="D143" s="23"/>
      <c r="E143" s="23"/>
      <c r="F143"/>
      <c r="G143"/>
      <c r="H143"/>
      <c r="I143"/>
      <c r="J143"/>
      <c r="K143"/>
    </row>
    <row r="144" spans="1:11" ht="13.5">
      <c r="A144" s="71" t="s">
        <v>476</v>
      </c>
      <c r="B144" s="12" t="s">
        <v>65</v>
      </c>
      <c r="C144" s="24">
        <v>42600</v>
      </c>
      <c r="D144" s="23"/>
      <c r="E144" s="23"/>
      <c r="F144"/>
      <c r="G144"/>
      <c r="H144"/>
      <c r="I144"/>
      <c r="J144"/>
      <c r="K144"/>
    </row>
    <row r="145" spans="1:11" ht="13.5">
      <c r="A145" s="71" t="s">
        <v>211</v>
      </c>
      <c r="B145" s="200" t="s">
        <v>649</v>
      </c>
      <c r="C145" s="24">
        <v>101200</v>
      </c>
      <c r="D145" s="23"/>
      <c r="E145" s="23"/>
      <c r="F145"/>
      <c r="G145"/>
      <c r="H145"/>
      <c r="I145"/>
      <c r="J145"/>
      <c r="K145"/>
    </row>
    <row r="146" spans="1:11" ht="13.5">
      <c r="A146" s="71" t="s">
        <v>153</v>
      </c>
      <c r="B146" s="23" t="s">
        <v>125</v>
      </c>
      <c r="C146" s="24">
        <v>75900</v>
      </c>
      <c r="D146" s="23"/>
      <c r="E146" s="23"/>
      <c r="F146"/>
      <c r="G146"/>
      <c r="H146"/>
      <c r="I146"/>
      <c r="J146"/>
      <c r="K146"/>
    </row>
    <row r="147" spans="1:11" ht="14.25" thickBot="1">
      <c r="A147" s="71"/>
      <c r="B147" s="23"/>
      <c r="C147" s="23"/>
      <c r="D147" s="23"/>
      <c r="E147" s="23"/>
      <c r="F147"/>
      <c r="G147"/>
      <c r="H147"/>
      <c r="I147"/>
      <c r="J147"/>
      <c r="K147"/>
    </row>
    <row r="148" spans="1:11" ht="14.25" thickBot="1">
      <c r="A148" s="994" t="s">
        <v>3</v>
      </c>
      <c r="B148" s="995"/>
      <c r="C148" s="603">
        <f>+C149+C153+C156</f>
        <v>781800</v>
      </c>
      <c r="D148" s="23"/>
      <c r="E148" s="23"/>
      <c r="F148"/>
      <c r="G148"/>
      <c r="H148"/>
      <c r="I148"/>
      <c r="J148"/>
      <c r="K148"/>
    </row>
    <row r="149" spans="1:11" ht="13.5">
      <c r="A149" s="11" t="s">
        <v>120</v>
      </c>
      <c r="B149" s="11" t="s">
        <v>121</v>
      </c>
      <c r="C149" s="25">
        <f>SUM(C150:C152)</f>
        <v>58090</v>
      </c>
      <c r="D149" s="23"/>
      <c r="E149" s="23"/>
      <c r="F149"/>
      <c r="G149"/>
      <c r="H149"/>
      <c r="I149"/>
      <c r="J149"/>
      <c r="K149"/>
    </row>
    <row r="150" spans="1:11" ht="13.5">
      <c r="A150" s="71" t="s">
        <v>477</v>
      </c>
      <c r="B150" s="12" t="s">
        <v>478</v>
      </c>
      <c r="C150" s="24">
        <v>26640</v>
      </c>
      <c r="D150" s="71"/>
      <c r="E150" s="71"/>
      <c r="F150"/>
      <c r="G150"/>
      <c r="H150"/>
      <c r="I150"/>
      <c r="J150"/>
      <c r="K150"/>
    </row>
    <row r="151" spans="1:11" ht="13.5">
      <c r="A151" s="12" t="s">
        <v>184</v>
      </c>
      <c r="B151" s="12" t="s">
        <v>183</v>
      </c>
      <c r="C151" s="24">
        <v>13450</v>
      </c>
      <c r="D151" s="23"/>
      <c r="E151" s="24"/>
      <c r="F151"/>
      <c r="G151"/>
      <c r="H151"/>
      <c r="I151"/>
      <c r="J151"/>
      <c r="K151"/>
    </row>
    <row r="152" spans="1:11" ht="13.5">
      <c r="A152" s="12" t="s">
        <v>136</v>
      </c>
      <c r="B152" s="12" t="s">
        <v>71</v>
      </c>
      <c r="C152" s="24">
        <v>18000</v>
      </c>
      <c r="D152" s="77"/>
      <c r="E152" s="25"/>
      <c r="F152"/>
      <c r="G152"/>
      <c r="H152"/>
      <c r="I152"/>
      <c r="J152"/>
      <c r="K152"/>
    </row>
    <row r="153" spans="1:11" ht="13.5">
      <c r="A153" s="11" t="s">
        <v>112</v>
      </c>
      <c r="B153" s="11" t="s">
        <v>156</v>
      </c>
      <c r="C153" s="31">
        <f>SUM(C154:C155)</f>
        <v>335000</v>
      </c>
      <c r="D153" s="77"/>
      <c r="E153" s="25"/>
      <c r="F153"/>
      <c r="G153"/>
      <c r="H153"/>
      <c r="I153"/>
      <c r="J153"/>
      <c r="K153"/>
    </row>
    <row r="154" spans="1:11" ht="13.5">
      <c r="A154" s="12" t="s">
        <v>138</v>
      </c>
      <c r="B154" s="58" t="s">
        <v>810</v>
      </c>
      <c r="C154" s="24">
        <v>15000</v>
      </c>
      <c r="D154" s="24"/>
      <c r="E154" s="23"/>
      <c r="F154"/>
      <c r="G154"/>
      <c r="H154"/>
      <c r="I154"/>
      <c r="J154"/>
      <c r="K154"/>
    </row>
    <row r="155" spans="1:11" ht="13.5">
      <c r="A155" s="71" t="s">
        <v>155</v>
      </c>
      <c r="B155" s="24" t="s">
        <v>87</v>
      </c>
      <c r="C155" s="24">
        <v>320000</v>
      </c>
      <c r="D155"/>
      <c r="E155" s="71"/>
      <c r="F155"/>
      <c r="G155" s="12"/>
      <c r="H155"/>
      <c r="I155"/>
      <c r="J155"/>
      <c r="K155"/>
    </row>
    <row r="156" spans="1:11" ht="13.5">
      <c r="A156" s="11" t="s">
        <v>115</v>
      </c>
      <c r="B156" s="31" t="s">
        <v>8</v>
      </c>
      <c r="C156" s="31">
        <f>SUM(C157:C159)</f>
        <v>388710</v>
      </c>
      <c r="D156" s="23"/>
      <c r="E156" s="23"/>
      <c r="F156"/>
      <c r="G156"/>
      <c r="H156"/>
      <c r="I156"/>
      <c r="J156"/>
      <c r="K156"/>
    </row>
    <row r="157" spans="1:11" ht="13.5">
      <c r="A157" s="12" t="s">
        <v>89</v>
      </c>
      <c r="B157" s="24" t="s">
        <v>8</v>
      </c>
      <c r="C157" s="24">
        <v>128640</v>
      </c>
      <c r="D157" s="24"/>
      <c r="E157" s="117"/>
      <c r="F157"/>
      <c r="G157"/>
      <c r="H157"/>
      <c r="I157"/>
      <c r="J157"/>
      <c r="K157"/>
    </row>
    <row r="158" spans="1:11" ht="13.5">
      <c r="A158" s="12" t="s">
        <v>182</v>
      </c>
      <c r="B158" s="24" t="s">
        <v>50</v>
      </c>
      <c r="C158" s="24">
        <v>32430</v>
      </c>
      <c r="D158" s="117"/>
      <c r="E158" s="117"/>
      <c r="F158"/>
      <c r="G158"/>
      <c r="H158"/>
      <c r="I158"/>
      <c r="J158"/>
      <c r="K158"/>
    </row>
    <row r="159" spans="1:11" ht="13.5">
      <c r="A159" s="12" t="s">
        <v>90</v>
      </c>
      <c r="B159" s="24" t="s">
        <v>7</v>
      </c>
      <c r="C159" s="24">
        <v>227640</v>
      </c>
      <c r="D159" s="31"/>
      <c r="E159" s="38"/>
      <c r="F159"/>
      <c r="G159"/>
      <c r="H159"/>
      <c r="I159"/>
      <c r="J159"/>
      <c r="K159"/>
    </row>
    <row r="160" spans="1:11" ht="14.25" thickBot="1">
      <c r="A160" s="12"/>
      <c r="B160" s="12"/>
      <c r="C160" s="24"/>
      <c r="D160" s="24"/>
      <c r="E160" s="23"/>
      <c r="F160"/>
      <c r="G160"/>
      <c r="H160"/>
      <c r="I160"/>
      <c r="J160"/>
      <c r="K160"/>
    </row>
    <row r="161" spans="1:11" ht="14.25" thickBot="1">
      <c r="A161" s="996" t="s">
        <v>4</v>
      </c>
      <c r="B161" s="997"/>
      <c r="C161" s="605">
        <f>C162+C164+C166</f>
        <v>308510</v>
      </c>
      <c r="D161" s="71"/>
      <c r="E161" s="23"/>
      <c r="F161"/>
      <c r="G161"/>
      <c r="H161"/>
      <c r="I161"/>
      <c r="J161"/>
      <c r="K161"/>
    </row>
    <row r="162" spans="1:11" ht="13.5">
      <c r="A162" s="249" t="s">
        <v>178</v>
      </c>
      <c r="B162" s="281" t="s">
        <v>177</v>
      </c>
      <c r="C162" s="32">
        <f>SUM(C163)</f>
        <v>257000</v>
      </c>
      <c r="D162" s="78"/>
      <c r="E162" s="25"/>
      <c r="F162"/>
      <c r="G162"/>
      <c r="H162"/>
      <c r="I162"/>
      <c r="J162"/>
      <c r="K162"/>
    </row>
    <row r="163" spans="1:11" ht="13.5">
      <c r="A163" s="71" t="s">
        <v>479</v>
      </c>
      <c r="B163" s="12" t="s">
        <v>480</v>
      </c>
      <c r="C163" s="24">
        <v>257000</v>
      </c>
      <c r="D163"/>
      <c r="E163" s="119"/>
      <c r="F163"/>
      <c r="G163"/>
      <c r="H163"/>
      <c r="I163"/>
      <c r="J163"/>
      <c r="K163"/>
    </row>
    <row r="164" spans="1:11" ht="13.5">
      <c r="A164" s="249" t="s">
        <v>116</v>
      </c>
      <c r="B164" s="281" t="s">
        <v>117</v>
      </c>
      <c r="C164" s="31">
        <f>SUM(C165)</f>
        <v>31510</v>
      </c>
      <c r="D164" s="77"/>
      <c r="E164" s="77"/>
      <c r="F164"/>
      <c r="G164"/>
      <c r="H164"/>
      <c r="I164"/>
      <c r="J164"/>
      <c r="K164"/>
    </row>
    <row r="165" spans="1:11" ht="13.5">
      <c r="A165" s="71" t="s">
        <v>91</v>
      </c>
      <c r="B165" s="23" t="s">
        <v>9</v>
      </c>
      <c r="C165" s="24">
        <v>31510</v>
      </c>
      <c r="D165" s="78"/>
      <c r="E165" s="25"/>
      <c r="F165"/>
      <c r="G165"/>
      <c r="H165"/>
      <c r="I165"/>
      <c r="J165"/>
      <c r="K165"/>
    </row>
    <row r="166" spans="1:11" ht="13.5">
      <c r="A166" s="249" t="s">
        <v>165</v>
      </c>
      <c r="B166" s="25" t="s">
        <v>135</v>
      </c>
      <c r="C166" s="31">
        <f>SUM(C167)</f>
        <v>20000</v>
      </c>
      <c r="D166" s="77"/>
      <c r="E166" s="25"/>
      <c r="F166"/>
      <c r="G166"/>
      <c r="H166"/>
      <c r="I166"/>
      <c r="J166"/>
      <c r="K166"/>
    </row>
    <row r="167" spans="1:11" ht="13.5">
      <c r="A167" s="71" t="s">
        <v>166</v>
      </c>
      <c r="B167" s="23" t="s">
        <v>51</v>
      </c>
      <c r="C167" s="24">
        <v>20000</v>
      </c>
      <c r="D167" s="77"/>
      <c r="E167" s="25"/>
      <c r="F167"/>
      <c r="G167"/>
      <c r="H167"/>
      <c r="I167"/>
      <c r="J167"/>
      <c r="K167"/>
    </row>
    <row r="168" spans="1:11" ht="13.5">
      <c r="A168" s="71"/>
      <c r="B168" s="23"/>
      <c r="C168" s="24"/>
      <c r="D168" s="77"/>
      <c r="E168" s="25"/>
      <c r="F168"/>
      <c r="G168"/>
      <c r="H168"/>
      <c r="I168"/>
      <c r="J168"/>
      <c r="K168"/>
    </row>
    <row r="169" spans="1:11" ht="14.25" thickBot="1">
      <c r="A169" s="71"/>
      <c r="B169" s="23"/>
      <c r="C169" s="24"/>
      <c r="D169" s="77"/>
      <c r="E169" s="25"/>
      <c r="F169"/>
      <c r="G169"/>
      <c r="H169"/>
      <c r="I169"/>
      <c r="J169"/>
      <c r="K169"/>
    </row>
    <row r="170" spans="1:11" ht="12.75">
      <c r="A170" s="1109" t="s">
        <v>463</v>
      </c>
      <c r="B170" s="1110"/>
      <c r="C170" s="1111"/>
      <c r="D170" s="654" t="s">
        <v>6</v>
      </c>
      <c r="E170" s="761">
        <v>1503</v>
      </c>
      <c r="F170"/>
      <c r="G170"/>
      <c r="H170"/>
      <c r="I170"/>
      <c r="J170"/>
      <c r="K170"/>
    </row>
    <row r="171" spans="1:11" ht="13.5" thickBot="1">
      <c r="A171" s="1112"/>
      <c r="B171" s="1113"/>
      <c r="C171" s="1114"/>
      <c r="D171" s="655"/>
      <c r="E171" s="656"/>
      <c r="F171"/>
      <c r="G171"/>
      <c r="H171"/>
      <c r="I171"/>
      <c r="J171"/>
      <c r="K171"/>
    </row>
    <row r="172" spans="1:11" ht="12.75">
      <c r="A172" s="1021" t="s">
        <v>920</v>
      </c>
      <c r="B172" s="1022"/>
      <c r="C172" s="1022"/>
      <c r="D172" s="1022"/>
      <c r="E172" s="1023"/>
      <c r="F172"/>
      <c r="G172"/>
      <c r="H172"/>
      <c r="I172"/>
      <c r="J172"/>
      <c r="K172"/>
    </row>
    <row r="173" spans="1:11" ht="12.75">
      <c r="A173" s="1024"/>
      <c r="B173" s="1025"/>
      <c r="C173" s="1025"/>
      <c r="D173" s="1025"/>
      <c r="E173" s="1026"/>
      <c r="F173"/>
      <c r="G173"/>
      <c r="H173"/>
      <c r="I173"/>
      <c r="J173"/>
      <c r="K173"/>
    </row>
    <row r="174" spans="1:11" ht="13.5" thickBot="1">
      <c r="A174" s="1024"/>
      <c r="B174" s="1025"/>
      <c r="C174" s="1025"/>
      <c r="D174" s="1025"/>
      <c r="E174" s="1026"/>
      <c r="F174"/>
      <c r="G174"/>
      <c r="H174"/>
      <c r="I174"/>
      <c r="J174"/>
      <c r="K174"/>
    </row>
    <row r="175" spans="1:11" ht="13.5">
      <c r="A175" s="116" t="s">
        <v>809</v>
      </c>
      <c r="B175" s="167"/>
      <c r="C175" s="166"/>
      <c r="D175" s="760"/>
      <c r="E175" s="164"/>
      <c r="F175"/>
      <c r="G175"/>
      <c r="H175"/>
      <c r="I175"/>
      <c r="J175"/>
      <c r="K175"/>
    </row>
    <row r="176" spans="1:11" ht="13.5">
      <c r="A176" s="40" t="s">
        <v>921</v>
      </c>
      <c r="B176" s="12"/>
      <c r="C176" s="138"/>
      <c r="D176" s="70"/>
      <c r="E176" s="136"/>
      <c r="F176"/>
      <c r="G176"/>
      <c r="H176"/>
      <c r="I176"/>
      <c r="J176"/>
      <c r="K176"/>
    </row>
    <row r="177" spans="1:11" ht="13.5">
      <c r="A177" s="40" t="s">
        <v>648</v>
      </c>
      <c r="B177" s="12"/>
      <c r="C177" s="138"/>
      <c r="D177" s="70"/>
      <c r="E177" s="136"/>
      <c r="F177"/>
      <c r="G177"/>
      <c r="H177"/>
      <c r="I177"/>
      <c r="J177"/>
      <c r="K177"/>
    </row>
    <row r="178" spans="1:11" ht="14.25" thickBot="1">
      <c r="A178" s="75" t="s">
        <v>11</v>
      </c>
      <c r="B178" s="135"/>
      <c r="C178" s="134"/>
      <c r="D178" s="427"/>
      <c r="E178" s="132"/>
      <c r="F178"/>
      <c r="G178"/>
      <c r="H178"/>
      <c r="I178"/>
      <c r="J178"/>
      <c r="K178"/>
    </row>
    <row r="179" spans="1:11" ht="14.25" thickBot="1">
      <c r="A179" s="697" t="s">
        <v>0</v>
      </c>
      <c r="B179" s="698"/>
      <c r="C179" s="699"/>
      <c r="D179" s="701"/>
      <c r="E179" s="707">
        <f>+C181+C205+C219</f>
        <v>1021680</v>
      </c>
      <c r="F179" s="428"/>
      <c r="G179"/>
      <c r="H179" s="428"/>
      <c r="I179"/>
      <c r="J179"/>
      <c r="K179"/>
    </row>
    <row r="180" spans="1:11" ht="14.25" thickBot="1">
      <c r="A180" s="12"/>
      <c r="B180" s="12"/>
      <c r="C180" s="24"/>
      <c r="D180" s="24"/>
      <c r="E180" s="24"/>
      <c r="F180"/>
      <c r="G180"/>
      <c r="H180"/>
      <c r="I180"/>
      <c r="J180"/>
      <c r="K180"/>
    </row>
    <row r="181" spans="1:11" ht="14.25" thickBot="1">
      <c r="A181" s="992" t="s">
        <v>2</v>
      </c>
      <c r="B181" s="993"/>
      <c r="C181" s="602">
        <f>+C184+C186+C188+C190+C195+C199+C201+C192+C182</f>
        <v>461340</v>
      </c>
      <c r="D181" s="23"/>
      <c r="E181" s="848"/>
      <c r="F181"/>
      <c r="G181"/>
      <c r="H181"/>
      <c r="I181"/>
      <c r="J181"/>
      <c r="K181"/>
    </row>
    <row r="182" spans="1:11" s="198" customFormat="1" ht="13.5" customHeight="1">
      <c r="A182" s="11" t="s">
        <v>103</v>
      </c>
      <c r="B182" s="281" t="s">
        <v>104</v>
      </c>
      <c r="C182" s="32">
        <f>SUM(C183)</f>
        <v>8500</v>
      </c>
      <c r="D182" s="849"/>
      <c r="E182" s="100"/>
      <c r="F182" s="150"/>
      <c r="G182" s="149"/>
      <c r="H182" s="197"/>
      <c r="I182" s="149"/>
      <c r="J182" s="149"/>
      <c r="K182" s="149"/>
    </row>
    <row r="183" spans="1:7" s="42" customFormat="1" ht="13.5" customHeight="1">
      <c r="A183" s="12" t="s">
        <v>46</v>
      </c>
      <c r="B183" s="8" t="s">
        <v>45</v>
      </c>
      <c r="C183" s="24">
        <v>8500</v>
      </c>
      <c r="D183" s="22"/>
      <c r="E183" s="31"/>
      <c r="G183" s="54"/>
    </row>
    <row r="184" spans="1:11" ht="13.5">
      <c r="A184" s="11" t="s">
        <v>200</v>
      </c>
      <c r="B184" s="249" t="s">
        <v>220</v>
      </c>
      <c r="C184" s="25">
        <f>SUM(C185:C185)</f>
        <v>29800</v>
      </c>
      <c r="D184" s="23"/>
      <c r="E184" s="23"/>
      <c r="F184"/>
      <c r="G184"/>
      <c r="H184"/>
      <c r="I184"/>
      <c r="J184"/>
      <c r="K184"/>
    </row>
    <row r="185" spans="1:11" ht="13.5">
      <c r="A185" s="12" t="s">
        <v>219</v>
      </c>
      <c r="B185" s="12" t="s">
        <v>218</v>
      </c>
      <c r="C185" s="24">
        <v>29800</v>
      </c>
      <c r="D185" s="77"/>
      <c r="E185" s="25"/>
      <c r="F185"/>
      <c r="G185"/>
      <c r="H185"/>
      <c r="I185"/>
      <c r="J185"/>
      <c r="K185"/>
    </row>
    <row r="186" spans="1:11" ht="13.5">
      <c r="A186" s="11" t="s">
        <v>105</v>
      </c>
      <c r="B186" s="249" t="s">
        <v>106</v>
      </c>
      <c r="C186" s="32">
        <f>SUM(C187)</f>
        <v>67500</v>
      </c>
      <c r="D186" s="95"/>
      <c r="E186" s="850"/>
      <c r="F186"/>
      <c r="G186"/>
      <c r="H186"/>
      <c r="I186"/>
      <c r="J186"/>
      <c r="K186"/>
    </row>
    <row r="187" spans="1:11" ht="13.5">
      <c r="A187" s="12" t="s">
        <v>86</v>
      </c>
      <c r="B187" s="12" t="s">
        <v>66</v>
      </c>
      <c r="C187" s="24">
        <v>67500</v>
      </c>
      <c r="D187" s="23"/>
      <c r="E187" s="23"/>
      <c r="F187"/>
      <c r="G187"/>
      <c r="H187"/>
      <c r="I187"/>
      <c r="J187"/>
      <c r="K187"/>
    </row>
    <row r="188" spans="1:11" ht="13.5">
      <c r="A188" s="11" t="s">
        <v>107</v>
      </c>
      <c r="B188" s="249" t="s">
        <v>108</v>
      </c>
      <c r="C188" s="32">
        <f>SUM(C189)</f>
        <v>89760</v>
      </c>
      <c r="D188" s="95"/>
      <c r="E188" s="850"/>
      <c r="F188"/>
      <c r="G188"/>
      <c r="H188"/>
      <c r="I188"/>
      <c r="J188"/>
      <c r="K188"/>
    </row>
    <row r="189" spans="1:11" ht="13.5">
      <c r="A189" s="12" t="s">
        <v>47</v>
      </c>
      <c r="B189" s="23" t="s">
        <v>48</v>
      </c>
      <c r="C189" s="24">
        <v>89760</v>
      </c>
      <c r="D189" s="23"/>
      <c r="E189" s="23"/>
      <c r="F189"/>
      <c r="G189"/>
      <c r="H189"/>
      <c r="I189"/>
      <c r="J189"/>
      <c r="K189"/>
    </row>
    <row r="190" spans="1:11" ht="13.5">
      <c r="A190" s="11" t="s">
        <v>196</v>
      </c>
      <c r="B190" s="25" t="s">
        <v>195</v>
      </c>
      <c r="C190" s="31">
        <f>SUM(C191:C191)</f>
        <v>79800</v>
      </c>
      <c r="D190" s="23"/>
      <c r="E190" s="23"/>
      <c r="F190"/>
      <c r="G190"/>
      <c r="H190"/>
      <c r="I190"/>
      <c r="J190"/>
      <c r="K190"/>
    </row>
    <row r="191" spans="1:11" ht="13.5">
      <c r="A191" s="12" t="s">
        <v>194</v>
      </c>
      <c r="B191" s="71" t="s">
        <v>216</v>
      </c>
      <c r="C191" s="24">
        <v>79800</v>
      </c>
      <c r="D191" s="23"/>
      <c r="E191" s="24"/>
      <c r="F191" s="175"/>
      <c r="G191"/>
      <c r="H191"/>
      <c r="I191"/>
      <c r="J191"/>
      <c r="K191"/>
    </row>
    <row r="192" spans="1:11" ht="13.5">
      <c r="A192" s="11" t="s">
        <v>466</v>
      </c>
      <c r="B192" s="11" t="s">
        <v>467</v>
      </c>
      <c r="C192" s="31">
        <f>SUM(C193:C194)</f>
        <v>60650</v>
      </c>
      <c r="D192" s="71"/>
      <c r="E192" s="12"/>
      <c r="F192" s="175"/>
      <c r="G192"/>
      <c r="H192"/>
      <c r="I192"/>
      <c r="J192"/>
      <c r="K192"/>
    </row>
    <row r="193" spans="1:11" ht="13.5">
      <c r="A193" s="12" t="s">
        <v>470</v>
      </c>
      <c r="B193" s="12" t="s">
        <v>471</v>
      </c>
      <c r="C193" s="24">
        <v>24900</v>
      </c>
      <c r="D193" s="71"/>
      <c r="E193" s="12"/>
      <c r="F193" s="175"/>
      <c r="G193"/>
      <c r="H193"/>
      <c r="I193"/>
      <c r="J193"/>
      <c r="K193"/>
    </row>
    <row r="194" spans="1:11" ht="13.5">
      <c r="A194" s="12" t="s">
        <v>472</v>
      </c>
      <c r="B194" s="12" t="s">
        <v>473</v>
      </c>
      <c r="C194" s="24">
        <v>35750</v>
      </c>
      <c r="D194" s="23"/>
      <c r="E194" s="23"/>
      <c r="F194"/>
      <c r="G194"/>
      <c r="H194"/>
      <c r="I194"/>
      <c r="J194"/>
      <c r="K194"/>
    </row>
    <row r="195" spans="1:11" ht="13.5">
      <c r="A195" s="249" t="s">
        <v>119</v>
      </c>
      <c r="B195" s="25" t="s">
        <v>109</v>
      </c>
      <c r="C195" s="31">
        <f>SUM(C196:C198)</f>
        <v>53030</v>
      </c>
      <c r="D195" s="23"/>
      <c r="E195" s="24"/>
      <c r="F195" s="175"/>
      <c r="G195"/>
      <c r="H195"/>
      <c r="I195"/>
      <c r="J195"/>
      <c r="K195"/>
    </row>
    <row r="196" spans="1:11" ht="13.5">
      <c r="A196" s="71" t="s">
        <v>474</v>
      </c>
      <c r="B196" s="12" t="s">
        <v>475</v>
      </c>
      <c r="C196" s="24">
        <v>25740</v>
      </c>
      <c r="D196" s="71"/>
      <c r="E196" s="12"/>
      <c r="F196" s="175"/>
      <c r="G196"/>
      <c r="H196"/>
      <c r="I196"/>
      <c r="J196"/>
      <c r="K196"/>
    </row>
    <row r="197" spans="1:11" ht="13.5">
      <c r="A197" s="71" t="s">
        <v>189</v>
      </c>
      <c r="B197" s="23" t="s">
        <v>188</v>
      </c>
      <c r="C197" s="24">
        <v>7590</v>
      </c>
      <c r="D197" s="23"/>
      <c r="E197" s="24"/>
      <c r="F197" s="175"/>
      <c r="G197"/>
      <c r="H197"/>
      <c r="I197"/>
      <c r="J197"/>
      <c r="K197"/>
    </row>
    <row r="198" spans="1:11" ht="13.5">
      <c r="A198" s="71" t="s">
        <v>641</v>
      </c>
      <c r="B198" s="42" t="s">
        <v>640</v>
      </c>
      <c r="C198" s="24">
        <v>19700</v>
      </c>
      <c r="D198" s="23"/>
      <c r="E198" s="24"/>
      <c r="F198" s="175"/>
      <c r="G198"/>
      <c r="H198"/>
      <c r="I198"/>
      <c r="J198"/>
      <c r="K198"/>
    </row>
    <row r="199" spans="1:11" ht="13.5">
      <c r="A199" s="249" t="s">
        <v>124</v>
      </c>
      <c r="B199" s="249" t="s">
        <v>123</v>
      </c>
      <c r="C199" s="31">
        <f>SUM(C200)</f>
        <v>18000</v>
      </c>
      <c r="D199" s="23"/>
      <c r="E199" s="23"/>
      <c r="F199"/>
      <c r="G199"/>
      <c r="H199"/>
      <c r="I199"/>
      <c r="J199"/>
      <c r="K199"/>
    </row>
    <row r="200" spans="1:5" s="175" customFormat="1" ht="13.5">
      <c r="A200" s="12" t="s">
        <v>93</v>
      </c>
      <c r="B200" s="24" t="s">
        <v>72</v>
      </c>
      <c r="C200" s="24">
        <v>18000</v>
      </c>
      <c r="D200" s="24"/>
      <c r="E200" s="24"/>
    </row>
    <row r="201" spans="1:11" ht="13.5">
      <c r="A201" s="249" t="s">
        <v>150</v>
      </c>
      <c r="B201" s="25" t="s">
        <v>133</v>
      </c>
      <c r="C201" s="31">
        <f>SUM(C202:C203)</f>
        <v>54300</v>
      </c>
      <c r="D201" s="23"/>
      <c r="E201" s="23"/>
      <c r="F201"/>
      <c r="G201"/>
      <c r="H201"/>
      <c r="I201"/>
      <c r="J201"/>
      <c r="K201"/>
    </row>
    <row r="202" spans="1:11" ht="13.5">
      <c r="A202" s="71" t="s">
        <v>211</v>
      </c>
      <c r="B202" s="42" t="s">
        <v>649</v>
      </c>
      <c r="C202" s="24">
        <v>35800</v>
      </c>
      <c r="D202" s="23"/>
      <c r="E202" s="23"/>
      <c r="F202"/>
      <c r="G202"/>
      <c r="H202"/>
      <c r="I202"/>
      <c r="J202"/>
      <c r="K202"/>
    </row>
    <row r="203" spans="1:11" ht="13.5">
      <c r="A203" s="71" t="s">
        <v>153</v>
      </c>
      <c r="B203" s="23" t="s">
        <v>125</v>
      </c>
      <c r="C203" s="24">
        <v>18500</v>
      </c>
      <c r="D203" s="23"/>
      <c r="E203" s="23"/>
      <c r="F203"/>
      <c r="G203"/>
      <c r="H203"/>
      <c r="I203"/>
      <c r="J203"/>
      <c r="K203"/>
    </row>
    <row r="204" spans="1:11" ht="14.25" thickBot="1">
      <c r="A204" s="71"/>
      <c r="B204" s="23"/>
      <c r="C204" s="23"/>
      <c r="D204" s="23"/>
      <c r="E204" s="23"/>
      <c r="F204"/>
      <c r="G204"/>
      <c r="H204"/>
      <c r="I204"/>
      <c r="J204"/>
      <c r="K204"/>
    </row>
    <row r="205" spans="1:11" ht="14.25" thickBot="1">
      <c r="A205" s="994" t="s">
        <v>3</v>
      </c>
      <c r="B205" s="995"/>
      <c r="C205" s="603">
        <f>+C206+C210+C212+C214</f>
        <v>436040</v>
      </c>
      <c r="D205" s="23"/>
      <c r="E205" s="23"/>
      <c r="F205"/>
      <c r="G205"/>
      <c r="H205"/>
      <c r="I205"/>
      <c r="J205"/>
      <c r="K205"/>
    </row>
    <row r="206" spans="1:11" ht="13.5">
      <c r="A206" s="11" t="s">
        <v>120</v>
      </c>
      <c r="B206" s="11" t="s">
        <v>121</v>
      </c>
      <c r="C206" s="25">
        <f>SUM(C207:C209)</f>
        <v>52540</v>
      </c>
      <c r="D206" s="23"/>
      <c r="E206" s="23"/>
      <c r="F206"/>
      <c r="G206"/>
      <c r="H206"/>
      <c r="I206"/>
      <c r="J206"/>
      <c r="K206"/>
    </row>
    <row r="207" spans="1:11" ht="13.5">
      <c r="A207" s="71" t="s">
        <v>477</v>
      </c>
      <c r="B207" s="12" t="s">
        <v>478</v>
      </c>
      <c r="C207" s="24">
        <v>24890</v>
      </c>
      <c r="D207" s="71"/>
      <c r="E207" s="71"/>
      <c r="F207"/>
      <c r="G207"/>
      <c r="H207"/>
      <c r="I207"/>
      <c r="J207"/>
      <c r="K207"/>
    </row>
    <row r="208" spans="1:11" ht="13.5">
      <c r="A208" s="12" t="s">
        <v>184</v>
      </c>
      <c r="B208" s="12" t="s">
        <v>183</v>
      </c>
      <c r="C208" s="24">
        <v>8900</v>
      </c>
      <c r="D208" s="23"/>
      <c r="E208" s="24"/>
      <c r="F208"/>
      <c r="G208"/>
      <c r="H208"/>
      <c r="I208"/>
      <c r="J208"/>
      <c r="K208"/>
    </row>
    <row r="209" spans="1:11" ht="13.5">
      <c r="A209" s="12" t="s">
        <v>136</v>
      </c>
      <c r="B209" s="12" t="s">
        <v>71</v>
      </c>
      <c r="C209" s="24">
        <v>18750</v>
      </c>
      <c r="D209" s="77"/>
      <c r="E209" s="25"/>
      <c r="F209"/>
      <c r="G209"/>
      <c r="H209"/>
      <c r="I209"/>
      <c r="J209"/>
      <c r="K209"/>
    </row>
    <row r="210" spans="1:11" ht="13.5">
      <c r="A210" s="11" t="s">
        <v>112</v>
      </c>
      <c r="B210" s="11" t="s">
        <v>156</v>
      </c>
      <c r="C210" s="31">
        <f>SUM(C211:C211)</f>
        <v>34000</v>
      </c>
      <c r="D210" s="77"/>
      <c r="E210" s="25"/>
      <c r="F210"/>
      <c r="G210"/>
      <c r="H210"/>
      <c r="I210"/>
      <c r="J210"/>
      <c r="K210"/>
    </row>
    <row r="211" spans="1:11" ht="13.5">
      <c r="A211" s="71" t="s">
        <v>155</v>
      </c>
      <c r="B211" s="24" t="s">
        <v>87</v>
      </c>
      <c r="C211" s="24">
        <v>34000</v>
      </c>
      <c r="D211"/>
      <c r="E211" s="71"/>
      <c r="F211" s="118"/>
      <c r="G211" s="12"/>
      <c r="H211"/>
      <c r="I211"/>
      <c r="J211"/>
      <c r="K211"/>
    </row>
    <row r="212" spans="1:11" ht="13.5">
      <c r="A212" s="11" t="s">
        <v>132</v>
      </c>
      <c r="B212" s="31" t="s">
        <v>56</v>
      </c>
      <c r="C212" s="31">
        <f>SUM(C213)</f>
        <v>10000</v>
      </c>
      <c r="D212" s="24"/>
      <c r="E212" s="117"/>
      <c r="F212"/>
      <c r="G212"/>
      <c r="H212"/>
      <c r="I212"/>
      <c r="J212"/>
      <c r="K212"/>
    </row>
    <row r="213" spans="1:11" ht="13.5">
      <c r="A213" s="12" t="s">
        <v>55</v>
      </c>
      <c r="B213" s="24" t="s">
        <v>56</v>
      </c>
      <c r="C213" s="24">
        <v>10000</v>
      </c>
      <c r="D213" s="24"/>
      <c r="E213" s="117"/>
      <c r="F213"/>
      <c r="G213"/>
      <c r="H213"/>
      <c r="I213"/>
      <c r="J213"/>
      <c r="K213"/>
    </row>
    <row r="214" spans="1:11" ht="13.5">
      <c r="A214" s="11" t="s">
        <v>115</v>
      </c>
      <c r="B214" s="31" t="s">
        <v>8</v>
      </c>
      <c r="C214" s="31">
        <f>SUM(C215:C217)</f>
        <v>339500</v>
      </c>
      <c r="D214" s="23"/>
      <c r="E214" s="23"/>
      <c r="F214"/>
      <c r="G214"/>
      <c r="H214"/>
      <c r="I214"/>
      <c r="J214"/>
      <c r="K214"/>
    </row>
    <row r="215" spans="1:11" ht="13.5">
      <c r="A215" s="12" t="s">
        <v>89</v>
      </c>
      <c r="B215" s="24" t="s">
        <v>8</v>
      </c>
      <c r="C215" s="24">
        <v>213000</v>
      </c>
      <c r="D215" s="24"/>
      <c r="E215" s="117"/>
      <c r="F215"/>
      <c r="G215"/>
      <c r="H215"/>
      <c r="I215"/>
      <c r="J215"/>
      <c r="K215"/>
    </row>
    <row r="216" spans="1:11" ht="13.5">
      <c r="A216" s="12" t="s">
        <v>182</v>
      </c>
      <c r="B216" s="24" t="s">
        <v>50</v>
      </c>
      <c r="C216" s="24">
        <v>6500</v>
      </c>
      <c r="D216" s="117"/>
      <c r="E216" s="117"/>
      <c r="F216"/>
      <c r="G216"/>
      <c r="H216"/>
      <c r="I216"/>
      <c r="J216"/>
      <c r="K216"/>
    </row>
    <row r="217" spans="1:11" ht="13.5">
      <c r="A217" s="12" t="s">
        <v>90</v>
      </c>
      <c r="B217" s="24" t="s">
        <v>7</v>
      </c>
      <c r="C217" s="24">
        <v>120000</v>
      </c>
      <c r="D217" s="31"/>
      <c r="E217" s="38"/>
      <c r="F217"/>
      <c r="G217"/>
      <c r="H217"/>
      <c r="I217"/>
      <c r="J217"/>
      <c r="K217"/>
    </row>
    <row r="218" spans="1:11" ht="14.25" thickBot="1">
      <c r="A218" s="12"/>
      <c r="B218" s="12"/>
      <c r="C218" s="24"/>
      <c r="D218" s="24"/>
      <c r="E218" s="23"/>
      <c r="F218"/>
      <c r="G218"/>
      <c r="H218"/>
      <c r="I218"/>
      <c r="J218"/>
      <c r="K218"/>
    </row>
    <row r="219" spans="1:11" ht="14.25" thickBot="1">
      <c r="A219" s="996" t="s">
        <v>4</v>
      </c>
      <c r="B219" s="997"/>
      <c r="C219" s="605">
        <f>C220+C222+C224</f>
        <v>124300</v>
      </c>
      <c r="D219" s="71"/>
      <c r="E219" s="23"/>
      <c r="F219"/>
      <c r="G219"/>
      <c r="H219"/>
      <c r="I219"/>
      <c r="J219"/>
      <c r="K219"/>
    </row>
    <row r="220" spans="1:11" ht="13.5">
      <c r="A220" s="249" t="s">
        <v>178</v>
      </c>
      <c r="B220" s="281" t="s">
        <v>177</v>
      </c>
      <c r="C220" s="32">
        <f>SUM(C221)</f>
        <v>100000</v>
      </c>
      <c r="D220" s="78"/>
      <c r="E220" s="25"/>
      <c r="F220"/>
      <c r="G220"/>
      <c r="H220"/>
      <c r="I220"/>
      <c r="J220"/>
      <c r="K220"/>
    </row>
    <row r="221" spans="1:11" ht="13.5">
      <c r="A221" s="71" t="s">
        <v>479</v>
      </c>
      <c r="B221" s="12" t="s">
        <v>480</v>
      </c>
      <c r="C221" s="24">
        <v>100000</v>
      </c>
      <c r="D221"/>
      <c r="E221" s="119"/>
      <c r="F221"/>
      <c r="G221"/>
      <c r="H221"/>
      <c r="I221"/>
      <c r="J221"/>
      <c r="K221"/>
    </row>
    <row r="222" spans="1:11" ht="13.5">
      <c r="A222" s="249" t="s">
        <v>116</v>
      </c>
      <c r="B222" s="281" t="s">
        <v>117</v>
      </c>
      <c r="C222" s="31">
        <f>SUM(C223)</f>
        <v>16800</v>
      </c>
      <c r="D222" s="77"/>
      <c r="E222" s="77"/>
      <c r="F222"/>
      <c r="G222"/>
      <c r="H222"/>
      <c r="I222"/>
      <c r="J222"/>
      <c r="K222"/>
    </row>
    <row r="223" spans="1:11" ht="13.5">
      <c r="A223" s="71" t="s">
        <v>91</v>
      </c>
      <c r="B223" s="23" t="s">
        <v>9</v>
      </c>
      <c r="C223" s="24">
        <v>16800</v>
      </c>
      <c r="D223" s="78"/>
      <c r="E223" s="25"/>
      <c r="F223"/>
      <c r="G223"/>
      <c r="H223"/>
      <c r="I223"/>
      <c r="J223"/>
      <c r="K223"/>
    </row>
    <row r="224" spans="1:11" ht="13.5">
      <c r="A224" s="249" t="s">
        <v>165</v>
      </c>
      <c r="B224" s="25" t="s">
        <v>135</v>
      </c>
      <c r="C224" s="31">
        <f>SUM(C225)</f>
        <v>7500</v>
      </c>
      <c r="D224" s="77"/>
      <c r="E224" s="25"/>
      <c r="F224"/>
      <c r="G224"/>
      <c r="H224"/>
      <c r="I224"/>
      <c r="J224"/>
      <c r="K224"/>
    </row>
    <row r="225" spans="1:11" ht="13.5">
      <c r="A225" s="71" t="s">
        <v>166</v>
      </c>
      <c r="B225" s="23" t="s">
        <v>51</v>
      </c>
      <c r="C225" s="24">
        <v>7500</v>
      </c>
      <c r="D225" s="77"/>
      <c r="E225" s="25"/>
      <c r="F225"/>
      <c r="G225"/>
      <c r="H225"/>
      <c r="I225"/>
      <c r="J225"/>
      <c r="K225"/>
    </row>
    <row r="226" spans="1:11" ht="13.5">
      <c r="A226" s="71"/>
      <c r="B226" s="23"/>
      <c r="C226" s="24"/>
      <c r="D226" s="77"/>
      <c r="E226" s="25"/>
      <c r="F226"/>
      <c r="G226"/>
      <c r="H226"/>
      <c r="I226"/>
      <c r="J226"/>
      <c r="K226"/>
    </row>
    <row r="227" spans="1:11" ht="14.25" thickBot="1">
      <c r="A227" s="71"/>
      <c r="B227" s="431"/>
      <c r="C227" s="174"/>
      <c r="D227" s="127"/>
      <c r="E227" s="71"/>
      <c r="F227"/>
      <c r="G227"/>
      <c r="H227"/>
      <c r="I227"/>
      <c r="J227"/>
      <c r="K227"/>
    </row>
    <row r="228" spans="1:11" ht="12.75">
      <c r="A228" s="583" t="s">
        <v>922</v>
      </c>
      <c r="B228" s="584"/>
      <c r="C228" s="585"/>
      <c r="D228" s="654" t="s">
        <v>6</v>
      </c>
      <c r="E228" s="761">
        <v>1504</v>
      </c>
      <c r="F228"/>
      <c r="G228"/>
      <c r="H228"/>
      <c r="I228"/>
      <c r="J228"/>
      <c r="K228"/>
    </row>
    <row r="229" spans="1:11" ht="13.5" thickBot="1">
      <c r="A229" s="587"/>
      <c r="B229" s="588"/>
      <c r="C229" s="589"/>
      <c r="D229" s="655"/>
      <c r="E229" s="656"/>
      <c r="F229"/>
      <c r="G229"/>
      <c r="H229"/>
      <c r="I229"/>
      <c r="J229"/>
      <c r="K229"/>
    </row>
    <row r="230" spans="1:11" ht="12.75">
      <c r="A230" s="979" t="s">
        <v>923</v>
      </c>
      <c r="B230" s="980"/>
      <c r="C230" s="980"/>
      <c r="D230" s="980"/>
      <c r="E230" s="981"/>
      <c r="F230"/>
      <c r="G230"/>
      <c r="H230"/>
      <c r="I230"/>
      <c r="J230"/>
      <c r="K230"/>
    </row>
    <row r="231" spans="1:11" ht="12.75">
      <c r="A231" s="982"/>
      <c r="B231" s="983"/>
      <c r="C231" s="983"/>
      <c r="D231" s="983"/>
      <c r="E231" s="984"/>
      <c r="F231"/>
      <c r="G231"/>
      <c r="H231"/>
      <c r="I231"/>
      <c r="J231"/>
      <c r="K231"/>
    </row>
    <row r="232" spans="1:11" ht="12.75">
      <c r="A232" s="982"/>
      <c r="B232" s="983"/>
      <c r="C232" s="983"/>
      <c r="D232" s="983"/>
      <c r="E232" s="984"/>
      <c r="F232"/>
      <c r="G232"/>
      <c r="H232"/>
      <c r="I232"/>
      <c r="J232"/>
      <c r="K232"/>
    </row>
    <row r="233" spans="1:11" ht="13.5" thickBot="1">
      <c r="A233" s="985"/>
      <c r="B233" s="986"/>
      <c r="C233" s="986"/>
      <c r="D233" s="986"/>
      <c r="E233" s="987"/>
      <c r="F233"/>
      <c r="G233"/>
      <c r="H233"/>
      <c r="I233"/>
      <c r="J233"/>
      <c r="K233"/>
    </row>
    <row r="234" spans="1:11" ht="13.5">
      <c r="A234" s="40" t="s">
        <v>809</v>
      </c>
      <c r="B234" s="12"/>
      <c r="C234" s="138"/>
      <c r="D234" s="70"/>
      <c r="E234" s="136"/>
      <c r="F234"/>
      <c r="G234"/>
      <c r="H234"/>
      <c r="I234"/>
      <c r="J234"/>
      <c r="K234"/>
    </row>
    <row r="235" spans="1:11" ht="13.5">
      <c r="A235" s="40" t="s">
        <v>464</v>
      </c>
      <c r="B235" s="12"/>
      <c r="C235" s="138"/>
      <c r="D235" s="70"/>
      <c r="E235" s="136"/>
      <c r="F235"/>
      <c r="G235"/>
      <c r="H235"/>
      <c r="I235"/>
      <c r="J235"/>
      <c r="K235"/>
    </row>
    <row r="236" spans="1:5" s="175" customFormat="1" ht="13.5">
      <c r="A236" s="40" t="s">
        <v>924</v>
      </c>
      <c r="B236" s="12"/>
      <c r="C236" s="138"/>
      <c r="D236" s="70"/>
      <c r="E236" s="136"/>
    </row>
    <row r="237" spans="1:11" ht="14.25" thickBot="1">
      <c r="A237" s="40" t="s">
        <v>11</v>
      </c>
      <c r="B237" s="135"/>
      <c r="C237" s="134"/>
      <c r="D237" s="427"/>
      <c r="E237" s="132"/>
      <c r="F237"/>
      <c r="G237"/>
      <c r="H237"/>
      <c r="I237"/>
      <c r="J237"/>
      <c r="K237"/>
    </row>
    <row r="238" spans="1:11" ht="14.25" thickBot="1">
      <c r="A238" s="697" t="s">
        <v>0</v>
      </c>
      <c r="B238" s="698"/>
      <c r="C238" s="699"/>
      <c r="D238" s="701"/>
      <c r="E238" s="707">
        <f>+C240+C266+C282</f>
        <v>4001410</v>
      </c>
      <c r="F238" s="428"/>
      <c r="G238"/>
      <c r="H238" s="428"/>
      <c r="I238"/>
      <c r="J238"/>
      <c r="K238"/>
    </row>
    <row r="239" spans="1:11" ht="14.25" thickBot="1">
      <c r="A239" s="12"/>
      <c r="B239" s="12"/>
      <c r="C239" s="24"/>
      <c r="D239" s="24"/>
      <c r="E239" s="24"/>
      <c r="F239"/>
      <c r="G239"/>
      <c r="H239"/>
      <c r="I239"/>
      <c r="J239"/>
      <c r="K239"/>
    </row>
    <row r="240" spans="1:11" ht="14.25" thickBot="1">
      <c r="A240" s="992" t="s">
        <v>2</v>
      </c>
      <c r="B240" s="993"/>
      <c r="C240" s="602">
        <f>+C246+C244+C248+C254+C257+C261+C250+C241</f>
        <v>2304010</v>
      </c>
      <c r="D240" s="23"/>
      <c r="E240" s="848"/>
      <c r="F240"/>
      <c r="G240"/>
      <c r="H240"/>
      <c r="I240"/>
      <c r="J240"/>
      <c r="K240"/>
    </row>
    <row r="241" spans="1:11" s="198" customFormat="1" ht="13.5" customHeight="1">
      <c r="A241" s="11" t="s">
        <v>103</v>
      </c>
      <c r="B241" s="281" t="s">
        <v>104</v>
      </c>
      <c r="C241" s="32">
        <f>SUM(C242:C243)</f>
        <v>1079980</v>
      </c>
      <c r="D241" s="849"/>
      <c r="E241" s="100"/>
      <c r="F241" s="150"/>
      <c r="G241" s="149"/>
      <c r="H241" s="197"/>
      <c r="I241" s="149"/>
      <c r="J241" s="149"/>
      <c r="K241" s="149"/>
    </row>
    <row r="242" spans="1:7" s="42" customFormat="1" ht="13.5" customHeight="1">
      <c r="A242" s="12" t="s">
        <v>46</v>
      </c>
      <c r="B242" s="8" t="s">
        <v>45</v>
      </c>
      <c r="C242" s="24">
        <v>33000</v>
      </c>
      <c r="D242" s="22"/>
      <c r="E242" s="31"/>
      <c r="G242" s="54"/>
    </row>
    <row r="243" spans="1:11" ht="13.5">
      <c r="A243" s="12" t="s">
        <v>481</v>
      </c>
      <c r="B243" s="71" t="s">
        <v>482</v>
      </c>
      <c r="C243" s="24">
        <v>1046980</v>
      </c>
      <c r="D243" s="95"/>
      <c r="E243" s="23"/>
      <c r="F243"/>
      <c r="G243"/>
      <c r="H243"/>
      <c r="I243"/>
      <c r="J243"/>
      <c r="K243"/>
    </row>
    <row r="244" spans="1:11" ht="13.5">
      <c r="A244" s="11" t="s">
        <v>105</v>
      </c>
      <c r="B244" s="249" t="s">
        <v>106</v>
      </c>
      <c r="C244" s="32">
        <f>SUM(C245)</f>
        <v>52440</v>
      </c>
      <c r="D244" s="95"/>
      <c r="E244" s="850"/>
      <c r="F244"/>
      <c r="G244"/>
      <c r="H244"/>
      <c r="I244"/>
      <c r="J244"/>
      <c r="K244"/>
    </row>
    <row r="245" spans="1:11" ht="13.5">
      <c r="A245" s="12" t="s">
        <v>86</v>
      </c>
      <c r="B245" s="12" t="s">
        <v>66</v>
      </c>
      <c r="C245" s="24">
        <v>52440</v>
      </c>
      <c r="D245" s="23"/>
      <c r="E245" s="23"/>
      <c r="F245"/>
      <c r="G245"/>
      <c r="H245"/>
      <c r="I245"/>
      <c r="J245"/>
      <c r="K245"/>
    </row>
    <row r="246" spans="1:11" ht="13.5">
      <c r="A246" s="11" t="s">
        <v>107</v>
      </c>
      <c r="B246" s="249" t="s">
        <v>108</v>
      </c>
      <c r="C246" s="32">
        <f>SUM(C247)</f>
        <v>39810</v>
      </c>
      <c r="D246" s="95"/>
      <c r="E246" s="850"/>
      <c r="F246"/>
      <c r="G246"/>
      <c r="H246"/>
      <c r="I246"/>
      <c r="J246"/>
      <c r="K246"/>
    </row>
    <row r="247" spans="1:11" ht="13.5">
      <c r="A247" s="12" t="s">
        <v>47</v>
      </c>
      <c r="B247" s="23" t="s">
        <v>48</v>
      </c>
      <c r="C247" s="24">
        <v>39810</v>
      </c>
      <c r="D247" s="23"/>
      <c r="E247" s="23"/>
      <c r="F247"/>
      <c r="G247"/>
      <c r="H247"/>
      <c r="I247"/>
      <c r="J247"/>
      <c r="K247"/>
    </row>
    <row r="248" spans="1:11" ht="13.5">
      <c r="A248" s="11" t="s">
        <v>196</v>
      </c>
      <c r="B248" s="25" t="s">
        <v>195</v>
      </c>
      <c r="C248" s="31">
        <f>SUM(C249:C249)</f>
        <v>24000</v>
      </c>
      <c r="D248" s="23"/>
      <c r="E248" s="23"/>
      <c r="F248"/>
      <c r="G248"/>
      <c r="H248"/>
      <c r="I248"/>
      <c r="J248"/>
      <c r="K248"/>
    </row>
    <row r="249" spans="1:11" ht="13.5">
      <c r="A249" s="12" t="s">
        <v>194</v>
      </c>
      <c r="B249" s="71" t="s">
        <v>216</v>
      </c>
      <c r="C249" s="24">
        <v>24000</v>
      </c>
      <c r="D249" s="23"/>
      <c r="E249" s="23"/>
      <c r="F249"/>
      <c r="G249"/>
      <c r="H249"/>
      <c r="I249"/>
      <c r="J249"/>
      <c r="K249"/>
    </row>
    <row r="250" spans="1:11" ht="13.5">
      <c r="A250" s="249" t="s">
        <v>466</v>
      </c>
      <c r="B250" s="11" t="s">
        <v>467</v>
      </c>
      <c r="C250" s="31">
        <f>SUM(C251:C253)</f>
        <v>335200</v>
      </c>
      <c r="D250" s="71"/>
      <c r="E250" s="12"/>
      <c r="F250" s="175"/>
      <c r="G250"/>
      <c r="H250"/>
      <c r="I250"/>
      <c r="J250"/>
      <c r="K250"/>
    </row>
    <row r="251" spans="1:11" ht="13.5">
      <c r="A251" s="71" t="s">
        <v>470</v>
      </c>
      <c r="B251" s="12" t="s">
        <v>471</v>
      </c>
      <c r="C251" s="24">
        <v>59650</v>
      </c>
      <c r="D251" s="71"/>
      <c r="E251" s="12"/>
      <c r="F251" s="175"/>
      <c r="G251"/>
      <c r="H251"/>
      <c r="I251"/>
      <c r="J251"/>
      <c r="K251"/>
    </row>
    <row r="252" spans="1:11" ht="13.5">
      <c r="A252" s="71" t="s">
        <v>472</v>
      </c>
      <c r="B252" s="12" t="s">
        <v>473</v>
      </c>
      <c r="C252" s="24">
        <v>52100</v>
      </c>
      <c r="D252" s="23"/>
      <c r="E252" s="23"/>
      <c r="F252"/>
      <c r="G252"/>
      <c r="H252"/>
      <c r="I252"/>
      <c r="J252"/>
      <c r="K252"/>
    </row>
    <row r="253" spans="1:11" ht="13.5">
      <c r="A253" s="12" t="s">
        <v>483</v>
      </c>
      <c r="B253" s="12" t="s">
        <v>780</v>
      </c>
      <c r="C253" s="24">
        <v>223450</v>
      </c>
      <c r="D253" s="71"/>
      <c r="E253" s="12"/>
      <c r="F253" s="175"/>
      <c r="G253"/>
      <c r="H253"/>
      <c r="I253"/>
      <c r="J253"/>
      <c r="K253"/>
    </row>
    <row r="254" spans="1:11" ht="13.5">
      <c r="A254" s="249" t="s">
        <v>119</v>
      </c>
      <c r="B254" s="25" t="s">
        <v>109</v>
      </c>
      <c r="C254" s="31">
        <f>SUM(C255:C256)</f>
        <v>55490</v>
      </c>
      <c r="D254" s="23"/>
      <c r="E254" s="23"/>
      <c r="F254"/>
      <c r="G254"/>
      <c r="H254"/>
      <c r="I254"/>
      <c r="J254"/>
      <c r="K254"/>
    </row>
    <row r="255" spans="1:11" ht="13.5">
      <c r="A255" s="71" t="s">
        <v>474</v>
      </c>
      <c r="B255" s="12" t="s">
        <v>475</v>
      </c>
      <c r="C255" s="24">
        <v>12740</v>
      </c>
      <c r="D255" s="71"/>
      <c r="E255" s="71"/>
      <c r="F255"/>
      <c r="G255"/>
      <c r="H255"/>
      <c r="I255"/>
      <c r="J255"/>
      <c r="K255"/>
    </row>
    <row r="256" spans="1:11" ht="13.5">
      <c r="A256" s="71" t="s">
        <v>187</v>
      </c>
      <c r="B256" s="42" t="s">
        <v>544</v>
      </c>
      <c r="C256" s="24">
        <v>42750</v>
      </c>
      <c r="D256" s="71"/>
      <c r="E256" s="71"/>
      <c r="F256"/>
      <c r="G256"/>
      <c r="H256"/>
      <c r="I256"/>
      <c r="J256"/>
      <c r="K256"/>
    </row>
    <row r="257" spans="1:11" ht="13.5">
      <c r="A257" s="249" t="s">
        <v>124</v>
      </c>
      <c r="B257" s="249" t="s">
        <v>123</v>
      </c>
      <c r="C257" s="31">
        <f>SUM(C258:C260)</f>
        <v>627320</v>
      </c>
      <c r="D257" s="23"/>
      <c r="E257" s="23"/>
      <c r="F257"/>
      <c r="G257"/>
      <c r="H257"/>
      <c r="I257"/>
      <c r="J257"/>
      <c r="K257"/>
    </row>
    <row r="258" spans="1:11" ht="13.5">
      <c r="A258" s="12" t="s">
        <v>231</v>
      </c>
      <c r="B258" s="42" t="s">
        <v>230</v>
      </c>
      <c r="C258" s="24">
        <v>199430</v>
      </c>
      <c r="D258" s="23"/>
      <c r="E258" s="23"/>
      <c r="F258"/>
      <c r="G258"/>
      <c r="H258"/>
      <c r="I258"/>
      <c r="J258"/>
      <c r="K258"/>
    </row>
    <row r="259" spans="1:5" s="175" customFormat="1" ht="13.5">
      <c r="A259" s="12" t="s">
        <v>93</v>
      </c>
      <c r="B259" s="24" t="s">
        <v>72</v>
      </c>
      <c r="C259" s="24">
        <v>357570</v>
      </c>
      <c r="D259" s="24"/>
      <c r="E259" s="24"/>
    </row>
    <row r="260" spans="1:5" s="175" customFormat="1" ht="13.5">
      <c r="A260" s="12" t="s">
        <v>555</v>
      </c>
      <c r="B260" s="578" t="s">
        <v>556</v>
      </c>
      <c r="C260" s="24">
        <v>70320</v>
      </c>
      <c r="D260" s="24"/>
      <c r="E260" s="24"/>
    </row>
    <row r="261" spans="1:11" ht="13.5">
      <c r="A261" s="249" t="s">
        <v>150</v>
      </c>
      <c r="B261" s="25" t="s">
        <v>133</v>
      </c>
      <c r="C261" s="31">
        <f>SUM(C262:C264)</f>
        <v>89770</v>
      </c>
      <c r="D261" s="23"/>
      <c r="E261" s="23"/>
      <c r="F261"/>
      <c r="G261"/>
      <c r="H261"/>
      <c r="I261"/>
      <c r="J261"/>
      <c r="K261"/>
    </row>
    <row r="262" spans="1:11" ht="13.5">
      <c r="A262" s="71" t="s">
        <v>476</v>
      </c>
      <c r="B262" s="12" t="s">
        <v>65</v>
      </c>
      <c r="C262" s="24">
        <v>31370</v>
      </c>
      <c r="D262" s="23"/>
      <c r="E262" s="23"/>
      <c r="F262"/>
      <c r="G262"/>
      <c r="H262"/>
      <c r="I262"/>
      <c r="J262"/>
      <c r="K262"/>
    </row>
    <row r="263" spans="1:11" ht="13.5">
      <c r="A263" s="71" t="s">
        <v>153</v>
      </c>
      <c r="B263" s="23" t="s">
        <v>125</v>
      </c>
      <c r="C263" s="24">
        <v>23400</v>
      </c>
      <c r="D263" s="23"/>
      <c r="E263" s="23"/>
      <c r="F263"/>
      <c r="G263"/>
      <c r="H263"/>
      <c r="I263"/>
      <c r="J263"/>
      <c r="K263"/>
    </row>
    <row r="264" spans="1:6" s="65" customFormat="1" ht="13.5">
      <c r="A264" s="71" t="s">
        <v>643</v>
      </c>
      <c r="B264" s="42" t="s">
        <v>642</v>
      </c>
      <c r="C264" s="59">
        <v>35000</v>
      </c>
      <c r="D264" s="67"/>
      <c r="E264" s="67"/>
      <c r="F264" s="67"/>
    </row>
    <row r="265" spans="1:11" ht="14.25" thickBot="1">
      <c r="A265" s="71"/>
      <c r="B265" s="23"/>
      <c r="C265" s="23"/>
      <c r="D265" s="23"/>
      <c r="E265" s="23"/>
      <c r="F265"/>
      <c r="G265"/>
      <c r="H265"/>
      <c r="I265"/>
      <c r="J265"/>
      <c r="K265"/>
    </row>
    <row r="266" spans="1:11" ht="14.25" thickBot="1">
      <c r="A266" s="994" t="s">
        <v>3</v>
      </c>
      <c r="B266" s="995"/>
      <c r="C266" s="603">
        <f>+C267+C272+C275+C277+C270</f>
        <v>1510600</v>
      </c>
      <c r="D266" s="23"/>
      <c r="E266" s="23"/>
      <c r="F266"/>
      <c r="G266"/>
      <c r="H266"/>
      <c r="I266"/>
      <c r="J266"/>
      <c r="K266"/>
    </row>
    <row r="267" spans="1:11" ht="13.5">
      <c r="A267" s="11" t="s">
        <v>120</v>
      </c>
      <c r="B267" s="11" t="s">
        <v>121</v>
      </c>
      <c r="C267" s="25">
        <f>SUM(C268:C269)</f>
        <v>203650</v>
      </c>
      <c r="D267" s="23"/>
      <c r="E267" s="23"/>
      <c r="F267"/>
      <c r="G267"/>
      <c r="H267"/>
      <c r="I267"/>
      <c r="J267"/>
      <c r="K267"/>
    </row>
    <row r="268" spans="1:11" ht="13.5">
      <c r="A268" s="71" t="s">
        <v>477</v>
      </c>
      <c r="B268" s="12" t="s">
        <v>478</v>
      </c>
      <c r="C268" s="24">
        <v>13340</v>
      </c>
      <c r="D268" s="71"/>
      <c r="E268" s="71"/>
      <c r="F268"/>
      <c r="G268"/>
      <c r="H268"/>
      <c r="I268"/>
      <c r="J268"/>
      <c r="K268"/>
    </row>
    <row r="269" spans="1:11" ht="13.5">
      <c r="A269" s="12" t="s">
        <v>136</v>
      </c>
      <c r="B269" s="12" t="s">
        <v>71</v>
      </c>
      <c r="C269" s="24">
        <v>190310</v>
      </c>
      <c r="D269" s="95"/>
      <c r="E269" s="31"/>
      <c r="F269"/>
      <c r="G269"/>
      <c r="H269"/>
      <c r="I269"/>
      <c r="J269"/>
      <c r="K269"/>
    </row>
    <row r="270" spans="1:11" ht="13.5">
      <c r="A270" s="11" t="s">
        <v>273</v>
      </c>
      <c r="B270" s="11" t="s">
        <v>274</v>
      </c>
      <c r="C270" s="31">
        <f>SUM(C271)</f>
        <v>204750</v>
      </c>
      <c r="D270" s="95"/>
      <c r="E270" s="31"/>
      <c r="F270"/>
      <c r="G270"/>
      <c r="H270"/>
      <c r="I270"/>
      <c r="J270"/>
      <c r="K270"/>
    </row>
    <row r="271" spans="1:11" ht="13.5">
      <c r="A271" s="12" t="s">
        <v>279</v>
      </c>
      <c r="B271" s="12" t="s">
        <v>280</v>
      </c>
      <c r="C271" s="24">
        <v>204750</v>
      </c>
      <c r="D271" s="95"/>
      <c r="E271" s="31"/>
      <c r="F271"/>
      <c r="G271"/>
      <c r="H271"/>
      <c r="I271"/>
      <c r="J271"/>
      <c r="K271"/>
    </row>
    <row r="272" spans="1:11" ht="13.5">
      <c r="A272" s="11" t="s">
        <v>112</v>
      </c>
      <c r="B272" s="11" t="s">
        <v>156</v>
      </c>
      <c r="C272" s="31">
        <f>SUM(C273:C274)</f>
        <v>358600</v>
      </c>
      <c r="D272" s="22"/>
      <c r="E272" s="31"/>
      <c r="F272"/>
      <c r="G272"/>
      <c r="H272"/>
      <c r="I272"/>
      <c r="J272"/>
      <c r="K272"/>
    </row>
    <row r="273" spans="1:11" ht="13.5">
      <c r="A273" s="12" t="s">
        <v>138</v>
      </c>
      <c r="B273" s="58" t="s">
        <v>810</v>
      </c>
      <c r="C273" s="24">
        <v>7600</v>
      </c>
      <c r="D273" s="23"/>
      <c r="E273" s="23"/>
      <c r="F273"/>
      <c r="G273"/>
      <c r="H273"/>
      <c r="I273"/>
      <c r="J273"/>
      <c r="K273"/>
    </row>
    <row r="274" spans="1:11" ht="13.5">
      <c r="A274" s="71" t="s">
        <v>155</v>
      </c>
      <c r="B274" s="24" t="s">
        <v>87</v>
      </c>
      <c r="C274" s="24">
        <v>351000</v>
      </c>
      <c r="D274"/>
      <c r="E274" s="71"/>
      <c r="F274"/>
      <c r="G274" s="12"/>
      <c r="H274"/>
      <c r="I274"/>
      <c r="J274"/>
      <c r="K274"/>
    </row>
    <row r="275" spans="1:11" ht="13.5">
      <c r="A275" s="11" t="s">
        <v>132</v>
      </c>
      <c r="B275" s="31" t="s">
        <v>56</v>
      </c>
      <c r="C275" s="31">
        <f>SUM(C276)</f>
        <v>19600</v>
      </c>
      <c r="D275" s="24"/>
      <c r="E275" s="117"/>
      <c r="F275"/>
      <c r="G275"/>
      <c r="H275"/>
      <c r="I275"/>
      <c r="J275"/>
      <c r="K275"/>
    </row>
    <row r="276" spans="1:11" ht="13.5">
      <c r="A276" s="12" t="s">
        <v>55</v>
      </c>
      <c r="B276" s="24" t="s">
        <v>56</v>
      </c>
      <c r="C276" s="24">
        <v>19600</v>
      </c>
      <c r="D276" s="24"/>
      <c r="E276" s="117"/>
      <c r="F276"/>
      <c r="G276"/>
      <c r="H276"/>
      <c r="I276"/>
      <c r="J276"/>
      <c r="K276"/>
    </row>
    <row r="277" spans="1:11" ht="13.5">
      <c r="A277" s="11" t="s">
        <v>115</v>
      </c>
      <c r="B277" s="31" t="s">
        <v>8</v>
      </c>
      <c r="C277" s="31">
        <f>SUM(C278:C280)</f>
        <v>724000</v>
      </c>
      <c r="D277" s="23"/>
      <c r="E277" s="23"/>
      <c r="F277"/>
      <c r="G277"/>
      <c r="H277"/>
      <c r="I277"/>
      <c r="J277"/>
      <c r="K277"/>
    </row>
    <row r="278" spans="1:11" ht="13.5">
      <c r="A278" s="12" t="s">
        <v>89</v>
      </c>
      <c r="B278" s="24" t="s">
        <v>8</v>
      </c>
      <c r="C278" s="24">
        <v>580000</v>
      </c>
      <c r="D278" s="24"/>
      <c r="E278" s="117"/>
      <c r="F278"/>
      <c r="G278"/>
      <c r="H278"/>
      <c r="I278"/>
      <c r="J278"/>
      <c r="K278"/>
    </row>
    <row r="279" spans="1:11" ht="13.5">
      <c r="A279" s="12" t="s">
        <v>182</v>
      </c>
      <c r="B279" s="24" t="s">
        <v>50</v>
      </c>
      <c r="C279" s="24">
        <v>6000</v>
      </c>
      <c r="D279" s="117"/>
      <c r="E279" s="117"/>
      <c r="F279"/>
      <c r="G279"/>
      <c r="H279"/>
      <c r="I279"/>
      <c r="J279"/>
      <c r="K279"/>
    </row>
    <row r="280" spans="1:11" ht="13.5">
      <c r="A280" s="12" t="s">
        <v>90</v>
      </c>
      <c r="B280" s="24" t="s">
        <v>7</v>
      </c>
      <c r="C280" s="24">
        <v>138000</v>
      </c>
      <c r="D280" s="31"/>
      <c r="E280" s="38"/>
      <c r="F280"/>
      <c r="G280"/>
      <c r="H280"/>
      <c r="I280"/>
      <c r="J280"/>
      <c r="K280"/>
    </row>
    <row r="281" spans="1:11" ht="14.25" thickBot="1">
      <c r="A281" s="12"/>
      <c r="B281" s="12"/>
      <c r="C281" s="24"/>
      <c r="D281" s="24"/>
      <c r="E281" s="23"/>
      <c r="F281"/>
      <c r="G281"/>
      <c r="H281"/>
      <c r="I281"/>
      <c r="J281"/>
      <c r="K281"/>
    </row>
    <row r="282" spans="1:11" ht="14.25" thickBot="1">
      <c r="A282" s="996" t="s">
        <v>4</v>
      </c>
      <c r="B282" s="997"/>
      <c r="C282" s="605">
        <f>+C283+C286+C288</f>
        <v>186800</v>
      </c>
      <c r="D282" s="23"/>
      <c r="E282" s="23"/>
      <c r="F282"/>
      <c r="G282"/>
      <c r="H282"/>
      <c r="I282"/>
      <c r="J282"/>
      <c r="K282"/>
    </row>
    <row r="283" spans="1:11" ht="13.5">
      <c r="A283" s="249" t="s">
        <v>178</v>
      </c>
      <c r="B283" s="281" t="s">
        <v>177</v>
      </c>
      <c r="C283" s="32">
        <f>SUM(C284:C285)</f>
        <v>143800</v>
      </c>
      <c r="D283" s="78"/>
      <c r="E283" s="25"/>
      <c r="F283"/>
      <c r="G283"/>
      <c r="H283"/>
      <c r="I283"/>
      <c r="J283"/>
      <c r="K283"/>
    </row>
    <row r="284" spans="1:11" ht="13.5">
      <c r="A284" s="71" t="s">
        <v>479</v>
      </c>
      <c r="B284" s="12" t="s">
        <v>480</v>
      </c>
      <c r="C284" s="24">
        <v>63800</v>
      </c>
      <c r="D284" s="71"/>
      <c r="E284" s="119"/>
      <c r="F284"/>
      <c r="G284"/>
      <c r="H284"/>
      <c r="I284"/>
      <c r="J284"/>
      <c r="K284"/>
    </row>
    <row r="285" spans="1:9" s="289" customFormat="1" ht="13.5" customHeight="1">
      <c r="A285" s="621" t="s">
        <v>172</v>
      </c>
      <c r="B285" s="621" t="s">
        <v>699</v>
      </c>
      <c r="C285" s="622">
        <v>80000</v>
      </c>
      <c r="D285" s="285"/>
      <c r="E285" s="283"/>
      <c r="F285" s="624"/>
      <c r="I285" s="290"/>
    </row>
    <row r="286" spans="1:11" ht="13.5">
      <c r="A286" s="249" t="s">
        <v>116</v>
      </c>
      <c r="B286" s="281" t="s">
        <v>117</v>
      </c>
      <c r="C286" s="31">
        <f>SUM(C287)</f>
        <v>28000</v>
      </c>
      <c r="D286" s="77"/>
      <c r="E286" s="77"/>
      <c r="F286"/>
      <c r="G286"/>
      <c r="H286"/>
      <c r="I286"/>
      <c r="J286"/>
      <c r="K286"/>
    </row>
    <row r="287" spans="1:11" ht="13.5">
      <c r="A287" s="71" t="s">
        <v>161</v>
      </c>
      <c r="B287" s="23" t="s">
        <v>162</v>
      </c>
      <c r="C287" s="24">
        <v>28000</v>
      </c>
      <c r="D287" s="77"/>
      <c r="E287" s="25"/>
      <c r="F287"/>
      <c r="G287"/>
      <c r="H287"/>
      <c r="I287"/>
      <c r="J287"/>
      <c r="K287"/>
    </row>
    <row r="288" spans="1:11" ht="13.5">
      <c r="A288" s="249" t="s">
        <v>165</v>
      </c>
      <c r="B288" s="25" t="s">
        <v>135</v>
      </c>
      <c r="C288" s="31">
        <f>SUM(C289)</f>
        <v>15000</v>
      </c>
      <c r="D288" s="77"/>
      <c r="E288" s="25"/>
      <c r="F288"/>
      <c r="G288"/>
      <c r="H288"/>
      <c r="I288"/>
      <c r="J288"/>
      <c r="K288"/>
    </row>
    <row r="289" spans="1:11" ht="13.5">
      <c r="A289" s="71" t="s">
        <v>166</v>
      </c>
      <c r="B289" s="23" t="s">
        <v>51</v>
      </c>
      <c r="C289" s="24">
        <v>15000</v>
      </c>
      <c r="D289" s="77"/>
      <c r="E289" s="25"/>
      <c r="F289"/>
      <c r="G289"/>
      <c r="H289"/>
      <c r="I289"/>
      <c r="J289"/>
      <c r="K289"/>
    </row>
    <row r="290" spans="1:11" ht="13.5">
      <c r="A290" s="71"/>
      <c r="B290" s="23"/>
      <c r="C290" s="24"/>
      <c r="D290" s="77"/>
      <c r="E290" s="25"/>
      <c r="F290"/>
      <c r="G290"/>
      <c r="H290"/>
      <c r="I290"/>
      <c r="J290"/>
      <c r="K290"/>
    </row>
    <row r="291" spans="1:11" ht="14.25" thickBot="1">
      <c r="A291" s="71"/>
      <c r="B291" s="23"/>
      <c r="C291" s="24"/>
      <c r="D291" s="77"/>
      <c r="E291" s="25"/>
      <c r="F291"/>
      <c r="G291"/>
      <c r="H291"/>
      <c r="I291"/>
      <c r="J291"/>
      <c r="K291"/>
    </row>
    <row r="292" spans="1:11" ht="12.75">
      <c r="A292" s="988" t="s">
        <v>925</v>
      </c>
      <c r="B292" s="1009"/>
      <c r="C292" s="989"/>
      <c r="D292" s="654" t="s">
        <v>6</v>
      </c>
      <c r="E292" s="761">
        <v>1505</v>
      </c>
      <c r="F292"/>
      <c r="G292"/>
      <c r="H292"/>
      <c r="I292"/>
      <c r="J292"/>
      <c r="K292"/>
    </row>
    <row r="293" spans="1:11" ht="13.5" thickBot="1">
      <c r="A293" s="990"/>
      <c r="B293" s="1010"/>
      <c r="C293" s="991"/>
      <c r="D293" s="655"/>
      <c r="E293" s="656"/>
      <c r="F293"/>
      <c r="G293"/>
      <c r="H293"/>
      <c r="I293"/>
      <c r="J293"/>
      <c r="K293"/>
    </row>
    <row r="294" spans="1:11" ht="12.75">
      <c r="A294" s="979" t="s">
        <v>926</v>
      </c>
      <c r="B294" s="980"/>
      <c r="C294" s="980"/>
      <c r="D294" s="980"/>
      <c r="E294" s="981"/>
      <c r="F294"/>
      <c r="G294"/>
      <c r="H294"/>
      <c r="I294"/>
      <c r="J294"/>
      <c r="K294"/>
    </row>
    <row r="295" spans="1:11" ht="12.75">
      <c r="A295" s="982"/>
      <c r="B295" s="983"/>
      <c r="C295" s="983"/>
      <c r="D295" s="983"/>
      <c r="E295" s="984"/>
      <c r="F295"/>
      <c r="G295"/>
      <c r="H295"/>
      <c r="I295"/>
      <c r="J295"/>
      <c r="K295"/>
    </row>
    <row r="296" spans="1:11" ht="12.75">
      <c r="A296" s="982"/>
      <c r="B296" s="983"/>
      <c r="C296" s="983"/>
      <c r="D296" s="983"/>
      <c r="E296" s="984"/>
      <c r="F296"/>
      <c r="G296"/>
      <c r="H296"/>
      <c r="I296"/>
      <c r="J296"/>
      <c r="K296"/>
    </row>
    <row r="297" spans="1:11" ht="28.5" customHeight="1" thickBot="1">
      <c r="A297" s="985"/>
      <c r="B297" s="986"/>
      <c r="C297" s="986"/>
      <c r="D297" s="986"/>
      <c r="E297" s="987"/>
      <c r="F297"/>
      <c r="G297"/>
      <c r="H297"/>
      <c r="I297"/>
      <c r="J297"/>
      <c r="K297"/>
    </row>
    <row r="298" spans="1:11" ht="13.5">
      <c r="A298" s="40" t="s">
        <v>809</v>
      </c>
      <c r="B298" s="12"/>
      <c r="C298" s="138"/>
      <c r="D298" s="70"/>
      <c r="E298" s="136"/>
      <c r="F298"/>
      <c r="G298"/>
      <c r="H298"/>
      <c r="I298"/>
      <c r="J298"/>
      <c r="K298"/>
    </row>
    <row r="299" spans="1:11" ht="13.5">
      <c r="A299" s="40" t="s">
        <v>605</v>
      </c>
      <c r="B299" s="12"/>
      <c r="C299" s="138"/>
      <c r="D299" s="70"/>
      <c r="E299" s="136"/>
      <c r="F299"/>
      <c r="G299"/>
      <c r="H299"/>
      <c r="I299"/>
      <c r="J299"/>
      <c r="K299"/>
    </row>
    <row r="300" spans="1:11" ht="13.5">
      <c r="A300" s="40" t="s">
        <v>650</v>
      </c>
      <c r="B300" s="12"/>
      <c r="C300" s="138"/>
      <c r="D300" s="70"/>
      <c r="E300" s="136"/>
      <c r="F300"/>
      <c r="G300"/>
      <c r="H300"/>
      <c r="I300"/>
      <c r="J300"/>
      <c r="K300"/>
    </row>
    <row r="301" spans="1:11" ht="14.25" thickBot="1">
      <c r="A301" s="75" t="s">
        <v>11</v>
      </c>
      <c r="B301" s="135"/>
      <c r="C301" s="134"/>
      <c r="D301" s="427"/>
      <c r="E301" s="132"/>
      <c r="F301"/>
      <c r="G301"/>
      <c r="H301"/>
      <c r="I301"/>
      <c r="J301"/>
      <c r="K301"/>
    </row>
    <row r="302" spans="1:11" ht="14.25" thickBot="1">
      <c r="A302" s="697" t="s">
        <v>0</v>
      </c>
      <c r="B302" s="698"/>
      <c r="C302" s="699"/>
      <c r="D302" s="701"/>
      <c r="E302" s="707">
        <f>+C304+C333+C352+D377</f>
        <v>55789608</v>
      </c>
      <c r="F302" s="428"/>
      <c r="G302"/>
      <c r="H302" s="428"/>
      <c r="I302"/>
      <c r="J302"/>
      <c r="K302"/>
    </row>
    <row r="303" spans="1:11" ht="14.25" thickBot="1">
      <c r="A303" s="12"/>
      <c r="B303" s="12"/>
      <c r="C303" s="24"/>
      <c r="D303" s="24"/>
      <c r="E303" s="24"/>
      <c r="F303"/>
      <c r="G303"/>
      <c r="H303"/>
      <c r="I303"/>
      <c r="J303"/>
      <c r="K303"/>
    </row>
    <row r="304" spans="1:11" ht="14.25" thickBot="1">
      <c r="A304" s="992" t="s">
        <v>2</v>
      </c>
      <c r="B304" s="993"/>
      <c r="C304" s="602">
        <f>C305+C307+C310+C313+C315+C318+C322+C327</f>
        <v>10780958</v>
      </c>
      <c r="D304" s="23"/>
      <c r="E304" s="848"/>
      <c r="F304"/>
      <c r="G304"/>
      <c r="H304"/>
      <c r="I304"/>
      <c r="J304"/>
      <c r="K304"/>
    </row>
    <row r="305" spans="1:11" ht="13.5">
      <c r="A305" s="11" t="s">
        <v>103</v>
      </c>
      <c r="B305" s="281" t="s">
        <v>104</v>
      </c>
      <c r="C305" s="32">
        <f>SUM(C306)</f>
        <v>388440</v>
      </c>
      <c r="D305" s="849"/>
      <c r="E305" s="100"/>
      <c r="F305"/>
      <c r="G305"/>
      <c r="H305"/>
      <c r="I305"/>
      <c r="J305"/>
      <c r="K305"/>
    </row>
    <row r="306" spans="1:11" ht="13.5">
      <c r="A306" s="12" t="s">
        <v>46</v>
      </c>
      <c r="B306" s="71" t="s">
        <v>45</v>
      </c>
      <c r="C306" s="24">
        <v>388440</v>
      </c>
      <c r="D306" s="95"/>
      <c r="E306" s="31"/>
      <c r="F306"/>
      <c r="G306"/>
      <c r="H306"/>
      <c r="I306"/>
      <c r="J306"/>
      <c r="K306"/>
    </row>
    <row r="307" spans="1:11" ht="13.5">
      <c r="A307" s="11" t="s">
        <v>200</v>
      </c>
      <c r="B307" s="249" t="s">
        <v>220</v>
      </c>
      <c r="C307" s="31">
        <f>SUM(C308:C309)</f>
        <v>158520</v>
      </c>
      <c r="D307" s="23"/>
      <c r="E307" s="23"/>
      <c r="F307"/>
      <c r="G307"/>
      <c r="H307"/>
      <c r="I307"/>
      <c r="J307"/>
      <c r="K307"/>
    </row>
    <row r="308" spans="1:11" ht="13.5">
      <c r="A308" s="12" t="s">
        <v>198</v>
      </c>
      <c r="B308" s="12" t="s">
        <v>452</v>
      </c>
      <c r="C308" s="24">
        <v>101640</v>
      </c>
      <c r="D308" s="77"/>
      <c r="E308" s="25"/>
      <c r="F308"/>
      <c r="G308"/>
      <c r="H308"/>
      <c r="I308"/>
      <c r="J308"/>
      <c r="K308"/>
    </row>
    <row r="309" spans="1:11" ht="13.5">
      <c r="A309" s="12" t="s">
        <v>219</v>
      </c>
      <c r="B309" s="12" t="s">
        <v>218</v>
      </c>
      <c r="C309" s="24">
        <v>56880</v>
      </c>
      <c r="D309" s="77"/>
      <c r="E309" s="25"/>
      <c r="F309"/>
      <c r="G309"/>
      <c r="H309"/>
      <c r="I309"/>
      <c r="J309"/>
      <c r="K309"/>
    </row>
    <row r="310" spans="1:11" ht="13.5">
      <c r="A310" s="11" t="s">
        <v>105</v>
      </c>
      <c r="B310" s="249" t="s">
        <v>106</v>
      </c>
      <c r="C310" s="32">
        <f>SUM(C311:C312)</f>
        <v>1356580</v>
      </c>
      <c r="D310" s="95"/>
      <c r="E310" s="850"/>
      <c r="F310"/>
      <c r="G310"/>
      <c r="H310"/>
      <c r="I310"/>
      <c r="J310"/>
      <c r="K310"/>
    </row>
    <row r="311" spans="1:11" ht="13.5">
      <c r="A311" s="12" t="s">
        <v>86</v>
      </c>
      <c r="B311" s="12" t="s">
        <v>66</v>
      </c>
      <c r="C311" s="24">
        <v>1137700</v>
      </c>
      <c r="D311"/>
      <c r="E311" s="23"/>
      <c r="F311" s="497"/>
      <c r="G311" s="23"/>
      <c r="H311"/>
      <c r="I311"/>
      <c r="J311"/>
      <c r="K311"/>
    </row>
    <row r="312" spans="1:11" ht="13.5">
      <c r="A312" s="12" t="s">
        <v>554</v>
      </c>
      <c r="B312" s="42" t="s">
        <v>553</v>
      </c>
      <c r="C312" s="24">
        <v>218880</v>
      </c>
      <c r="D312" s="24"/>
      <c r="E312" s="24"/>
      <c r="F312" s="497"/>
      <c r="G312"/>
      <c r="H312"/>
      <c r="I312"/>
      <c r="J312"/>
      <c r="K312"/>
    </row>
    <row r="313" spans="1:11" ht="13.5">
      <c r="A313" s="11" t="s">
        <v>107</v>
      </c>
      <c r="B313" s="249" t="s">
        <v>108</v>
      </c>
      <c r="C313" s="32">
        <f>SUM(C314)</f>
        <v>232000</v>
      </c>
      <c r="D313" s="95"/>
      <c r="E313" s="850"/>
      <c r="F313"/>
      <c r="G313"/>
      <c r="H313"/>
      <c r="I313"/>
      <c r="J313"/>
      <c r="K313"/>
    </row>
    <row r="314" spans="1:11" ht="13.5">
      <c r="A314" s="12" t="s">
        <v>47</v>
      </c>
      <c r="B314" s="23" t="s">
        <v>48</v>
      </c>
      <c r="C314" s="24">
        <v>232000</v>
      </c>
      <c r="D314" s="23"/>
      <c r="E314" s="23"/>
      <c r="F314"/>
      <c r="G314"/>
      <c r="H314"/>
      <c r="I314"/>
      <c r="J314"/>
      <c r="K314"/>
    </row>
    <row r="315" spans="1:11" ht="13.5">
      <c r="A315" s="11" t="s">
        <v>196</v>
      </c>
      <c r="B315" s="25" t="s">
        <v>195</v>
      </c>
      <c r="C315" s="31">
        <f>SUM(C316:C317)</f>
        <v>4000000</v>
      </c>
      <c r="D315" s="23"/>
      <c r="E315" s="23"/>
      <c r="F315"/>
      <c r="G315"/>
      <c r="H315"/>
      <c r="I315"/>
      <c r="J315"/>
      <c r="K315"/>
    </row>
    <row r="316" spans="1:11" ht="13.5">
      <c r="A316" s="12" t="s">
        <v>194</v>
      </c>
      <c r="B316" s="71" t="s">
        <v>216</v>
      </c>
      <c r="C316" s="24">
        <v>2406250</v>
      </c>
      <c r="D316" s="23"/>
      <c r="E316" s="23"/>
      <c r="F316"/>
      <c r="G316"/>
      <c r="H316"/>
      <c r="I316"/>
      <c r="J316"/>
      <c r="K316"/>
    </row>
    <row r="317" spans="1:11" ht="13.5">
      <c r="A317" s="12" t="s">
        <v>215</v>
      </c>
      <c r="B317" s="12" t="s">
        <v>214</v>
      </c>
      <c r="C317" s="24">
        <v>1593750</v>
      </c>
      <c r="D317"/>
      <c r="E317" s="24"/>
      <c r="F317" s="95"/>
      <c r="G317"/>
      <c r="H317"/>
      <c r="I317"/>
      <c r="J317"/>
      <c r="K317"/>
    </row>
    <row r="318" spans="1:11" ht="13.5">
      <c r="A318" s="249" t="s">
        <v>119</v>
      </c>
      <c r="B318" s="25" t="s">
        <v>109</v>
      </c>
      <c r="C318" s="31">
        <f>SUM(C319:C321)</f>
        <v>833598</v>
      </c>
      <c r="D318" s="23"/>
      <c r="E318" s="23"/>
      <c r="F318"/>
      <c r="G318"/>
      <c r="H318"/>
      <c r="I318"/>
      <c r="J318"/>
      <c r="K318"/>
    </row>
    <row r="319" spans="1:11" ht="13.5">
      <c r="A319" s="71" t="s">
        <v>191</v>
      </c>
      <c r="B319" s="23" t="s">
        <v>190</v>
      </c>
      <c r="C319" s="24">
        <v>131790</v>
      </c>
      <c r="D319" s="23"/>
      <c r="E319" s="23"/>
      <c r="F319"/>
      <c r="G319"/>
      <c r="H319"/>
      <c r="I319"/>
      <c r="J319"/>
      <c r="K319"/>
    </row>
    <row r="320" spans="1:11" ht="13.5">
      <c r="A320" s="71" t="s">
        <v>189</v>
      </c>
      <c r="B320" s="23" t="s">
        <v>188</v>
      </c>
      <c r="C320" s="24">
        <v>634200</v>
      </c>
      <c r="D320" s="23"/>
      <c r="E320" s="23"/>
      <c r="F320"/>
      <c r="G320"/>
      <c r="H320"/>
      <c r="I320"/>
      <c r="J320"/>
      <c r="K320"/>
    </row>
    <row r="321" spans="1:11" ht="13.5">
      <c r="A321" s="71" t="s">
        <v>187</v>
      </c>
      <c r="B321" s="23" t="s">
        <v>263</v>
      </c>
      <c r="C321" s="24">
        <v>67608</v>
      </c>
      <c r="D321" s="23"/>
      <c r="E321" s="23"/>
      <c r="F321"/>
      <c r="G321"/>
      <c r="H321"/>
      <c r="I321"/>
      <c r="J321"/>
      <c r="K321"/>
    </row>
    <row r="322" spans="1:11" ht="13.5">
      <c r="A322" s="249" t="s">
        <v>124</v>
      </c>
      <c r="B322" s="249" t="s">
        <v>123</v>
      </c>
      <c r="C322" s="31">
        <f>SUM(C323:C326)</f>
        <v>1977280</v>
      </c>
      <c r="D322" s="23"/>
      <c r="E322" s="23"/>
      <c r="F322"/>
      <c r="G322"/>
      <c r="H322"/>
      <c r="I322"/>
      <c r="J322"/>
      <c r="K322"/>
    </row>
    <row r="323" spans="1:11" ht="13.5">
      <c r="A323" s="12" t="s">
        <v>264</v>
      </c>
      <c r="B323" s="24" t="s">
        <v>265</v>
      </c>
      <c r="C323" s="24">
        <f>214500-100000</f>
        <v>114500</v>
      </c>
      <c r="D323" s="23"/>
      <c r="E323" s="23"/>
      <c r="F323"/>
      <c r="G323" s="175"/>
      <c r="H323" s="175"/>
      <c r="I323" s="175"/>
      <c r="J323"/>
      <c r="K323"/>
    </row>
    <row r="324" spans="1:5" s="175" customFormat="1" ht="13.5">
      <c r="A324" s="12" t="s">
        <v>241</v>
      </c>
      <c r="B324" s="24" t="s">
        <v>242</v>
      </c>
      <c r="C324" s="24">
        <v>77210</v>
      </c>
      <c r="D324" s="24"/>
      <c r="E324" s="24"/>
    </row>
    <row r="325" spans="1:11" ht="13.5">
      <c r="A325" s="12" t="s">
        <v>93</v>
      </c>
      <c r="B325" s="24" t="s">
        <v>72</v>
      </c>
      <c r="C325" s="24">
        <v>275870</v>
      </c>
      <c r="D325"/>
      <c r="E325" s="24"/>
      <c r="F325"/>
      <c r="G325" s="24"/>
      <c r="H325" s="175"/>
      <c r="I325" s="175"/>
      <c r="J325"/>
      <c r="K325"/>
    </row>
    <row r="326" spans="1:11" ht="13.5">
      <c r="A326" s="12" t="s">
        <v>555</v>
      </c>
      <c r="B326" s="42" t="s">
        <v>556</v>
      </c>
      <c r="C326" s="24">
        <v>1509700</v>
      </c>
      <c r="D326" s="24"/>
      <c r="E326" s="24"/>
      <c r="F326"/>
      <c r="G326" s="175"/>
      <c r="H326" s="175"/>
      <c r="I326" s="175"/>
      <c r="J326"/>
      <c r="K326"/>
    </row>
    <row r="327" spans="1:11" ht="13.5">
      <c r="A327" s="249" t="s">
        <v>150</v>
      </c>
      <c r="B327" s="25" t="s">
        <v>133</v>
      </c>
      <c r="C327" s="31">
        <f>SUM(C328:C331)</f>
        <v>1834540</v>
      </c>
      <c r="D327" s="23"/>
      <c r="E327" s="23"/>
      <c r="F327"/>
      <c r="G327"/>
      <c r="H327"/>
      <c r="I327"/>
      <c r="J327"/>
      <c r="K327"/>
    </row>
    <row r="328" spans="1:7" s="5" customFormat="1" ht="13.5">
      <c r="A328" s="71" t="s">
        <v>151</v>
      </c>
      <c r="B328" s="23" t="s">
        <v>65</v>
      </c>
      <c r="C328" s="24">
        <v>48570</v>
      </c>
      <c r="D328" s="95"/>
      <c r="E328" s="25"/>
      <c r="F328" s="100"/>
      <c r="G328" s="95"/>
    </row>
    <row r="329" spans="1:11" ht="13.5">
      <c r="A329" s="71" t="s">
        <v>211</v>
      </c>
      <c r="B329" s="23" t="s">
        <v>210</v>
      </c>
      <c r="C329" s="24">
        <v>1333700</v>
      </c>
      <c r="D329" s="78"/>
      <c r="E329" s="25"/>
      <c r="F329"/>
      <c r="G329"/>
      <c r="H329"/>
      <c r="I329"/>
      <c r="J329"/>
      <c r="K329"/>
    </row>
    <row r="330" spans="1:6" s="65" customFormat="1" ht="13.5">
      <c r="A330" s="69" t="s">
        <v>152</v>
      </c>
      <c r="B330" s="69" t="s">
        <v>226</v>
      </c>
      <c r="C330" s="59">
        <v>313120</v>
      </c>
      <c r="D330" s="67"/>
      <c r="E330" s="67"/>
      <c r="F330" s="67"/>
    </row>
    <row r="331" spans="1:5" s="175" customFormat="1" ht="13.5">
      <c r="A331" s="12" t="s">
        <v>153</v>
      </c>
      <c r="B331" s="24" t="s">
        <v>125</v>
      </c>
      <c r="C331" s="24">
        <v>139150</v>
      </c>
      <c r="D331" s="24"/>
      <c r="E331" s="24"/>
    </row>
    <row r="332" spans="1:5" s="175" customFormat="1" ht="14.25" thickBot="1">
      <c r="A332" s="12"/>
      <c r="B332" s="24"/>
      <c r="C332" s="24"/>
      <c r="D332" s="24"/>
      <c r="E332" s="24"/>
    </row>
    <row r="333" spans="1:11" ht="14.25" thickBot="1">
      <c r="A333" s="994" t="s">
        <v>3</v>
      </c>
      <c r="B333" s="995"/>
      <c r="C333" s="603">
        <f>C334+C337+C341+C344+C346</f>
        <v>24549480</v>
      </c>
      <c r="D333" s="23"/>
      <c r="E333" s="23"/>
      <c r="F333"/>
      <c r="G333"/>
      <c r="H333"/>
      <c r="I333"/>
      <c r="J333"/>
      <c r="K333"/>
    </row>
    <row r="334" spans="1:11" ht="13.5">
      <c r="A334" s="11" t="s">
        <v>110</v>
      </c>
      <c r="B334" s="281" t="s">
        <v>111</v>
      </c>
      <c r="C334" s="32">
        <f>SUM(C335:C336)</f>
        <v>2389000</v>
      </c>
      <c r="D334" s="95"/>
      <c r="E334" s="95"/>
      <c r="F334"/>
      <c r="G334"/>
      <c r="H334"/>
      <c r="I334"/>
      <c r="J334"/>
      <c r="K334"/>
    </row>
    <row r="335" spans="1:11" ht="13.5">
      <c r="A335" s="12" t="s">
        <v>159</v>
      </c>
      <c r="B335" s="100" t="s">
        <v>250</v>
      </c>
      <c r="C335" s="22">
        <v>2274000</v>
      </c>
      <c r="D335"/>
      <c r="E335" s="95"/>
      <c r="F335"/>
      <c r="G335" s="23"/>
      <c r="H335"/>
      <c r="I335"/>
      <c r="J335"/>
      <c r="K335"/>
    </row>
    <row r="336" spans="1:11" ht="13.5">
      <c r="A336" s="12" t="s">
        <v>52</v>
      </c>
      <c r="B336" s="12" t="s">
        <v>15</v>
      </c>
      <c r="C336" s="24">
        <v>115000</v>
      </c>
      <c r="D336"/>
      <c r="E336" s="23"/>
      <c r="F336"/>
      <c r="G336" s="23"/>
      <c r="H336"/>
      <c r="I336"/>
      <c r="J336"/>
      <c r="K336"/>
    </row>
    <row r="337" spans="1:11" ht="13.5">
      <c r="A337" s="11" t="s">
        <v>120</v>
      </c>
      <c r="B337" s="11" t="s">
        <v>121</v>
      </c>
      <c r="C337" s="31">
        <f>SUM(C338:C340)</f>
        <v>434700</v>
      </c>
      <c r="D337" s="23"/>
      <c r="E337" s="23"/>
      <c r="F337"/>
      <c r="G337"/>
      <c r="H337"/>
      <c r="I337"/>
      <c r="J337"/>
      <c r="K337"/>
    </row>
    <row r="338" spans="1:11" ht="13.5">
      <c r="A338" s="12" t="s">
        <v>184</v>
      </c>
      <c r="B338" s="12" t="s">
        <v>183</v>
      </c>
      <c r="C338" s="24">
        <v>195500</v>
      </c>
      <c r="D338" s="24"/>
      <c r="E338" s="117"/>
      <c r="F338"/>
      <c r="G338"/>
      <c r="H338"/>
      <c r="I338"/>
      <c r="J338"/>
      <c r="K338"/>
    </row>
    <row r="339" spans="1:9" s="125" customFormat="1" ht="13.5" customHeight="1">
      <c r="A339" s="12" t="s">
        <v>209</v>
      </c>
      <c r="B339" s="12" t="s">
        <v>208</v>
      </c>
      <c r="C339" s="286">
        <v>17640</v>
      </c>
      <c r="D339" s="276"/>
      <c r="E339" s="286"/>
      <c r="F339" s="249"/>
      <c r="I339" s="260"/>
    </row>
    <row r="340" spans="1:11" ht="13.5">
      <c r="A340" s="12" t="s">
        <v>136</v>
      </c>
      <c r="B340" s="12" t="s">
        <v>71</v>
      </c>
      <c r="C340" s="24">
        <v>221560</v>
      </c>
      <c r="D340" s="77"/>
      <c r="E340" s="25"/>
      <c r="F340"/>
      <c r="G340"/>
      <c r="H340"/>
      <c r="I340"/>
      <c r="J340"/>
      <c r="K340"/>
    </row>
    <row r="341" spans="1:11" ht="13.5">
      <c r="A341" s="11" t="s">
        <v>112</v>
      </c>
      <c r="B341" s="11" t="s">
        <v>156</v>
      </c>
      <c r="C341" s="31">
        <f>SUM(C342:C343)</f>
        <v>1102000</v>
      </c>
      <c r="D341" s="77"/>
      <c r="E341" s="25"/>
      <c r="F341"/>
      <c r="G341"/>
      <c r="H341"/>
      <c r="I341"/>
      <c r="J341"/>
      <c r="K341"/>
    </row>
    <row r="342" spans="1:11" ht="13.5">
      <c r="A342" s="12" t="s">
        <v>138</v>
      </c>
      <c r="B342" s="58" t="s">
        <v>810</v>
      </c>
      <c r="C342" s="24">
        <v>18400</v>
      </c>
      <c r="D342" s="146"/>
      <c r="E342" s="498"/>
      <c r="F342" s="175"/>
      <c r="G342"/>
      <c r="H342"/>
      <c r="I342"/>
      <c r="J342"/>
      <c r="K342"/>
    </row>
    <row r="343" spans="1:11" ht="13.5">
      <c r="A343" s="12" t="s">
        <v>155</v>
      </c>
      <c r="B343" s="24" t="s">
        <v>87</v>
      </c>
      <c r="C343" s="24">
        <v>1083600</v>
      </c>
      <c r="D343"/>
      <c r="E343" s="22"/>
      <c r="F343" s="175"/>
      <c r="G343" s="498"/>
      <c r="H343"/>
      <c r="I343"/>
      <c r="J343"/>
      <c r="K343"/>
    </row>
    <row r="344" spans="1:11" ht="13.5">
      <c r="A344" s="11" t="s">
        <v>113</v>
      </c>
      <c r="B344" s="31" t="s">
        <v>114</v>
      </c>
      <c r="C344" s="31">
        <f>SUM(C345)</f>
        <v>30000</v>
      </c>
      <c r="D344" s="498"/>
      <c r="E344" s="498"/>
      <c r="F344" s="175"/>
      <c r="G344"/>
      <c r="H344"/>
      <c r="I344"/>
      <c r="J344"/>
      <c r="K344"/>
    </row>
    <row r="345" spans="1:11" ht="13.5">
      <c r="A345" s="12" t="s">
        <v>88</v>
      </c>
      <c r="B345" s="24" t="s">
        <v>64</v>
      </c>
      <c r="C345" s="24">
        <v>30000</v>
      </c>
      <c r="D345" s="499"/>
      <c r="E345" s="498"/>
      <c r="F345" s="175"/>
      <c r="G345"/>
      <c r="H345"/>
      <c r="I345"/>
      <c r="J345"/>
      <c r="K345"/>
    </row>
    <row r="346" spans="1:11" ht="16.5">
      <c r="A346" s="11" t="s">
        <v>115</v>
      </c>
      <c r="B346" s="31" t="s">
        <v>8</v>
      </c>
      <c r="C346" s="31">
        <f>SUM(C347:C350)</f>
        <v>20593780</v>
      </c>
      <c r="D346" s="307"/>
      <c r="E346" s="500"/>
      <c r="F346" s="175"/>
      <c r="G346" s="146"/>
      <c r="H346" s="146"/>
      <c r="I346" s="146"/>
      <c r="J346"/>
      <c r="K346"/>
    </row>
    <row r="347" spans="1:11" ht="16.5">
      <c r="A347" s="12" t="s">
        <v>89</v>
      </c>
      <c r="B347" s="24" t="s">
        <v>8</v>
      </c>
      <c r="C347" s="24">
        <v>3736000</v>
      </c>
      <c r="D347"/>
      <c r="E347" s="500"/>
      <c r="F347" s="175"/>
      <c r="G347" s="498"/>
      <c r="H347" s="146"/>
      <c r="I347" s="146"/>
      <c r="J347"/>
      <c r="K347"/>
    </row>
    <row r="348" spans="1:11" ht="16.5">
      <c r="A348" s="12" t="s">
        <v>182</v>
      </c>
      <c r="B348" s="24" t="s">
        <v>50</v>
      </c>
      <c r="C348" s="24">
        <v>14250</v>
      </c>
      <c r="D348" s="175"/>
      <c r="E348" s="117"/>
      <c r="F348" s="429"/>
      <c r="G348" s="499"/>
      <c r="H348" s="73"/>
      <c r="I348" s="146"/>
      <c r="J348"/>
      <c r="K348"/>
    </row>
    <row r="349" spans="1:11" ht="13.5">
      <c r="A349" s="12" t="s">
        <v>206</v>
      </c>
      <c r="B349" s="24" t="s">
        <v>459</v>
      </c>
      <c r="C349" s="24">
        <v>15042620</v>
      </c>
      <c r="D349"/>
      <c r="E349" s="142"/>
      <c r="F349" s="175"/>
      <c r="G349" s="307"/>
      <c r="H349" s="175"/>
      <c r="I349"/>
      <c r="J349"/>
      <c r="K349"/>
    </row>
    <row r="350" spans="1:11" ht="13.5">
      <c r="A350" s="12" t="s">
        <v>90</v>
      </c>
      <c r="B350" s="24" t="s">
        <v>7</v>
      </c>
      <c r="C350" s="24">
        <v>1800910</v>
      </c>
      <c r="D350"/>
      <c r="E350" s="38"/>
      <c r="F350" s="175"/>
      <c r="G350" s="307"/>
      <c r="H350"/>
      <c r="I350"/>
      <c r="J350"/>
      <c r="K350"/>
    </row>
    <row r="351" spans="1:7" s="118" customFormat="1" ht="14.25" thickBot="1">
      <c r="A351" s="12"/>
      <c r="B351" s="12"/>
      <c r="C351" s="24"/>
      <c r="D351" s="24"/>
      <c r="G351" s="178"/>
    </row>
    <row r="352" spans="1:11" ht="14.25" thickBot="1">
      <c r="A352" s="996" t="s">
        <v>4</v>
      </c>
      <c r="B352" s="997"/>
      <c r="C352" s="605">
        <f>C353+C359+C363+C357</f>
        <v>3852620</v>
      </c>
      <c r="D352" s="23"/>
      <c r="E352" s="24"/>
      <c r="F352" s="175"/>
      <c r="G352"/>
      <c r="H352"/>
      <c r="I352"/>
      <c r="J352"/>
      <c r="K352"/>
    </row>
    <row r="353" spans="1:11" ht="13.5">
      <c r="A353" s="249" t="s">
        <v>178</v>
      </c>
      <c r="B353" s="281" t="s">
        <v>177</v>
      </c>
      <c r="C353" s="32">
        <f>SUM(C354:C356)</f>
        <v>2988000</v>
      </c>
      <c r="D353" s="78"/>
      <c r="E353" s="25"/>
      <c r="F353"/>
      <c r="G353"/>
      <c r="H353"/>
      <c r="I353"/>
      <c r="J353"/>
      <c r="K353"/>
    </row>
    <row r="354" spans="1:11" ht="13.5">
      <c r="A354" s="12" t="s">
        <v>176</v>
      </c>
      <c r="B354" s="12" t="s">
        <v>175</v>
      </c>
      <c r="C354" s="24">
        <v>1000000</v>
      </c>
      <c r="D354" s="95"/>
      <c r="E354" s="95"/>
      <c r="F354" s="175"/>
      <c r="G354" s="175"/>
      <c r="H354" s="175"/>
      <c r="I354"/>
      <c r="J354"/>
      <c r="K354"/>
    </row>
    <row r="355" spans="1:11" ht="13.5">
      <c r="A355" s="12" t="s">
        <v>460</v>
      </c>
      <c r="B355" s="12" t="s">
        <v>461</v>
      </c>
      <c r="C355" s="24">
        <v>1904000</v>
      </c>
      <c r="D355" s="95"/>
      <c r="E355" s="31"/>
      <c r="F355" s="175"/>
      <c r="G355" s="175"/>
      <c r="H355" s="175"/>
      <c r="I355"/>
      <c r="J355"/>
      <c r="K355"/>
    </row>
    <row r="356" spans="1:11" ht="14.25" customHeight="1">
      <c r="A356" s="12" t="s">
        <v>172</v>
      </c>
      <c r="B356" s="12" t="s">
        <v>171</v>
      </c>
      <c r="C356" s="24">
        <v>84000</v>
      </c>
      <c r="D356"/>
      <c r="E356" s="95"/>
      <c r="F356" s="175"/>
      <c r="G356" s="24"/>
      <c r="H356" s="175"/>
      <c r="I356"/>
      <c r="J356"/>
      <c r="K356"/>
    </row>
    <row r="357" spans="1:8" s="8" customFormat="1" ht="13.5" customHeight="1">
      <c r="A357" s="249" t="s">
        <v>170</v>
      </c>
      <c r="B357" s="25" t="s">
        <v>169</v>
      </c>
      <c r="C357" s="31">
        <f>SUM(C358)</f>
        <v>10</v>
      </c>
      <c r="D357" s="77"/>
      <c r="E357" s="61"/>
      <c r="F357" s="98"/>
      <c r="G357" s="54"/>
      <c r="H357" s="42"/>
    </row>
    <row r="358" spans="1:8" s="8" customFormat="1" ht="13.5" customHeight="1">
      <c r="A358" s="71" t="s">
        <v>168</v>
      </c>
      <c r="B358" s="24" t="s">
        <v>167</v>
      </c>
      <c r="C358" s="24">
        <v>10</v>
      </c>
      <c r="D358" s="77"/>
      <c r="E358" s="61"/>
      <c r="F358" s="98"/>
      <c r="G358" s="54"/>
      <c r="H358" s="42"/>
    </row>
    <row r="359" spans="1:11" ht="13.5">
      <c r="A359" s="11" t="s">
        <v>116</v>
      </c>
      <c r="B359" s="281" t="s">
        <v>117</v>
      </c>
      <c r="C359" s="31">
        <f>SUM(C360:C362)</f>
        <v>821000</v>
      </c>
      <c r="D359" s="95"/>
      <c r="E359" s="22"/>
      <c r="F359" s="175"/>
      <c r="G359" s="175"/>
      <c r="H359" s="175"/>
      <c r="I359"/>
      <c r="J359"/>
      <c r="K359"/>
    </row>
    <row r="360" spans="1:11" ht="13.5">
      <c r="A360" s="12" t="s">
        <v>91</v>
      </c>
      <c r="B360" s="24" t="s">
        <v>9</v>
      </c>
      <c r="C360" s="24">
        <v>205000</v>
      </c>
      <c r="D360" s="22"/>
      <c r="E360" s="31"/>
      <c r="F360" s="175"/>
      <c r="G360" s="175"/>
      <c r="H360" s="175"/>
      <c r="I360"/>
      <c r="J360"/>
      <c r="K360"/>
    </row>
    <row r="361" spans="1:11" ht="13.5">
      <c r="A361" s="71" t="s">
        <v>57</v>
      </c>
      <c r="B361" s="23" t="s">
        <v>58</v>
      </c>
      <c r="C361" s="24">
        <v>580000</v>
      </c>
      <c r="D361" s="77"/>
      <c r="E361" s="25"/>
      <c r="F361"/>
      <c r="G361"/>
      <c r="H361"/>
      <c r="I361"/>
      <c r="J361"/>
      <c r="K361"/>
    </row>
    <row r="362" spans="1:8" s="8" customFormat="1" ht="13.5" customHeight="1">
      <c r="A362" s="71" t="s">
        <v>756</v>
      </c>
      <c r="B362" s="23" t="s">
        <v>757</v>
      </c>
      <c r="C362" s="24">
        <v>36000</v>
      </c>
      <c r="D362" s="77"/>
      <c r="E362" s="25"/>
      <c r="F362" s="98"/>
      <c r="G362" s="54"/>
      <c r="H362" s="42"/>
    </row>
    <row r="363" spans="1:11" ht="13.5">
      <c r="A363" s="249" t="s">
        <v>165</v>
      </c>
      <c r="B363" s="25" t="s">
        <v>135</v>
      </c>
      <c r="C363" s="31">
        <f>SUM(C364)</f>
        <v>43610</v>
      </c>
      <c r="D363" s="77"/>
      <c r="E363" s="25"/>
      <c r="F363"/>
      <c r="G363"/>
      <c r="H363"/>
      <c r="I363"/>
      <c r="J363"/>
      <c r="K363"/>
    </row>
    <row r="364" spans="1:11" ht="13.5">
      <c r="A364" s="71" t="s">
        <v>166</v>
      </c>
      <c r="B364" s="23" t="s">
        <v>51</v>
      </c>
      <c r="C364" s="24">
        <v>43610</v>
      </c>
      <c r="D364" s="77"/>
      <c r="E364" s="25"/>
      <c r="F364"/>
      <c r="G364"/>
      <c r="H364"/>
      <c r="I364"/>
      <c r="J364"/>
      <c r="K364"/>
    </row>
    <row r="365" spans="1:11" ht="13.5">
      <c r="A365" s="71"/>
      <c r="B365" s="23"/>
      <c r="C365" s="24"/>
      <c r="D365" s="77"/>
      <c r="E365" s="25"/>
      <c r="F365"/>
      <c r="G365"/>
      <c r="H365"/>
      <c r="I365"/>
      <c r="J365"/>
      <c r="K365"/>
    </row>
    <row r="366" spans="1:11" ht="14.25" thickBot="1">
      <c r="A366" s="71"/>
      <c r="B366" s="12"/>
      <c r="C366" s="23"/>
      <c r="D366" s="77"/>
      <c r="E366" s="25"/>
      <c r="F366"/>
      <c r="G366"/>
      <c r="H366"/>
      <c r="I366"/>
      <c r="J366"/>
      <c r="K366"/>
    </row>
    <row r="367" spans="1:11" ht="12.75">
      <c r="A367" s="988" t="s">
        <v>708</v>
      </c>
      <c r="B367" s="989"/>
      <c r="C367" s="654" t="s">
        <v>6</v>
      </c>
      <c r="D367" s="761" t="s">
        <v>1013</v>
      </c>
      <c r="F367"/>
      <c r="G367"/>
      <c r="H367"/>
      <c r="I367"/>
      <c r="J367"/>
      <c r="K367"/>
    </row>
    <row r="368" spans="1:11" ht="13.5" thickBot="1">
      <c r="A368" s="990"/>
      <c r="B368" s="991"/>
      <c r="C368" s="671"/>
      <c r="D368" s="672"/>
      <c r="F368"/>
      <c r="G368"/>
      <c r="H368"/>
      <c r="I368"/>
      <c r="J368"/>
      <c r="K368"/>
    </row>
    <row r="369" spans="1:11" ht="12.75">
      <c r="A369" s="979" t="s">
        <v>927</v>
      </c>
      <c r="B369" s="980"/>
      <c r="C369" s="980"/>
      <c r="D369" s="981"/>
      <c r="F369"/>
      <c r="G369"/>
      <c r="H369"/>
      <c r="I369"/>
      <c r="J369"/>
      <c r="K369"/>
    </row>
    <row r="370" spans="1:11" ht="12.75">
      <c r="A370" s="982"/>
      <c r="B370" s="983"/>
      <c r="C370" s="983"/>
      <c r="D370" s="984"/>
      <c r="F370"/>
      <c r="G370"/>
      <c r="H370"/>
      <c r="I370"/>
      <c r="J370"/>
      <c r="K370"/>
    </row>
    <row r="371" spans="1:11" ht="12.75">
      <c r="A371" s="982"/>
      <c r="B371" s="983"/>
      <c r="C371" s="983"/>
      <c r="D371" s="984"/>
      <c r="F371"/>
      <c r="G371"/>
      <c r="H371"/>
      <c r="I371"/>
      <c r="J371"/>
      <c r="K371"/>
    </row>
    <row r="372" spans="1:11" ht="30" customHeight="1" thickBot="1">
      <c r="A372" s="985"/>
      <c r="B372" s="986"/>
      <c r="C372" s="986"/>
      <c r="D372" s="987"/>
      <c r="F372"/>
      <c r="G372"/>
      <c r="H372"/>
      <c r="I372"/>
      <c r="J372"/>
      <c r="K372"/>
    </row>
    <row r="373" spans="1:11" ht="13.5">
      <c r="A373" s="40" t="s">
        <v>809</v>
      </c>
      <c r="B373" s="12"/>
      <c r="C373" s="70"/>
      <c r="D373" s="136"/>
      <c r="F373"/>
      <c r="G373"/>
      <c r="H373"/>
      <c r="I373"/>
      <c r="J373"/>
      <c r="K373"/>
    </row>
    <row r="374" spans="1:11" ht="13.5">
      <c r="A374" s="40" t="s">
        <v>605</v>
      </c>
      <c r="B374" s="12"/>
      <c r="C374" s="70"/>
      <c r="D374" s="136"/>
      <c r="F374"/>
      <c r="G374"/>
      <c r="H374"/>
      <c r="I374"/>
      <c r="J374"/>
      <c r="K374"/>
    </row>
    <row r="375" spans="1:11" ht="13.5">
      <c r="A375" s="40" t="s">
        <v>650</v>
      </c>
      <c r="B375" s="12"/>
      <c r="C375" s="70"/>
      <c r="D375" s="136"/>
      <c r="F375"/>
      <c r="G375"/>
      <c r="H375"/>
      <c r="I375"/>
      <c r="J375"/>
      <c r="K375"/>
    </row>
    <row r="376" spans="1:11" ht="14.25" thickBot="1">
      <c r="A376" s="75" t="s">
        <v>11</v>
      </c>
      <c r="B376" s="135"/>
      <c r="C376" s="427"/>
      <c r="D376" s="132"/>
      <c r="F376"/>
      <c r="G376"/>
      <c r="H376"/>
      <c r="I376"/>
      <c r="J376"/>
      <c r="K376"/>
    </row>
    <row r="377" spans="1:11" ht="14.25" thickBot="1">
      <c r="A377" s="697" t="s">
        <v>745</v>
      </c>
      <c r="B377" s="698"/>
      <c r="C377" s="701"/>
      <c r="D377" s="707">
        <f>+C379+C402+C415</f>
        <v>16606550</v>
      </c>
      <c r="F377" s="428"/>
      <c r="G377"/>
      <c r="H377"/>
      <c r="I377"/>
      <c r="J377"/>
      <c r="K377"/>
    </row>
    <row r="378" spans="1:11" ht="14.25" thickBot="1">
      <c r="A378" s="12"/>
      <c r="B378" s="12"/>
      <c r="C378" s="24"/>
      <c r="D378" s="24"/>
      <c r="E378" s="24"/>
      <c r="F378"/>
      <c r="G378"/>
      <c r="H378"/>
      <c r="I378"/>
      <c r="J378"/>
      <c r="K378"/>
    </row>
    <row r="379" spans="1:11" ht="14.25" thickBot="1">
      <c r="A379" s="992" t="s">
        <v>2</v>
      </c>
      <c r="B379" s="993"/>
      <c r="C379" s="602">
        <f>C380+C382+C384+C387+C389+C391+C394+C397</f>
        <v>1885290</v>
      </c>
      <c r="D379" s="23"/>
      <c r="E379" s="848"/>
      <c r="F379"/>
      <c r="G379"/>
      <c r="H379"/>
      <c r="I379"/>
      <c r="J379"/>
      <c r="K379"/>
    </row>
    <row r="380" spans="1:11" ht="13.5">
      <c r="A380" s="11" t="s">
        <v>103</v>
      </c>
      <c r="B380" s="281" t="s">
        <v>104</v>
      </c>
      <c r="C380" s="32">
        <f>SUM(C381)</f>
        <v>85000</v>
      </c>
      <c r="D380" s="849"/>
      <c r="E380" s="100"/>
      <c r="F380"/>
      <c r="G380"/>
      <c r="H380"/>
      <c r="I380"/>
      <c r="J380"/>
      <c r="K380"/>
    </row>
    <row r="381" spans="1:11" ht="13.5">
      <c r="A381" s="12" t="s">
        <v>46</v>
      </c>
      <c r="B381" s="71" t="s">
        <v>45</v>
      </c>
      <c r="C381" s="24">
        <v>85000</v>
      </c>
      <c r="D381" s="95"/>
      <c r="E381" s="31"/>
      <c r="F381"/>
      <c r="G381"/>
      <c r="H381"/>
      <c r="I381"/>
      <c r="J381"/>
      <c r="K381"/>
    </row>
    <row r="382" spans="1:11" ht="13.5">
      <c r="A382" s="11" t="s">
        <v>200</v>
      </c>
      <c r="B382" s="249" t="s">
        <v>220</v>
      </c>
      <c r="C382" s="31">
        <f>SUM(C383:C383)</f>
        <v>98000</v>
      </c>
      <c r="D382" s="23"/>
      <c r="E382" s="23"/>
      <c r="F382"/>
      <c r="G382"/>
      <c r="H382"/>
      <c r="I382"/>
      <c r="J382"/>
      <c r="K382"/>
    </row>
    <row r="383" spans="1:11" ht="13.5">
      <c r="A383" s="12" t="s">
        <v>219</v>
      </c>
      <c r="B383" s="12" t="s">
        <v>218</v>
      </c>
      <c r="C383" s="24">
        <v>98000</v>
      </c>
      <c r="D383" s="77"/>
      <c r="E383" s="25"/>
      <c r="F383"/>
      <c r="G383"/>
      <c r="H383"/>
      <c r="I383"/>
      <c r="J383"/>
      <c r="K383"/>
    </row>
    <row r="384" spans="1:11" ht="13.5">
      <c r="A384" s="11" t="s">
        <v>105</v>
      </c>
      <c r="B384" s="249" t="s">
        <v>106</v>
      </c>
      <c r="C384" s="32">
        <f>SUM(C385:C386)</f>
        <v>205000</v>
      </c>
      <c r="D384" s="95"/>
      <c r="E384" s="850"/>
      <c r="F384"/>
      <c r="G384"/>
      <c r="H384"/>
      <c r="I384"/>
      <c r="J384"/>
      <c r="K384"/>
    </row>
    <row r="385" spans="1:11" ht="13.5">
      <c r="A385" s="12" t="s">
        <v>86</v>
      </c>
      <c r="B385" s="12" t="s">
        <v>66</v>
      </c>
      <c r="C385" s="24">
        <v>35000</v>
      </c>
      <c r="D385"/>
      <c r="E385" s="23"/>
      <c r="F385" s="497"/>
      <c r="G385" s="23"/>
      <c r="H385"/>
      <c r="I385"/>
      <c r="J385"/>
      <c r="K385"/>
    </row>
    <row r="386" spans="1:11" ht="13.5">
      <c r="A386" s="12" t="s">
        <v>554</v>
      </c>
      <c r="B386" s="42" t="s">
        <v>553</v>
      </c>
      <c r="C386" s="24">
        <v>170000</v>
      </c>
      <c r="D386" s="24"/>
      <c r="E386" s="24"/>
      <c r="F386" s="497"/>
      <c r="G386"/>
      <c r="H386"/>
      <c r="I386"/>
      <c r="J386"/>
      <c r="K386"/>
    </row>
    <row r="387" spans="1:11" ht="13.5">
      <c r="A387" s="11" t="s">
        <v>107</v>
      </c>
      <c r="B387" s="249" t="s">
        <v>108</v>
      </c>
      <c r="C387" s="32">
        <f>SUM(C388)</f>
        <v>36500</v>
      </c>
      <c r="D387" s="95"/>
      <c r="E387" s="850"/>
      <c r="F387"/>
      <c r="G387"/>
      <c r="H387"/>
      <c r="I387"/>
      <c r="J387"/>
      <c r="K387"/>
    </row>
    <row r="388" spans="1:11" ht="13.5">
      <c r="A388" s="12" t="s">
        <v>47</v>
      </c>
      <c r="B388" s="23" t="s">
        <v>48</v>
      </c>
      <c r="C388" s="24">
        <v>36500</v>
      </c>
      <c r="D388" s="23"/>
      <c r="E388" s="23"/>
      <c r="F388"/>
      <c r="G388"/>
      <c r="H388"/>
      <c r="I388"/>
      <c r="J388"/>
      <c r="K388"/>
    </row>
    <row r="389" spans="1:11" ht="13.5">
      <c r="A389" s="11" t="s">
        <v>196</v>
      </c>
      <c r="B389" s="25" t="s">
        <v>195</v>
      </c>
      <c r="C389" s="31">
        <f>SUM(C390:C390)</f>
        <v>350000</v>
      </c>
      <c r="D389" s="23"/>
      <c r="E389" s="23"/>
      <c r="F389"/>
      <c r="G389"/>
      <c r="H389"/>
      <c r="I389"/>
      <c r="J389"/>
      <c r="K389"/>
    </row>
    <row r="390" spans="1:11" ht="13.5">
      <c r="A390" s="12" t="s">
        <v>194</v>
      </c>
      <c r="B390" s="71" t="s">
        <v>216</v>
      </c>
      <c r="C390" s="24">
        <v>350000</v>
      </c>
      <c r="D390" s="23"/>
      <c r="E390" s="23"/>
      <c r="F390"/>
      <c r="G390"/>
      <c r="H390"/>
      <c r="I390"/>
      <c r="J390"/>
      <c r="K390"/>
    </row>
    <row r="391" spans="1:11" ht="13.5">
      <c r="A391" s="249" t="s">
        <v>119</v>
      </c>
      <c r="B391" s="25" t="s">
        <v>109</v>
      </c>
      <c r="C391" s="31">
        <f>SUM(C392:C393)</f>
        <v>250000</v>
      </c>
      <c r="D391" s="23"/>
      <c r="E391" s="23"/>
      <c r="F391"/>
      <c r="G391"/>
      <c r="H391"/>
      <c r="I391"/>
      <c r="J391"/>
      <c r="K391"/>
    </row>
    <row r="392" spans="1:11" ht="13.5">
      <c r="A392" s="71" t="s">
        <v>191</v>
      </c>
      <c r="B392" s="23" t="s">
        <v>190</v>
      </c>
      <c r="C392" s="24">
        <v>80000</v>
      </c>
      <c r="D392" s="23"/>
      <c r="E392" s="23"/>
      <c r="F392"/>
      <c r="G392"/>
      <c r="H392"/>
      <c r="I392"/>
      <c r="J392"/>
      <c r="K392"/>
    </row>
    <row r="393" spans="1:11" ht="13.5">
      <c r="A393" s="71" t="s">
        <v>189</v>
      </c>
      <c r="B393" s="23" t="s">
        <v>188</v>
      </c>
      <c r="C393" s="24">
        <v>170000</v>
      </c>
      <c r="D393" s="23"/>
      <c r="E393" s="23"/>
      <c r="F393"/>
      <c r="G393"/>
      <c r="H393"/>
      <c r="I393"/>
      <c r="J393"/>
      <c r="K393"/>
    </row>
    <row r="394" spans="1:11" ht="13.5">
      <c r="A394" s="249" t="s">
        <v>124</v>
      </c>
      <c r="B394" s="249" t="s">
        <v>123</v>
      </c>
      <c r="C394" s="31">
        <f>SUM(C395:C396)</f>
        <v>400890</v>
      </c>
      <c r="D394" s="23"/>
      <c r="E394" s="23"/>
      <c r="F394"/>
      <c r="G394"/>
      <c r="H394"/>
      <c r="I394"/>
      <c r="J394"/>
      <c r="K394"/>
    </row>
    <row r="395" spans="1:11" ht="13.5">
      <c r="A395" s="12" t="s">
        <v>93</v>
      </c>
      <c r="B395" s="24" t="s">
        <v>72</v>
      </c>
      <c r="C395" s="24">
        <v>125890</v>
      </c>
      <c r="D395"/>
      <c r="E395" s="24"/>
      <c r="F395"/>
      <c r="G395" s="24"/>
      <c r="H395" s="175"/>
      <c r="I395" s="175"/>
      <c r="J395"/>
      <c r="K395"/>
    </row>
    <row r="396" spans="1:11" ht="13.5">
      <c r="A396" s="12" t="s">
        <v>555</v>
      </c>
      <c r="B396" s="42" t="s">
        <v>556</v>
      </c>
      <c r="C396" s="24">
        <v>275000</v>
      </c>
      <c r="D396" s="24"/>
      <c r="E396" s="24"/>
      <c r="F396"/>
      <c r="G396" s="175"/>
      <c r="H396" s="175"/>
      <c r="I396" s="175"/>
      <c r="J396"/>
      <c r="K396"/>
    </row>
    <row r="397" spans="1:11" ht="13.5">
      <c r="A397" s="249" t="s">
        <v>150</v>
      </c>
      <c r="B397" s="25" t="s">
        <v>133</v>
      </c>
      <c r="C397" s="31">
        <f>SUM(C398:C400)</f>
        <v>459900</v>
      </c>
      <c r="D397" s="23"/>
      <c r="E397" s="23"/>
      <c r="F397"/>
      <c r="G397"/>
      <c r="H397"/>
      <c r="I397"/>
      <c r="J397"/>
      <c r="K397"/>
    </row>
    <row r="398" spans="1:7" s="5" customFormat="1" ht="13.5">
      <c r="A398" s="71" t="s">
        <v>151</v>
      </c>
      <c r="B398" s="23" t="s">
        <v>65</v>
      </c>
      <c r="C398" s="24">
        <v>80000</v>
      </c>
      <c r="D398" s="95"/>
      <c r="E398" s="25"/>
      <c r="F398" s="100"/>
      <c r="G398" s="95"/>
    </row>
    <row r="399" spans="1:11" ht="13.5">
      <c r="A399" s="71" t="s">
        <v>211</v>
      </c>
      <c r="B399" s="23" t="s">
        <v>210</v>
      </c>
      <c r="C399" s="24">
        <v>294000</v>
      </c>
      <c r="D399" s="78"/>
      <c r="E399" s="25"/>
      <c r="F399"/>
      <c r="G399"/>
      <c r="H399"/>
      <c r="I399"/>
      <c r="J399"/>
      <c r="K399"/>
    </row>
    <row r="400" spans="1:5" s="175" customFormat="1" ht="13.5">
      <c r="A400" s="12" t="s">
        <v>153</v>
      </c>
      <c r="B400" s="24" t="s">
        <v>125</v>
      </c>
      <c r="C400" s="24">
        <v>85900</v>
      </c>
      <c r="D400" s="24"/>
      <c r="E400" s="24"/>
    </row>
    <row r="401" spans="1:5" s="175" customFormat="1" ht="14.25" thickBot="1">
      <c r="A401" s="12"/>
      <c r="B401" s="24"/>
      <c r="C401" s="24"/>
      <c r="D401" s="24"/>
      <c r="E401" s="24"/>
    </row>
    <row r="402" spans="1:11" ht="14.25" thickBot="1">
      <c r="A402" s="994" t="s">
        <v>3</v>
      </c>
      <c r="B402" s="995"/>
      <c r="C402" s="603">
        <f>C403+C405+C408+C411</f>
        <v>1427660</v>
      </c>
      <c r="D402" s="23"/>
      <c r="E402" s="23"/>
      <c r="F402"/>
      <c r="G402"/>
      <c r="H402"/>
      <c r="I402"/>
      <c r="J402"/>
      <c r="K402"/>
    </row>
    <row r="403" spans="1:11" ht="13.5">
      <c r="A403" s="11" t="s">
        <v>110</v>
      </c>
      <c r="B403" s="281" t="s">
        <v>111</v>
      </c>
      <c r="C403" s="32">
        <f>SUM(C404:C404)</f>
        <v>55000</v>
      </c>
      <c r="D403" s="95"/>
      <c r="E403" s="95"/>
      <c r="F403"/>
      <c r="G403"/>
      <c r="H403"/>
      <c r="I403"/>
      <c r="J403"/>
      <c r="K403"/>
    </row>
    <row r="404" spans="1:11" ht="13.5">
      <c r="A404" s="12" t="s">
        <v>52</v>
      </c>
      <c r="B404" s="12" t="s">
        <v>15</v>
      </c>
      <c r="C404" s="24">
        <v>55000</v>
      </c>
      <c r="D404"/>
      <c r="E404" s="23"/>
      <c r="F404"/>
      <c r="G404" s="23"/>
      <c r="H404"/>
      <c r="I404"/>
      <c r="J404"/>
      <c r="K404"/>
    </row>
    <row r="405" spans="1:11" ht="13.5">
      <c r="A405" s="11" t="s">
        <v>120</v>
      </c>
      <c r="B405" s="11" t="s">
        <v>121</v>
      </c>
      <c r="C405" s="31">
        <f>SUM(C406:C407)</f>
        <v>234960</v>
      </c>
      <c r="D405" s="23"/>
      <c r="E405" s="23"/>
      <c r="F405"/>
      <c r="G405"/>
      <c r="H405"/>
      <c r="I405"/>
      <c r="J405"/>
      <c r="K405"/>
    </row>
    <row r="406" spans="1:11" ht="13.5">
      <c r="A406" s="12" t="s">
        <v>184</v>
      </c>
      <c r="B406" s="12" t="s">
        <v>183</v>
      </c>
      <c r="C406" s="24">
        <v>180000</v>
      </c>
      <c r="D406" s="24"/>
      <c r="E406" s="117"/>
      <c r="F406"/>
      <c r="G406"/>
      <c r="H406"/>
      <c r="I406"/>
      <c r="J406"/>
      <c r="K406"/>
    </row>
    <row r="407" spans="1:11" ht="13.5">
      <c r="A407" s="12" t="s">
        <v>136</v>
      </c>
      <c r="B407" s="12" t="s">
        <v>71</v>
      </c>
      <c r="C407" s="24">
        <v>54960</v>
      </c>
      <c r="D407" s="77"/>
      <c r="E407" s="25"/>
      <c r="F407"/>
      <c r="G407"/>
      <c r="H407"/>
      <c r="I407"/>
      <c r="J407"/>
      <c r="K407"/>
    </row>
    <row r="408" spans="1:11" ht="13.5">
      <c r="A408" s="11" t="s">
        <v>112</v>
      </c>
      <c r="B408" s="11" t="s">
        <v>156</v>
      </c>
      <c r="C408" s="31">
        <f>SUM(C409:C410)</f>
        <v>184900</v>
      </c>
      <c r="D408" s="77"/>
      <c r="E408" s="25"/>
      <c r="F408"/>
      <c r="G408"/>
      <c r="H408"/>
      <c r="I408"/>
      <c r="J408"/>
      <c r="K408"/>
    </row>
    <row r="409" spans="1:11" ht="13.5">
      <c r="A409" s="12" t="s">
        <v>138</v>
      </c>
      <c r="B409" s="58" t="s">
        <v>810</v>
      </c>
      <c r="C409" s="24">
        <v>34900</v>
      </c>
      <c r="D409" s="146"/>
      <c r="E409" s="498"/>
      <c r="F409" s="175"/>
      <c r="G409"/>
      <c r="H409"/>
      <c r="I409"/>
      <c r="J409"/>
      <c r="K409"/>
    </row>
    <row r="410" spans="1:11" ht="13.5">
      <c r="A410" s="12" t="s">
        <v>155</v>
      </c>
      <c r="B410" s="24" t="s">
        <v>87</v>
      </c>
      <c r="C410" s="24">
        <v>150000</v>
      </c>
      <c r="D410"/>
      <c r="E410" s="22"/>
      <c r="F410" s="175"/>
      <c r="G410" s="498"/>
      <c r="H410"/>
      <c r="I410"/>
      <c r="J410"/>
      <c r="K410"/>
    </row>
    <row r="411" spans="1:11" ht="16.5">
      <c r="A411" s="11" t="s">
        <v>115</v>
      </c>
      <c r="B411" s="31" t="s">
        <v>8</v>
      </c>
      <c r="C411" s="31">
        <f>SUM(C412:C413)</f>
        <v>952800</v>
      </c>
      <c r="D411" s="307"/>
      <c r="E411" s="500"/>
      <c r="F411" s="175"/>
      <c r="G411" s="146"/>
      <c r="H411" s="146"/>
      <c r="I411" s="146"/>
      <c r="J411"/>
      <c r="K411"/>
    </row>
    <row r="412" spans="1:11" ht="16.5">
      <c r="A412" s="12" t="s">
        <v>89</v>
      </c>
      <c r="B412" s="24" t="s">
        <v>8</v>
      </c>
      <c r="C412" s="24">
        <v>768000</v>
      </c>
      <c r="D412"/>
      <c r="E412" s="500"/>
      <c r="F412" s="175"/>
      <c r="G412" s="498"/>
      <c r="H412" s="146"/>
      <c r="I412" s="146"/>
      <c r="J412"/>
      <c r="K412"/>
    </row>
    <row r="413" spans="1:11" ht="13.5">
      <c r="A413" s="12" t="s">
        <v>90</v>
      </c>
      <c r="B413" s="24" t="s">
        <v>7</v>
      </c>
      <c r="C413" s="24">
        <v>184800</v>
      </c>
      <c r="D413"/>
      <c r="E413" s="38"/>
      <c r="F413" s="175"/>
      <c r="G413" s="307"/>
      <c r="H413"/>
      <c r="I413"/>
      <c r="J413"/>
      <c r="K413"/>
    </row>
    <row r="414" spans="1:7" s="118" customFormat="1" ht="14.25" thickBot="1">
      <c r="A414" s="12"/>
      <c r="B414" s="12"/>
      <c r="C414" s="24"/>
      <c r="D414" s="24"/>
      <c r="G414" s="178"/>
    </row>
    <row r="415" spans="1:11" ht="14.25" thickBot="1">
      <c r="A415" s="996" t="s">
        <v>4</v>
      </c>
      <c r="B415" s="997"/>
      <c r="C415" s="605">
        <f>C416+C418+C421</f>
        <v>13293600</v>
      </c>
      <c r="D415" s="23"/>
      <c r="E415" s="24"/>
      <c r="F415" s="175"/>
      <c r="G415"/>
      <c r="H415"/>
      <c r="I415"/>
      <c r="J415"/>
      <c r="K415"/>
    </row>
    <row r="416" spans="1:11" ht="13.5">
      <c r="A416" s="249" t="s">
        <v>178</v>
      </c>
      <c r="B416" s="281" t="s">
        <v>177</v>
      </c>
      <c r="C416" s="32">
        <f>SUM(C417:C417)</f>
        <v>13000000</v>
      </c>
      <c r="D416" s="78"/>
      <c r="E416" s="25"/>
      <c r="F416"/>
      <c r="G416"/>
      <c r="H416"/>
      <c r="I416"/>
      <c r="J416"/>
      <c r="K416"/>
    </row>
    <row r="417" spans="1:11" ht="13.5">
      <c r="A417" s="12" t="s">
        <v>176</v>
      </c>
      <c r="B417" s="12" t="s">
        <v>175</v>
      </c>
      <c r="C417" s="24">
        <v>13000000</v>
      </c>
      <c r="D417" s="95"/>
      <c r="E417" s="95"/>
      <c r="F417" s="175"/>
      <c r="G417" s="175"/>
      <c r="H417" s="175"/>
      <c r="I417"/>
      <c r="J417"/>
      <c r="K417"/>
    </row>
    <row r="418" spans="1:11" ht="13.5">
      <c r="A418" s="11" t="s">
        <v>116</v>
      </c>
      <c r="B418" s="281" t="s">
        <v>117</v>
      </c>
      <c r="C418" s="31">
        <f>SUM(C419:C420)</f>
        <v>248000</v>
      </c>
      <c r="D418" s="95"/>
      <c r="E418" s="22"/>
      <c r="F418" s="175"/>
      <c r="G418" s="175"/>
      <c r="H418" s="175"/>
      <c r="I418"/>
      <c r="J418"/>
      <c r="K418"/>
    </row>
    <row r="419" spans="1:11" ht="13.5">
      <c r="A419" s="12" t="s">
        <v>91</v>
      </c>
      <c r="B419" s="24" t="s">
        <v>9</v>
      </c>
      <c r="C419" s="24">
        <v>68000</v>
      </c>
      <c r="D419" s="22"/>
      <c r="E419" s="31"/>
      <c r="F419" s="175"/>
      <c r="G419" s="175"/>
      <c r="H419" s="175"/>
      <c r="I419"/>
      <c r="J419"/>
      <c r="K419"/>
    </row>
    <row r="420" spans="1:11" ht="13.5">
      <c r="A420" s="71" t="s">
        <v>57</v>
      </c>
      <c r="B420" s="23" t="s">
        <v>58</v>
      </c>
      <c r="C420" s="24">
        <v>180000</v>
      </c>
      <c r="D420" s="77"/>
      <c r="E420" s="25"/>
      <c r="F420"/>
      <c r="G420"/>
      <c r="H420"/>
      <c r="I420"/>
      <c r="J420"/>
      <c r="K420"/>
    </row>
    <row r="421" spans="1:11" ht="13.5">
      <c r="A421" s="249" t="s">
        <v>165</v>
      </c>
      <c r="B421" s="25" t="s">
        <v>135</v>
      </c>
      <c r="C421" s="31">
        <f>SUM(C422)</f>
        <v>45600</v>
      </c>
      <c r="D421" s="77"/>
      <c r="E421" s="25"/>
      <c r="F421"/>
      <c r="G421"/>
      <c r="H421"/>
      <c r="I421"/>
      <c r="J421"/>
      <c r="K421"/>
    </row>
    <row r="422" spans="1:11" ht="13.5">
      <c r="A422" s="71" t="s">
        <v>166</v>
      </c>
      <c r="B422" s="23" t="s">
        <v>51</v>
      </c>
      <c r="C422" s="24">
        <v>45600</v>
      </c>
      <c r="D422" s="77"/>
      <c r="E422" s="25"/>
      <c r="F422"/>
      <c r="G422"/>
      <c r="H422"/>
      <c r="I422"/>
      <c r="J422"/>
      <c r="K422"/>
    </row>
    <row r="423" spans="1:6" s="229" customFormat="1" ht="13.5" customHeight="1">
      <c r="A423" s="230"/>
      <c r="B423" s="230"/>
      <c r="C423" s="231"/>
      <c r="D423" s="230"/>
      <c r="E423" s="232"/>
      <c r="F423" s="152"/>
    </row>
    <row r="424" spans="1:6" s="229" customFormat="1" ht="13.5" customHeight="1" thickBot="1">
      <c r="A424" s="230"/>
      <c r="B424" s="230"/>
      <c r="C424" s="231"/>
      <c r="D424" s="230"/>
      <c r="E424" s="232"/>
      <c r="F424" s="152"/>
    </row>
    <row r="425" spans="1:11" s="155" customFormat="1" ht="13.5" customHeight="1">
      <c r="A425" s="583" t="s">
        <v>579</v>
      </c>
      <c r="B425" s="584"/>
      <c r="C425" s="585"/>
      <c r="D425" s="654" t="s">
        <v>6</v>
      </c>
      <c r="E425" s="761">
        <v>1506</v>
      </c>
      <c r="F425" s="152"/>
      <c r="G425" s="118"/>
      <c r="H425" s="118"/>
      <c r="I425" s="118"/>
      <c r="J425" s="118"/>
      <c r="K425" s="118"/>
    </row>
    <row r="426" spans="1:11" s="155" customFormat="1" ht="14.25" thickBot="1">
      <c r="A426" s="587"/>
      <c r="B426" s="588"/>
      <c r="C426" s="589"/>
      <c r="D426" s="655"/>
      <c r="E426" s="656"/>
      <c r="F426" s="152"/>
      <c r="G426" s="118"/>
      <c r="H426" s="118"/>
      <c r="I426" s="118"/>
      <c r="J426" s="118"/>
      <c r="K426" s="118"/>
    </row>
    <row r="427" spans="1:11" s="153" customFormat="1" ht="13.5" customHeight="1">
      <c r="A427" s="979" t="s">
        <v>939</v>
      </c>
      <c r="B427" s="980"/>
      <c r="C427" s="980"/>
      <c r="D427" s="980"/>
      <c r="E427" s="981"/>
      <c r="F427" s="152"/>
      <c r="G427" s="151"/>
      <c r="H427" s="151"/>
      <c r="I427" s="151"/>
      <c r="J427" s="151"/>
      <c r="K427" s="151"/>
    </row>
    <row r="428" spans="1:11" s="153" customFormat="1" ht="13.5" customHeight="1">
      <c r="A428" s="982"/>
      <c r="B428" s="983"/>
      <c r="C428" s="983"/>
      <c r="D428" s="983"/>
      <c r="E428" s="984"/>
      <c r="F428" s="152"/>
      <c r="G428" s="151"/>
      <c r="H428" s="151"/>
      <c r="I428" s="151"/>
      <c r="J428" s="151"/>
      <c r="K428" s="151"/>
    </row>
    <row r="429" spans="1:11" s="153" customFormat="1" ht="13.5" customHeight="1">
      <c r="A429" s="982"/>
      <c r="B429" s="983"/>
      <c r="C429" s="983"/>
      <c r="D429" s="983"/>
      <c r="E429" s="984"/>
      <c r="F429" s="152"/>
      <c r="G429" s="151"/>
      <c r="H429" s="151"/>
      <c r="I429" s="151"/>
      <c r="J429" s="151"/>
      <c r="K429" s="151"/>
    </row>
    <row r="430" spans="1:11" s="153" customFormat="1" ht="13.5" customHeight="1">
      <c r="A430" s="982"/>
      <c r="B430" s="983"/>
      <c r="C430" s="983"/>
      <c r="D430" s="983"/>
      <c r="E430" s="984"/>
      <c r="F430" s="152"/>
      <c r="G430" s="151"/>
      <c r="H430" s="151"/>
      <c r="I430" s="151"/>
      <c r="J430" s="151"/>
      <c r="K430" s="151"/>
    </row>
    <row r="431" spans="1:11" s="153" customFormat="1" ht="13.5" customHeight="1" thickBot="1">
      <c r="A431" s="985"/>
      <c r="B431" s="986"/>
      <c r="C431" s="986"/>
      <c r="D431" s="986"/>
      <c r="E431" s="987"/>
      <c r="F431" s="152"/>
      <c r="G431" s="151"/>
      <c r="H431" s="151"/>
      <c r="I431" s="151"/>
      <c r="J431" s="151"/>
      <c r="K431" s="151"/>
    </row>
    <row r="432" spans="1:11" s="153" customFormat="1" ht="13.5" customHeight="1">
      <c r="A432" s="40" t="s">
        <v>809</v>
      </c>
      <c r="B432" s="12"/>
      <c r="C432" s="138"/>
      <c r="D432" s="70"/>
      <c r="E432" s="136"/>
      <c r="F432" s="152"/>
      <c r="G432" s="151"/>
      <c r="H432" s="151"/>
      <c r="I432" s="151"/>
      <c r="J432" s="151"/>
      <c r="K432" s="151"/>
    </row>
    <row r="433" spans="1:11" s="153" customFormat="1" ht="13.5" customHeight="1">
      <c r="A433" s="57" t="s">
        <v>603</v>
      </c>
      <c r="B433" s="12"/>
      <c r="C433" s="138"/>
      <c r="D433" s="70"/>
      <c r="E433" s="136"/>
      <c r="F433" s="152"/>
      <c r="G433" s="151"/>
      <c r="H433" s="151"/>
      <c r="I433" s="151"/>
      <c r="J433" s="151"/>
      <c r="K433" s="151"/>
    </row>
    <row r="434" spans="1:11" s="153" customFormat="1" ht="13.5" customHeight="1">
      <c r="A434" s="57" t="s">
        <v>598</v>
      </c>
      <c r="B434" s="12"/>
      <c r="C434" s="138"/>
      <c r="D434" s="70"/>
      <c r="E434" s="136"/>
      <c r="F434" s="152"/>
      <c r="G434" s="151"/>
      <c r="H434" s="151"/>
      <c r="I434" s="151"/>
      <c r="J434" s="151"/>
      <c r="K434" s="151"/>
    </row>
    <row r="435" spans="1:11" s="153" customFormat="1" ht="14.25" thickBot="1">
      <c r="A435" s="40" t="s">
        <v>11</v>
      </c>
      <c r="B435" s="12"/>
      <c r="C435" s="138"/>
      <c r="D435" s="70"/>
      <c r="E435" s="136"/>
      <c r="F435" s="152"/>
      <c r="G435" s="151"/>
      <c r="H435" s="151"/>
      <c r="I435" s="151"/>
      <c r="J435" s="151"/>
      <c r="K435" s="151"/>
    </row>
    <row r="436" spans="1:11" s="153" customFormat="1" ht="14.25" thickBot="1">
      <c r="A436" s="697" t="s">
        <v>221</v>
      </c>
      <c r="B436" s="698"/>
      <c r="C436" s="699"/>
      <c r="D436" s="701"/>
      <c r="E436" s="707">
        <f>+C438+C455+C466</f>
        <v>524170</v>
      </c>
      <c r="F436" s="152"/>
      <c r="G436" s="151"/>
      <c r="H436" s="151"/>
      <c r="I436" s="151"/>
      <c r="J436" s="151"/>
      <c r="K436" s="151"/>
    </row>
    <row r="437" spans="1:5" ht="14.25" thickBot="1">
      <c r="A437" s="12"/>
      <c r="B437" s="12"/>
      <c r="C437" s="24"/>
      <c r="D437" s="24"/>
      <c r="E437" s="513"/>
    </row>
    <row r="438" spans="1:11" s="146" customFormat="1" ht="14.25" thickBot="1">
      <c r="A438" s="992" t="s">
        <v>2</v>
      </c>
      <c r="B438" s="993"/>
      <c r="C438" s="602">
        <f>C439+C441+C443+C446+C451</f>
        <v>227540</v>
      </c>
      <c r="D438" s="31"/>
      <c r="E438" s="822"/>
      <c r="F438" s="9"/>
      <c r="G438" s="147"/>
      <c r="H438" s="147"/>
      <c r="I438" s="147"/>
      <c r="J438" s="147"/>
      <c r="K438" s="147"/>
    </row>
    <row r="439" spans="1:11" s="148" customFormat="1" ht="13.5" customHeight="1">
      <c r="A439" s="249" t="s">
        <v>200</v>
      </c>
      <c r="B439" s="281" t="s">
        <v>220</v>
      </c>
      <c r="C439" s="32">
        <f>SUM(C440)</f>
        <v>15000</v>
      </c>
      <c r="D439" s="95"/>
      <c r="E439" s="850"/>
      <c r="F439" s="150"/>
      <c r="G439" s="149"/>
      <c r="H439" s="149"/>
      <c r="I439" s="149"/>
      <c r="J439" s="149"/>
      <c r="K439" s="149"/>
    </row>
    <row r="440" spans="1:11" s="146" customFormat="1" ht="13.5" customHeight="1">
      <c r="A440" s="71" t="s">
        <v>219</v>
      </c>
      <c r="B440" s="42" t="s">
        <v>218</v>
      </c>
      <c r="C440" s="24">
        <v>15000</v>
      </c>
      <c r="D440" s="24"/>
      <c r="E440" s="24"/>
      <c r="F440" s="9"/>
      <c r="G440" s="147"/>
      <c r="H440" s="147"/>
      <c r="I440" s="147"/>
      <c r="J440" s="147"/>
      <c r="K440" s="147"/>
    </row>
    <row r="441" spans="1:11" s="146" customFormat="1" ht="13.5" customHeight="1">
      <c r="A441" s="11" t="s">
        <v>107</v>
      </c>
      <c r="B441" s="502" t="s">
        <v>108</v>
      </c>
      <c r="C441" s="31">
        <f>SUM(C442)</f>
        <v>11800</v>
      </c>
      <c r="D441" s="24"/>
      <c r="E441" s="24"/>
      <c r="F441" s="9"/>
      <c r="G441" s="147"/>
      <c r="H441" s="147"/>
      <c r="I441" s="147"/>
      <c r="J441" s="147"/>
      <c r="K441" s="147"/>
    </row>
    <row r="442" spans="1:11" s="146" customFormat="1" ht="13.5" customHeight="1">
      <c r="A442" s="71" t="s">
        <v>47</v>
      </c>
      <c r="B442" s="23" t="s">
        <v>217</v>
      </c>
      <c r="C442" s="24">
        <v>11800</v>
      </c>
      <c r="D442" s="24"/>
      <c r="E442" s="24"/>
      <c r="F442" s="9"/>
      <c r="G442" s="147"/>
      <c r="H442" s="147"/>
      <c r="I442" s="147"/>
      <c r="J442" s="147"/>
      <c r="K442" s="147"/>
    </row>
    <row r="443" spans="1:11" s="146" customFormat="1" ht="13.5" customHeight="1">
      <c r="A443" s="11" t="s">
        <v>196</v>
      </c>
      <c r="B443" s="25" t="s">
        <v>195</v>
      </c>
      <c r="C443" s="31">
        <f>SUM(C444:C445)</f>
        <v>124680</v>
      </c>
      <c r="D443" s="24"/>
      <c r="E443" s="24"/>
      <c r="F443" s="9"/>
      <c r="G443" s="147"/>
      <c r="H443" s="147"/>
      <c r="I443" s="147"/>
      <c r="J443" s="147"/>
      <c r="K443" s="147"/>
    </row>
    <row r="444" spans="1:11" s="146" customFormat="1" ht="13.5" customHeight="1">
      <c r="A444" s="71" t="s">
        <v>194</v>
      </c>
      <c r="B444" s="71" t="s">
        <v>216</v>
      </c>
      <c r="C444" s="24">
        <v>116640</v>
      </c>
      <c r="D444" s="24"/>
      <c r="E444" s="24"/>
      <c r="F444" s="9"/>
      <c r="G444" s="147"/>
      <c r="H444" s="147"/>
      <c r="I444" s="147"/>
      <c r="J444" s="147"/>
      <c r="K444" s="147"/>
    </row>
    <row r="445" spans="1:11" s="146" customFormat="1" ht="13.5" customHeight="1">
      <c r="A445" s="71" t="s">
        <v>215</v>
      </c>
      <c r="B445" s="42" t="s">
        <v>214</v>
      </c>
      <c r="C445" s="24">
        <f>6700*1.2</f>
        <v>8040</v>
      </c>
      <c r="D445" s="24"/>
      <c r="E445" s="24"/>
      <c r="F445" s="9"/>
      <c r="G445" s="147"/>
      <c r="H445" s="147"/>
      <c r="I445" s="147"/>
      <c r="J445" s="147"/>
      <c r="K445" s="147"/>
    </row>
    <row r="446" spans="1:11" s="146" customFormat="1" ht="13.5" customHeight="1">
      <c r="A446" s="249" t="s">
        <v>119</v>
      </c>
      <c r="B446" s="25" t="s">
        <v>109</v>
      </c>
      <c r="C446" s="31">
        <f>SUM(C447:C450)</f>
        <v>42390</v>
      </c>
      <c r="D446" s="24"/>
      <c r="E446" s="24"/>
      <c r="F446" s="9"/>
      <c r="G446" s="147"/>
      <c r="H446" s="147"/>
      <c r="I446" s="147"/>
      <c r="J446" s="147"/>
      <c r="K446" s="147"/>
    </row>
    <row r="447" spans="1:11" s="146" customFormat="1" ht="13.5" customHeight="1">
      <c r="A447" s="71" t="s">
        <v>191</v>
      </c>
      <c r="B447" s="42" t="s">
        <v>190</v>
      </c>
      <c r="C447" s="24">
        <v>13450</v>
      </c>
      <c r="D447" s="24"/>
      <c r="E447" s="24"/>
      <c r="F447" s="9"/>
      <c r="G447" s="147"/>
      <c r="H447" s="147"/>
      <c r="I447" s="147"/>
      <c r="J447" s="147"/>
      <c r="K447" s="147"/>
    </row>
    <row r="448" spans="1:11" s="146" customFormat="1" ht="13.5" customHeight="1">
      <c r="A448" s="71" t="s">
        <v>189</v>
      </c>
      <c r="B448" s="42" t="s">
        <v>188</v>
      </c>
      <c r="C448" s="24">
        <v>14940</v>
      </c>
      <c r="D448" s="24"/>
      <c r="E448" s="24"/>
      <c r="F448" s="9"/>
      <c r="G448" s="147"/>
      <c r="H448" s="147"/>
      <c r="I448" s="147"/>
      <c r="J448" s="147"/>
      <c r="K448" s="147"/>
    </row>
    <row r="449" spans="1:11" s="146" customFormat="1" ht="13.5" customHeight="1">
      <c r="A449" s="71" t="s">
        <v>213</v>
      </c>
      <c r="B449" s="42" t="s">
        <v>212</v>
      </c>
      <c r="C449" s="24">
        <v>8600</v>
      </c>
      <c r="D449" s="24"/>
      <c r="E449" s="24"/>
      <c r="F449" s="9"/>
      <c r="G449" s="147"/>
      <c r="H449" s="147"/>
      <c r="I449" s="147"/>
      <c r="J449" s="147"/>
      <c r="K449" s="147"/>
    </row>
    <row r="450" spans="1:11" s="146" customFormat="1" ht="13.5" customHeight="1">
      <c r="A450" s="71" t="s">
        <v>187</v>
      </c>
      <c r="B450" s="42" t="s">
        <v>186</v>
      </c>
      <c r="C450" s="24">
        <f>4500*1.2</f>
        <v>5400</v>
      </c>
      <c r="D450" s="24"/>
      <c r="E450" s="24"/>
      <c r="F450" s="9"/>
      <c r="G450" s="147"/>
      <c r="H450" s="147"/>
      <c r="I450" s="147"/>
      <c r="J450" s="147"/>
      <c r="K450" s="147"/>
    </row>
    <row r="451" spans="1:11" s="146" customFormat="1" ht="13.5" customHeight="1">
      <c r="A451" s="249" t="s">
        <v>150</v>
      </c>
      <c r="B451" s="25" t="s">
        <v>133</v>
      </c>
      <c r="C451" s="31">
        <f>SUM(C452:C453)</f>
        <v>33670</v>
      </c>
      <c r="D451" s="24"/>
      <c r="E451" s="24"/>
      <c r="F451" s="9"/>
      <c r="G451" s="147"/>
      <c r="H451" s="147"/>
      <c r="I451" s="147"/>
      <c r="J451" s="147"/>
      <c r="K451" s="147"/>
    </row>
    <row r="452" spans="1:11" s="146" customFormat="1" ht="13.5" customHeight="1">
      <c r="A452" s="71" t="s">
        <v>211</v>
      </c>
      <c r="B452" s="23" t="s">
        <v>210</v>
      </c>
      <c r="C452" s="24">
        <v>10800</v>
      </c>
      <c r="D452" s="24"/>
      <c r="E452" s="24"/>
      <c r="F452" s="9"/>
      <c r="G452" s="147"/>
      <c r="H452" s="147"/>
      <c r="I452" s="147"/>
      <c r="J452" s="147"/>
      <c r="K452" s="147"/>
    </row>
    <row r="453" spans="1:11" s="146" customFormat="1" ht="13.5" customHeight="1">
      <c r="A453" s="71" t="s">
        <v>153</v>
      </c>
      <c r="B453" s="42" t="s">
        <v>125</v>
      </c>
      <c r="C453" s="24">
        <v>22870</v>
      </c>
      <c r="D453" s="24"/>
      <c r="E453" s="24"/>
      <c r="F453" s="9"/>
      <c r="G453" s="147"/>
      <c r="H453" s="147"/>
      <c r="I453" s="147"/>
      <c r="J453" s="147"/>
      <c r="K453" s="147"/>
    </row>
    <row r="454" spans="1:11" s="146" customFormat="1" ht="14.25" thickBot="1">
      <c r="A454" s="71"/>
      <c r="B454" s="42"/>
      <c r="C454" s="24"/>
      <c r="D454" s="24"/>
      <c r="E454" s="24"/>
      <c r="F454" s="9"/>
      <c r="G454" s="147"/>
      <c r="H454" s="147"/>
      <c r="I454" s="147"/>
      <c r="J454" s="147"/>
      <c r="K454" s="147"/>
    </row>
    <row r="455" spans="1:11" s="146" customFormat="1" ht="14.25" thickBot="1">
      <c r="A455" s="994" t="s">
        <v>3</v>
      </c>
      <c r="B455" s="995"/>
      <c r="C455" s="603">
        <f>C456+C460</f>
        <v>203170</v>
      </c>
      <c r="D455" s="31"/>
      <c r="E455" s="24"/>
      <c r="F455" s="9"/>
      <c r="G455" s="147"/>
      <c r="H455" s="147"/>
      <c r="I455" s="147"/>
      <c r="J455" s="147"/>
      <c r="K455" s="147"/>
    </row>
    <row r="456" spans="1:11" s="148" customFormat="1" ht="13.5" customHeight="1">
      <c r="A456" s="62" t="s">
        <v>120</v>
      </c>
      <c r="B456" s="62" t="s">
        <v>121</v>
      </c>
      <c r="C456" s="32">
        <f>SUM(C457:C459)</f>
        <v>56490</v>
      </c>
      <c r="D456" s="95"/>
      <c r="E456" s="95"/>
      <c r="F456" s="150"/>
      <c r="G456" s="149"/>
      <c r="H456" s="149"/>
      <c r="I456" s="149"/>
      <c r="J456" s="149"/>
      <c r="K456" s="149"/>
    </row>
    <row r="457" spans="1:11" s="146" customFormat="1" ht="13.5" customHeight="1">
      <c r="A457" s="71" t="s">
        <v>184</v>
      </c>
      <c r="B457" s="42" t="s">
        <v>183</v>
      </c>
      <c r="C457" s="24">
        <v>22140</v>
      </c>
      <c r="D457" s="24"/>
      <c r="E457" s="24"/>
      <c r="F457" s="9"/>
      <c r="G457" s="147"/>
      <c r="H457" s="147"/>
      <c r="I457" s="147"/>
      <c r="J457" s="147"/>
      <c r="K457" s="147"/>
    </row>
    <row r="458" spans="1:11" s="146" customFormat="1" ht="13.5" customHeight="1">
      <c r="A458" s="71" t="s">
        <v>209</v>
      </c>
      <c r="B458" s="42" t="s">
        <v>208</v>
      </c>
      <c r="C458" s="24">
        <v>17800</v>
      </c>
      <c r="D458" s="24"/>
      <c r="E458" s="24"/>
      <c r="F458" s="9"/>
      <c r="G458" s="147"/>
      <c r="H458" s="147"/>
      <c r="I458" s="147"/>
      <c r="J458" s="147"/>
      <c r="K458" s="147"/>
    </row>
    <row r="459" spans="1:11" s="146" customFormat="1" ht="13.5" customHeight="1">
      <c r="A459" s="71" t="s">
        <v>136</v>
      </c>
      <c r="B459" s="42" t="s">
        <v>207</v>
      </c>
      <c r="C459" s="24">
        <v>16550</v>
      </c>
      <c r="D459" s="24"/>
      <c r="E459" s="24"/>
      <c r="F459" s="9"/>
      <c r="G459" s="147"/>
      <c r="H459" s="147"/>
      <c r="I459" s="147"/>
      <c r="J459" s="147"/>
      <c r="K459" s="147"/>
    </row>
    <row r="460" spans="1:11" s="146" customFormat="1" ht="13.5" customHeight="1">
      <c r="A460" s="11" t="s">
        <v>115</v>
      </c>
      <c r="B460" s="31" t="s">
        <v>7</v>
      </c>
      <c r="C460" s="31">
        <f>SUM(C461:C464)</f>
        <v>146680</v>
      </c>
      <c r="D460" s="24"/>
      <c r="E460" s="24"/>
      <c r="F460" s="9"/>
      <c r="G460" s="147"/>
      <c r="H460" s="147"/>
      <c r="I460" s="147"/>
      <c r="J460" s="147"/>
      <c r="K460" s="147"/>
    </row>
    <row r="461" spans="1:11" s="146" customFormat="1" ht="13.5" customHeight="1">
      <c r="A461" s="71" t="s">
        <v>89</v>
      </c>
      <c r="B461" s="42" t="s">
        <v>8</v>
      </c>
      <c r="C461" s="24">
        <v>78000</v>
      </c>
      <c r="E461" s="24"/>
      <c r="F461" s="24"/>
      <c r="G461" s="147"/>
      <c r="H461" s="147"/>
      <c r="I461" s="147"/>
      <c r="J461" s="147"/>
      <c r="K461" s="147"/>
    </row>
    <row r="462" spans="1:11" s="146" customFormat="1" ht="13.5" customHeight="1">
      <c r="A462" s="71" t="s">
        <v>182</v>
      </c>
      <c r="B462" s="42" t="s">
        <v>181</v>
      </c>
      <c r="C462" s="24">
        <v>16500</v>
      </c>
      <c r="D462" s="24"/>
      <c r="E462" s="24"/>
      <c r="F462" s="9"/>
      <c r="G462" s="147"/>
      <c r="H462" s="147"/>
      <c r="I462" s="147"/>
      <c r="J462" s="147"/>
      <c r="K462" s="147"/>
    </row>
    <row r="463" spans="1:11" s="146" customFormat="1" ht="13.5" customHeight="1">
      <c r="A463" s="71" t="s">
        <v>206</v>
      </c>
      <c r="B463" s="42" t="s">
        <v>205</v>
      </c>
      <c r="C463" s="24">
        <v>23600</v>
      </c>
      <c r="D463" s="24"/>
      <c r="E463" s="24"/>
      <c r="F463" s="9"/>
      <c r="G463" s="147"/>
      <c r="H463" s="147"/>
      <c r="I463" s="147"/>
      <c r="J463" s="147"/>
      <c r="K463" s="147"/>
    </row>
    <row r="464" spans="1:11" s="146" customFormat="1" ht="13.5" customHeight="1">
      <c r="A464" s="71" t="s">
        <v>90</v>
      </c>
      <c r="B464" s="12" t="s">
        <v>7</v>
      </c>
      <c r="C464" s="24">
        <v>28580</v>
      </c>
      <c r="D464" s="24"/>
      <c r="E464" s="24"/>
      <c r="F464" s="9"/>
      <c r="G464" s="147"/>
      <c r="H464" s="147"/>
      <c r="I464" s="147"/>
      <c r="J464" s="147"/>
      <c r="K464" s="147"/>
    </row>
    <row r="465" spans="1:11" s="146" customFormat="1" ht="14.25" thickBot="1">
      <c r="A465" s="12"/>
      <c r="B465" s="42"/>
      <c r="C465" s="24"/>
      <c r="D465" s="24"/>
      <c r="E465" s="24"/>
      <c r="F465" s="9"/>
      <c r="G465" s="147"/>
      <c r="H465" s="147"/>
      <c r="I465" s="147"/>
      <c r="J465" s="147"/>
      <c r="K465" s="147"/>
    </row>
    <row r="466" spans="1:11" s="146" customFormat="1" ht="14.25" thickBot="1">
      <c r="A466" s="996" t="s">
        <v>4</v>
      </c>
      <c r="B466" s="997"/>
      <c r="C466" s="605">
        <f>C467+C471+C473</f>
        <v>93460</v>
      </c>
      <c r="D466" s="31"/>
      <c r="E466" s="23"/>
      <c r="F466" s="9"/>
      <c r="G466" s="147"/>
      <c r="H466" s="147"/>
      <c r="I466" s="147"/>
      <c r="J466" s="147"/>
      <c r="K466" s="147"/>
    </row>
    <row r="467" spans="1:11" s="148" customFormat="1" ht="13.5" customHeight="1">
      <c r="A467" s="249" t="s">
        <v>178</v>
      </c>
      <c r="B467" s="281" t="s">
        <v>177</v>
      </c>
      <c r="C467" s="32">
        <f>SUM(C468:C470)</f>
        <v>77860</v>
      </c>
      <c r="D467" s="95"/>
      <c r="E467" s="95"/>
      <c r="F467" s="150"/>
      <c r="G467" s="149"/>
      <c r="H467" s="149"/>
      <c r="I467" s="149"/>
      <c r="J467" s="149"/>
      <c r="K467" s="149"/>
    </row>
    <row r="468" spans="1:11" s="146" customFormat="1" ht="13.5" customHeight="1">
      <c r="A468" s="71" t="s">
        <v>176</v>
      </c>
      <c r="B468" s="42" t="s">
        <v>175</v>
      </c>
      <c r="C468" s="24">
        <v>27060</v>
      </c>
      <c r="D468" s="24"/>
      <c r="E468" s="23"/>
      <c r="F468" s="9"/>
      <c r="G468" s="147"/>
      <c r="H468" s="147"/>
      <c r="I468" s="147"/>
      <c r="J468" s="147"/>
      <c r="K468" s="147"/>
    </row>
    <row r="469" spans="1:6" s="124" customFormat="1" ht="13.5" customHeight="1">
      <c r="A469" s="71" t="s">
        <v>174</v>
      </c>
      <c r="B469" s="42" t="s">
        <v>173</v>
      </c>
      <c r="C469" s="24">
        <v>24600</v>
      </c>
      <c r="D469" s="24"/>
      <c r="E469" s="24"/>
      <c r="F469" s="70"/>
    </row>
    <row r="470" spans="1:11" s="146" customFormat="1" ht="13.5" customHeight="1">
      <c r="A470" s="71" t="s">
        <v>172</v>
      </c>
      <c r="B470" s="42" t="s">
        <v>171</v>
      </c>
      <c r="C470" s="24">
        <v>26200</v>
      </c>
      <c r="D470" s="24"/>
      <c r="E470" s="23"/>
      <c r="F470" s="9"/>
      <c r="G470" s="147"/>
      <c r="H470" s="147"/>
      <c r="I470" s="147"/>
      <c r="J470" s="147"/>
      <c r="K470" s="147"/>
    </row>
    <row r="471" spans="1:11" s="146" customFormat="1" ht="13.5" customHeight="1">
      <c r="A471" s="249" t="s">
        <v>116</v>
      </c>
      <c r="B471" s="281" t="s">
        <v>117</v>
      </c>
      <c r="C471" s="31">
        <f>SUM(C472:C472)</f>
        <v>11400</v>
      </c>
      <c r="D471" s="24"/>
      <c r="E471" s="23"/>
      <c r="F471" s="9"/>
      <c r="G471" s="147"/>
      <c r="H471" s="147"/>
      <c r="I471" s="147"/>
      <c r="J471" s="147"/>
      <c r="K471" s="147"/>
    </row>
    <row r="472" spans="1:11" s="146" customFormat="1" ht="13.5" customHeight="1">
      <c r="A472" s="71" t="s">
        <v>91</v>
      </c>
      <c r="B472" s="23" t="s">
        <v>9</v>
      </c>
      <c r="C472" s="24">
        <f>9500*1.2</f>
        <v>11400</v>
      </c>
      <c r="D472" s="24"/>
      <c r="E472" s="24"/>
      <c r="F472" s="72"/>
      <c r="G472" s="169"/>
      <c r="H472" s="147"/>
      <c r="I472" s="147"/>
      <c r="J472" s="147"/>
      <c r="K472" s="147"/>
    </row>
    <row r="473" spans="1:11" s="146" customFormat="1" ht="13.5" customHeight="1">
      <c r="A473" s="249" t="s">
        <v>165</v>
      </c>
      <c r="B473" s="25" t="s">
        <v>135</v>
      </c>
      <c r="C473" s="31">
        <f>+C474</f>
        <v>4200</v>
      </c>
      <c r="D473" s="24"/>
      <c r="E473" s="23"/>
      <c r="F473" s="9"/>
      <c r="G473" s="147"/>
      <c r="H473" s="147"/>
      <c r="I473" s="147"/>
      <c r="J473" s="147"/>
      <c r="K473" s="147"/>
    </row>
    <row r="474" spans="1:11" s="146" customFormat="1" ht="13.5" customHeight="1">
      <c r="A474" s="71" t="s">
        <v>166</v>
      </c>
      <c r="B474" s="42" t="s">
        <v>51</v>
      </c>
      <c r="C474" s="24">
        <v>4200</v>
      </c>
      <c r="D474" s="24"/>
      <c r="E474" s="23"/>
      <c r="F474" s="9"/>
      <c r="G474" s="147"/>
      <c r="H474" s="147"/>
      <c r="I474" s="147"/>
      <c r="J474" s="147"/>
      <c r="K474" s="147"/>
    </row>
    <row r="475" spans="1:11" s="146" customFormat="1" ht="13.5" customHeight="1">
      <c r="A475" s="71"/>
      <c r="B475" s="42"/>
      <c r="C475" s="24"/>
      <c r="D475" s="24"/>
      <c r="E475" s="23"/>
      <c r="F475" s="9"/>
      <c r="G475" s="147"/>
      <c r="H475" s="147"/>
      <c r="I475" s="147"/>
      <c r="J475" s="147"/>
      <c r="K475" s="147"/>
    </row>
    <row r="476" spans="1:11" s="146" customFormat="1" ht="13.5" customHeight="1" thickBot="1">
      <c r="A476" s="71"/>
      <c r="B476" s="42"/>
      <c r="C476" s="24"/>
      <c r="D476" s="24"/>
      <c r="E476" s="23"/>
      <c r="F476" s="9"/>
      <c r="G476" s="147"/>
      <c r="H476" s="147"/>
      <c r="I476" s="147"/>
      <c r="J476" s="147"/>
      <c r="K476" s="147"/>
    </row>
    <row r="477" spans="1:11" s="128" customFormat="1" ht="13.5" customHeight="1">
      <c r="A477" s="583" t="s">
        <v>597</v>
      </c>
      <c r="B477" s="584"/>
      <c r="C477" s="585"/>
      <c r="D477" s="654" t="s">
        <v>6</v>
      </c>
      <c r="E477" s="761">
        <v>1507</v>
      </c>
      <c r="F477" s="130"/>
      <c r="G477" s="129"/>
      <c r="H477" s="129"/>
      <c r="I477" s="129"/>
      <c r="J477" s="129"/>
      <c r="K477" s="129"/>
    </row>
    <row r="478" spans="1:11" s="128" customFormat="1" ht="14.25" thickBot="1">
      <c r="A478" s="587"/>
      <c r="B478" s="588"/>
      <c r="C478" s="589"/>
      <c r="D478" s="655"/>
      <c r="E478" s="656"/>
      <c r="F478" s="130"/>
      <c r="G478" s="129"/>
      <c r="H478" s="129"/>
      <c r="I478" s="129"/>
      <c r="J478" s="129"/>
      <c r="K478" s="129"/>
    </row>
    <row r="479" spans="1:11" s="128" customFormat="1" ht="13.5" customHeight="1">
      <c r="A479" s="1115" t="s">
        <v>928</v>
      </c>
      <c r="B479" s="1116"/>
      <c r="C479" s="1116"/>
      <c r="D479" s="1116"/>
      <c r="E479" s="1117"/>
      <c r="F479" s="130"/>
      <c r="G479" s="129"/>
      <c r="H479" s="129"/>
      <c r="I479" s="129"/>
      <c r="J479" s="129"/>
      <c r="K479" s="129"/>
    </row>
    <row r="480" spans="1:11" s="128" customFormat="1" ht="13.5" customHeight="1">
      <c r="A480" s="1118"/>
      <c r="B480" s="1119"/>
      <c r="C480" s="1119"/>
      <c r="D480" s="1119"/>
      <c r="E480" s="1120"/>
      <c r="F480" s="130"/>
      <c r="G480" s="129"/>
      <c r="H480" s="129"/>
      <c r="I480" s="129"/>
      <c r="J480" s="129"/>
      <c r="K480" s="129"/>
    </row>
    <row r="481" spans="1:11" s="128" customFormat="1" ht="13.5" customHeight="1">
      <c r="A481" s="1118"/>
      <c r="B481" s="1119"/>
      <c r="C481" s="1119"/>
      <c r="D481" s="1119"/>
      <c r="E481" s="1120"/>
      <c r="F481" s="130"/>
      <c r="G481" s="129"/>
      <c r="H481" s="129"/>
      <c r="I481" s="129"/>
      <c r="J481" s="129"/>
      <c r="K481" s="129"/>
    </row>
    <row r="482" spans="1:11" s="128" customFormat="1" ht="13.5" customHeight="1">
      <c r="A482" s="1118"/>
      <c r="B482" s="1119"/>
      <c r="C482" s="1119"/>
      <c r="D482" s="1119"/>
      <c r="E482" s="1120"/>
      <c r="F482" s="130"/>
      <c r="G482" s="129"/>
      <c r="H482" s="129"/>
      <c r="I482" s="129"/>
      <c r="J482" s="129"/>
      <c r="K482" s="129"/>
    </row>
    <row r="483" spans="1:11" s="128" customFormat="1" ht="26.25" customHeight="1" thickBot="1">
      <c r="A483" s="1121"/>
      <c r="B483" s="1122"/>
      <c r="C483" s="1122"/>
      <c r="D483" s="1122"/>
      <c r="E483" s="1123"/>
      <c r="F483" s="130"/>
      <c r="G483" s="129"/>
      <c r="H483" s="129"/>
      <c r="I483" s="129"/>
      <c r="J483" s="129"/>
      <c r="K483" s="129"/>
    </row>
    <row r="484" spans="1:11" s="128" customFormat="1" ht="13.5">
      <c r="A484" s="40" t="s">
        <v>809</v>
      </c>
      <c r="B484" s="12"/>
      <c r="C484" s="138"/>
      <c r="D484" s="137"/>
      <c r="E484" s="136"/>
      <c r="F484" s="130"/>
      <c r="G484" s="129"/>
      <c r="H484" s="129"/>
      <c r="I484" s="129"/>
      <c r="J484" s="129"/>
      <c r="K484" s="129"/>
    </row>
    <row r="485" spans="1:11" s="128" customFormat="1" ht="13.5">
      <c r="A485" s="57" t="s">
        <v>603</v>
      </c>
      <c r="B485" s="12"/>
      <c r="C485" s="138"/>
      <c r="D485" s="137"/>
      <c r="E485" s="136"/>
      <c r="F485" s="130"/>
      <c r="G485" s="129"/>
      <c r="H485" s="129"/>
      <c r="I485" s="129"/>
      <c r="J485" s="129"/>
      <c r="K485" s="129"/>
    </row>
    <row r="486" spans="1:11" s="128" customFormat="1" ht="13.5">
      <c r="A486" s="57" t="s">
        <v>599</v>
      </c>
      <c r="B486" s="12"/>
      <c r="C486" s="138"/>
      <c r="D486" s="137"/>
      <c r="E486" s="136"/>
      <c r="F486" s="130"/>
      <c r="G486" s="129"/>
      <c r="H486" s="129"/>
      <c r="I486" s="129"/>
      <c r="J486" s="129"/>
      <c r="K486" s="129"/>
    </row>
    <row r="487" spans="1:11" s="128" customFormat="1" ht="14.25" thickBot="1">
      <c r="A487" s="75" t="s">
        <v>11</v>
      </c>
      <c r="B487" s="135"/>
      <c r="C487" s="134"/>
      <c r="D487" s="133"/>
      <c r="E487" s="132"/>
      <c r="F487" s="130"/>
      <c r="G487" s="129"/>
      <c r="H487" s="129"/>
      <c r="I487" s="129"/>
      <c r="J487" s="129"/>
      <c r="K487" s="129"/>
    </row>
    <row r="488" spans="1:11" s="128" customFormat="1" ht="14.25" thickBot="1">
      <c r="A488" s="697" t="s">
        <v>0</v>
      </c>
      <c r="B488" s="698"/>
      <c r="C488" s="699" t="s">
        <v>201</v>
      </c>
      <c r="D488" s="701" t="s">
        <v>201</v>
      </c>
      <c r="E488" s="707">
        <f>C490+C511+C527</f>
        <v>1369950</v>
      </c>
      <c r="F488" s="130"/>
      <c r="G488" s="129"/>
      <c r="H488" s="129"/>
      <c r="I488" s="129"/>
      <c r="J488" s="129"/>
      <c r="K488" s="129"/>
    </row>
    <row r="489" spans="1:11" s="128" customFormat="1" ht="14.25" thickBot="1">
      <c r="A489" s="131"/>
      <c r="B489" s="131"/>
      <c r="C489" s="28"/>
      <c r="D489" s="28"/>
      <c r="E489" s="513"/>
      <c r="F489" s="130"/>
      <c r="G489" s="129"/>
      <c r="H489" s="129"/>
      <c r="I489" s="129"/>
      <c r="J489" s="129"/>
      <c r="K489" s="129"/>
    </row>
    <row r="490" spans="1:11" s="119" customFormat="1" ht="14.25" thickBot="1">
      <c r="A490" s="992" t="s">
        <v>2</v>
      </c>
      <c r="B490" s="993"/>
      <c r="C490" s="602">
        <f>C491+C493+C495+C497+C499+C501+C505+C507</f>
        <v>390390</v>
      </c>
      <c r="D490" s="24"/>
      <c r="E490" s="822"/>
      <c r="F490" s="70"/>
      <c r="G490" s="120"/>
      <c r="H490" s="120"/>
      <c r="I490" s="120"/>
      <c r="J490" s="120"/>
      <c r="K490" s="120"/>
    </row>
    <row r="491" spans="1:11" s="121" customFormat="1" ht="13.5">
      <c r="A491" s="11" t="s">
        <v>103</v>
      </c>
      <c r="B491" s="281" t="s">
        <v>104</v>
      </c>
      <c r="C491" s="32">
        <f>C492</f>
        <v>25800</v>
      </c>
      <c r="D491" s="95"/>
      <c r="E491" s="850"/>
      <c r="F491" s="123"/>
      <c r="G491" s="122"/>
      <c r="H491" s="122"/>
      <c r="I491" s="122"/>
      <c r="J491" s="122"/>
      <c r="K491" s="122"/>
    </row>
    <row r="492" spans="1:11" s="119" customFormat="1" ht="13.5">
      <c r="A492" s="12" t="s">
        <v>46</v>
      </c>
      <c r="B492" s="12" t="s">
        <v>160</v>
      </c>
      <c r="C492" s="24">
        <v>25800</v>
      </c>
      <c r="D492" s="24"/>
      <c r="E492" s="24"/>
      <c r="F492" s="70"/>
      <c r="G492" s="120"/>
      <c r="H492" s="120"/>
      <c r="I492" s="120"/>
      <c r="J492" s="120"/>
      <c r="K492" s="120"/>
    </row>
    <row r="493" spans="1:11" s="119" customFormat="1" ht="13.5">
      <c r="A493" s="11" t="s">
        <v>200</v>
      </c>
      <c r="B493" s="505" t="s">
        <v>199</v>
      </c>
      <c r="C493" s="31">
        <f>C494</f>
        <v>15840</v>
      </c>
      <c r="D493" s="24"/>
      <c r="E493" s="24"/>
      <c r="F493" s="70"/>
      <c r="G493" s="120"/>
      <c r="H493" s="120"/>
      <c r="I493" s="120"/>
      <c r="J493" s="120"/>
      <c r="K493" s="120"/>
    </row>
    <row r="494" spans="1:11" s="119" customFormat="1" ht="13.5">
      <c r="A494" s="12" t="s">
        <v>198</v>
      </c>
      <c r="B494" s="42" t="s">
        <v>197</v>
      </c>
      <c r="C494" s="24">
        <v>15840</v>
      </c>
      <c r="D494" s="24"/>
      <c r="E494" s="24"/>
      <c r="F494" s="70"/>
      <c r="G494" s="120"/>
      <c r="H494" s="120"/>
      <c r="I494" s="120"/>
      <c r="J494" s="120"/>
      <c r="K494" s="120"/>
    </row>
    <row r="495" spans="1:11" s="119" customFormat="1" ht="13.5">
      <c r="A495" s="11" t="s">
        <v>105</v>
      </c>
      <c r="B495" s="249" t="s">
        <v>106</v>
      </c>
      <c r="C495" s="31">
        <f>SUM(C496:C496)</f>
        <v>23400</v>
      </c>
      <c r="D495" s="24"/>
      <c r="E495" s="24"/>
      <c r="F495" s="70"/>
      <c r="G495" s="120"/>
      <c r="H495" s="120"/>
      <c r="I495" s="120"/>
      <c r="J495" s="120"/>
      <c r="K495" s="120"/>
    </row>
    <row r="496" spans="1:11" s="119" customFormat="1" ht="13.5">
      <c r="A496" s="12" t="s">
        <v>86</v>
      </c>
      <c r="B496" s="12" t="s">
        <v>66</v>
      </c>
      <c r="C496" s="24">
        <v>23400</v>
      </c>
      <c r="D496" s="24"/>
      <c r="E496" s="24"/>
      <c r="F496" s="70"/>
      <c r="G496" s="120"/>
      <c r="H496" s="120"/>
      <c r="I496" s="120"/>
      <c r="J496" s="120"/>
      <c r="K496" s="120"/>
    </row>
    <row r="497" spans="1:11" s="119" customFormat="1" ht="13.5">
      <c r="A497" s="11" t="s">
        <v>107</v>
      </c>
      <c r="B497" s="249" t="s">
        <v>108</v>
      </c>
      <c r="C497" s="31">
        <f>SUM(C498)</f>
        <v>37920</v>
      </c>
      <c r="D497" s="24"/>
      <c r="E497" s="24"/>
      <c r="F497" s="70"/>
      <c r="G497" s="120"/>
      <c r="H497" s="120"/>
      <c r="I497" s="120"/>
      <c r="J497" s="120"/>
      <c r="K497" s="120"/>
    </row>
    <row r="498" spans="1:11" s="119" customFormat="1" ht="13.5">
      <c r="A498" s="12" t="s">
        <v>47</v>
      </c>
      <c r="B498" s="12" t="s">
        <v>48</v>
      </c>
      <c r="C498" s="24">
        <v>37920</v>
      </c>
      <c r="D498" s="24"/>
      <c r="E498" s="24"/>
      <c r="F498" s="70"/>
      <c r="G498" s="120"/>
      <c r="H498" s="120"/>
      <c r="I498" s="120"/>
      <c r="J498" s="120"/>
      <c r="K498" s="120"/>
    </row>
    <row r="499" spans="1:11" s="119" customFormat="1" ht="13.5">
      <c r="A499" s="11" t="s">
        <v>196</v>
      </c>
      <c r="B499" s="505" t="s">
        <v>195</v>
      </c>
      <c r="C499" s="31">
        <f>SUM(C500)</f>
        <v>153750</v>
      </c>
      <c r="D499" s="24"/>
      <c r="E499" s="24"/>
      <c r="F499" s="70"/>
      <c r="G499" s="120"/>
      <c r="H499" s="120"/>
      <c r="I499" s="120"/>
      <c r="J499" s="120"/>
      <c r="K499" s="120"/>
    </row>
    <row r="500" spans="1:11" s="119" customFormat="1" ht="13.5">
      <c r="A500" s="12" t="s">
        <v>194</v>
      </c>
      <c r="B500" s="42" t="s">
        <v>193</v>
      </c>
      <c r="C500" s="24">
        <v>153750</v>
      </c>
      <c r="D500" s="24"/>
      <c r="E500" s="24"/>
      <c r="F500" s="70"/>
      <c r="G500" s="120"/>
      <c r="H500" s="120"/>
      <c r="I500" s="120"/>
      <c r="J500" s="120"/>
      <c r="K500" s="120"/>
    </row>
    <row r="501" spans="1:11" s="119" customFormat="1" ht="13.5">
      <c r="A501" s="249" t="s">
        <v>119</v>
      </c>
      <c r="B501" s="505" t="s">
        <v>192</v>
      </c>
      <c r="C501" s="31">
        <f>SUM(C502:C504)</f>
        <v>53980</v>
      </c>
      <c r="D501" s="24"/>
      <c r="E501" s="24"/>
      <c r="F501" s="70"/>
      <c r="G501" s="120"/>
      <c r="H501" s="120"/>
      <c r="I501" s="120"/>
      <c r="J501" s="120"/>
      <c r="K501" s="120"/>
    </row>
    <row r="502" spans="1:11" s="119" customFormat="1" ht="13.5">
      <c r="A502" s="71" t="s">
        <v>191</v>
      </c>
      <c r="B502" s="42" t="s">
        <v>190</v>
      </c>
      <c r="C502" s="24">
        <v>14300</v>
      </c>
      <c r="D502" s="24"/>
      <c r="E502" s="24"/>
      <c r="F502" s="70"/>
      <c r="G502" s="120"/>
      <c r="H502" s="120"/>
      <c r="I502" s="120"/>
      <c r="J502" s="120"/>
      <c r="K502" s="120"/>
    </row>
    <row r="503" spans="1:11" s="119" customFormat="1" ht="13.5">
      <c r="A503" s="71" t="s">
        <v>189</v>
      </c>
      <c r="B503" s="42" t="s">
        <v>188</v>
      </c>
      <c r="C503" s="24">
        <v>33480</v>
      </c>
      <c r="D503" s="24"/>
      <c r="E503" s="24"/>
      <c r="F503" s="70"/>
      <c r="G503" s="120"/>
      <c r="H503" s="120"/>
      <c r="I503" s="120"/>
      <c r="J503" s="120"/>
      <c r="K503" s="120"/>
    </row>
    <row r="504" spans="1:11" s="119" customFormat="1" ht="13.5">
      <c r="A504" s="71" t="s">
        <v>187</v>
      </c>
      <c r="B504" s="42" t="s">
        <v>186</v>
      </c>
      <c r="C504" s="24">
        <v>6200</v>
      </c>
      <c r="D504" s="24"/>
      <c r="E504" s="24"/>
      <c r="F504" s="70"/>
      <c r="G504" s="120"/>
      <c r="H504" s="120"/>
      <c r="I504" s="120"/>
      <c r="J504" s="120"/>
      <c r="K504" s="120"/>
    </row>
    <row r="505" spans="1:11" s="119" customFormat="1" ht="13.5">
      <c r="A505" s="249" t="s">
        <v>124</v>
      </c>
      <c r="B505" s="505" t="s">
        <v>123</v>
      </c>
      <c r="C505" s="31">
        <f>C506</f>
        <v>31700</v>
      </c>
      <c r="D505" s="24"/>
      <c r="E505" s="24"/>
      <c r="F505" s="70"/>
      <c r="G505" s="120"/>
      <c r="H505" s="120"/>
      <c r="I505" s="120"/>
      <c r="J505" s="120"/>
      <c r="K505" s="120"/>
    </row>
    <row r="506" spans="1:11" s="119" customFormat="1" ht="13.5">
      <c r="A506" s="71" t="s">
        <v>93</v>
      </c>
      <c r="B506" s="42" t="s">
        <v>72</v>
      </c>
      <c r="C506" s="24">
        <v>31700</v>
      </c>
      <c r="D506" s="24"/>
      <c r="E506" s="24"/>
      <c r="F506" s="70"/>
      <c r="G506" s="120"/>
      <c r="H506" s="120"/>
      <c r="I506" s="120"/>
      <c r="J506" s="120"/>
      <c r="K506" s="120"/>
    </row>
    <row r="507" spans="1:11" s="119" customFormat="1" ht="13.5">
      <c r="A507" s="249" t="s">
        <v>150</v>
      </c>
      <c r="B507" s="25" t="s">
        <v>133</v>
      </c>
      <c r="C507" s="31">
        <f>SUM(C508:C509)</f>
        <v>48000</v>
      </c>
      <c r="D507" s="24"/>
      <c r="E507" s="24"/>
      <c r="F507" s="70"/>
      <c r="G507" s="120"/>
      <c r="H507" s="120"/>
      <c r="I507" s="120"/>
      <c r="J507" s="120"/>
      <c r="K507" s="120"/>
    </row>
    <row r="508" spans="1:11" s="119" customFormat="1" ht="13.5">
      <c r="A508" s="12" t="s">
        <v>151</v>
      </c>
      <c r="B508" s="12" t="s">
        <v>65</v>
      </c>
      <c r="C508" s="24">
        <v>30000</v>
      </c>
      <c r="D508" s="24"/>
      <c r="E508" s="24"/>
      <c r="F508" s="70"/>
      <c r="G508" s="120"/>
      <c r="H508" s="120"/>
      <c r="I508" s="120"/>
      <c r="J508" s="120"/>
      <c r="K508" s="120"/>
    </row>
    <row r="509" spans="1:11" s="119" customFormat="1" ht="13.5">
      <c r="A509" s="12" t="s">
        <v>153</v>
      </c>
      <c r="B509" s="12" t="s">
        <v>125</v>
      </c>
      <c r="C509" s="24">
        <v>18000</v>
      </c>
      <c r="D509" s="24"/>
      <c r="E509" s="24"/>
      <c r="F509" s="70"/>
      <c r="G509" s="120"/>
      <c r="H509" s="120"/>
      <c r="I509" s="120"/>
      <c r="J509" s="120"/>
      <c r="K509" s="120"/>
    </row>
    <row r="510" spans="1:11" s="119" customFormat="1" ht="14.25" thickBot="1">
      <c r="A510" s="71"/>
      <c r="B510" s="71"/>
      <c r="C510" s="23"/>
      <c r="D510" s="24"/>
      <c r="E510" s="24"/>
      <c r="F510" s="70"/>
      <c r="G510" s="120"/>
      <c r="H510" s="120"/>
      <c r="I510" s="120"/>
      <c r="J510" s="120"/>
      <c r="K510" s="120"/>
    </row>
    <row r="511" spans="1:11" s="119" customFormat="1" ht="14.25" thickBot="1">
      <c r="A511" s="994" t="s">
        <v>3</v>
      </c>
      <c r="B511" s="995"/>
      <c r="C511" s="603">
        <f>C512+C515+C517+C520+C522</f>
        <v>871760</v>
      </c>
      <c r="D511" s="24"/>
      <c r="E511" s="24"/>
      <c r="F511" s="70"/>
      <c r="G511" s="120"/>
      <c r="H511" s="120"/>
      <c r="I511" s="120"/>
      <c r="J511" s="120"/>
      <c r="K511" s="120"/>
    </row>
    <row r="512" spans="1:11" s="121" customFormat="1" ht="13.5">
      <c r="A512" s="11" t="s">
        <v>110</v>
      </c>
      <c r="B512" s="281" t="s">
        <v>111</v>
      </c>
      <c r="C512" s="32">
        <f>SUM(C513:C514)</f>
        <v>277280</v>
      </c>
      <c r="D512" s="95"/>
      <c r="E512" s="95"/>
      <c r="F512" s="123"/>
      <c r="G512" s="122"/>
      <c r="H512" s="122"/>
      <c r="I512" s="122"/>
      <c r="J512" s="122"/>
      <c r="K512" s="122"/>
    </row>
    <row r="513" spans="1:11" s="121" customFormat="1" ht="13.5">
      <c r="A513" s="12" t="s">
        <v>159</v>
      </c>
      <c r="B513" s="42" t="s">
        <v>158</v>
      </c>
      <c r="C513" s="22">
        <v>260000</v>
      </c>
      <c r="D513" s="95"/>
      <c r="E513" s="95"/>
      <c r="F513" s="123"/>
      <c r="G513" s="122"/>
      <c r="H513" s="122"/>
      <c r="I513" s="122"/>
      <c r="J513" s="122"/>
      <c r="K513" s="122"/>
    </row>
    <row r="514" spans="1:11" s="119" customFormat="1" ht="13.5">
      <c r="A514" s="12" t="s">
        <v>52</v>
      </c>
      <c r="B514" s="12" t="s">
        <v>185</v>
      </c>
      <c r="C514" s="24">
        <v>17280</v>
      </c>
      <c r="D514" s="24"/>
      <c r="E514" s="24"/>
      <c r="F514" s="70"/>
      <c r="G514" s="120"/>
      <c r="H514" s="120"/>
      <c r="I514" s="120"/>
      <c r="J514" s="120"/>
      <c r="K514" s="120"/>
    </row>
    <row r="515" spans="1:11" s="119" customFormat="1" ht="13.5">
      <c r="A515" s="11" t="s">
        <v>120</v>
      </c>
      <c r="B515" s="505" t="s">
        <v>121</v>
      </c>
      <c r="C515" s="31">
        <f>SUM(C516)</f>
        <v>24000</v>
      </c>
      <c r="D515" s="24"/>
      <c r="E515" s="24"/>
      <c r="F515" s="70"/>
      <c r="G515" s="120"/>
      <c r="H515" s="120"/>
      <c r="I515" s="120"/>
      <c r="J515" s="120"/>
      <c r="K515" s="120"/>
    </row>
    <row r="516" spans="1:11" s="119" customFormat="1" ht="13.5">
      <c r="A516" s="12" t="s">
        <v>184</v>
      </c>
      <c r="B516" s="42" t="s">
        <v>183</v>
      </c>
      <c r="C516" s="24">
        <v>24000</v>
      </c>
      <c r="D516" s="24"/>
      <c r="E516" s="24"/>
      <c r="F516" s="70"/>
      <c r="G516" s="120"/>
      <c r="H516" s="120"/>
      <c r="I516" s="120"/>
      <c r="J516" s="120"/>
      <c r="K516" s="120"/>
    </row>
    <row r="517" spans="1:11" s="119" customFormat="1" ht="13.5">
      <c r="A517" s="11" t="s">
        <v>112</v>
      </c>
      <c r="B517" s="11" t="s">
        <v>156</v>
      </c>
      <c r="C517" s="31">
        <f>SUM(C518:C519)</f>
        <v>269800</v>
      </c>
      <c r="D517" s="24"/>
      <c r="E517" s="24"/>
      <c r="F517" s="70"/>
      <c r="G517" s="120"/>
      <c r="H517" s="120"/>
      <c r="I517" s="120"/>
      <c r="J517" s="120"/>
      <c r="K517" s="120"/>
    </row>
    <row r="518" spans="1:255" s="125" customFormat="1" ht="13.5">
      <c r="A518" s="12" t="s">
        <v>138</v>
      </c>
      <c r="B518" s="58" t="s">
        <v>810</v>
      </c>
      <c r="C518" s="24">
        <f>6500*1.2</f>
        <v>7800</v>
      </c>
      <c r="D518" s="24"/>
      <c r="E518" s="24"/>
      <c r="F518" s="70"/>
      <c r="G518" s="120"/>
      <c r="H518" s="120"/>
      <c r="I518" s="120"/>
      <c r="J518" s="120"/>
      <c r="K518" s="120"/>
      <c r="L518" s="119"/>
      <c r="M518" s="119"/>
      <c r="N518" s="119"/>
      <c r="O518" s="119"/>
      <c r="P518" s="119"/>
      <c r="Q518" s="119"/>
      <c r="R518" s="119"/>
      <c r="S518" s="119"/>
      <c r="T518" s="119"/>
      <c r="U518" s="119"/>
      <c r="V518" s="119"/>
      <c r="W518" s="119"/>
      <c r="X518" s="119"/>
      <c r="Y518" s="119"/>
      <c r="Z518" s="119"/>
      <c r="AA518" s="119"/>
      <c r="AB518" s="119"/>
      <c r="AC518" s="119"/>
      <c r="AD518" s="119"/>
      <c r="AE518" s="119"/>
      <c r="AF518" s="119"/>
      <c r="AG518" s="119"/>
      <c r="AH518" s="119"/>
      <c r="AI518" s="119"/>
      <c r="AJ518" s="119"/>
      <c r="AK518" s="119"/>
      <c r="AL518" s="119"/>
      <c r="AM518" s="119"/>
      <c r="AN518" s="119"/>
      <c r="AO518" s="119"/>
      <c r="AP518" s="119"/>
      <c r="AQ518" s="119"/>
      <c r="AR518" s="119"/>
      <c r="AS518" s="119"/>
      <c r="AT518" s="119"/>
      <c r="AU518" s="119"/>
      <c r="AV518" s="119"/>
      <c r="AW518" s="119"/>
      <c r="AX518" s="119"/>
      <c r="AY518" s="119"/>
      <c r="AZ518" s="119"/>
      <c r="BA518" s="119"/>
      <c r="BB518" s="119"/>
      <c r="BC518" s="119"/>
      <c r="BD518" s="119"/>
      <c r="BE518" s="119"/>
      <c r="BF518" s="119"/>
      <c r="BG518" s="119"/>
      <c r="BH518" s="119"/>
      <c r="BI518" s="119"/>
      <c r="BJ518" s="119"/>
      <c r="BK518" s="119"/>
      <c r="BL518" s="119"/>
      <c r="BM518" s="119"/>
      <c r="BN518" s="119"/>
      <c r="BO518" s="119"/>
      <c r="BP518" s="119"/>
      <c r="BQ518" s="119"/>
      <c r="BR518" s="119"/>
      <c r="BS518" s="119"/>
      <c r="BT518" s="119"/>
      <c r="BU518" s="119"/>
      <c r="BV518" s="119"/>
      <c r="BW518" s="119"/>
      <c r="BX518" s="119"/>
      <c r="BY518" s="119"/>
      <c r="BZ518" s="119"/>
      <c r="CA518" s="119"/>
      <c r="CB518" s="119"/>
      <c r="CC518" s="119"/>
      <c r="CD518" s="119"/>
      <c r="CE518" s="119"/>
      <c r="CF518" s="119"/>
      <c r="CG518" s="119"/>
      <c r="CH518" s="119"/>
      <c r="CI518" s="119"/>
      <c r="CJ518" s="119"/>
      <c r="CK518" s="119"/>
      <c r="CL518" s="119"/>
      <c r="CM518" s="119"/>
      <c r="CN518" s="119"/>
      <c r="CO518" s="119"/>
      <c r="CP518" s="119"/>
      <c r="CQ518" s="119"/>
      <c r="CR518" s="119"/>
      <c r="CS518" s="119"/>
      <c r="CT518" s="119"/>
      <c r="CU518" s="119"/>
      <c r="CV518" s="119"/>
      <c r="CW518" s="119"/>
      <c r="CX518" s="119"/>
      <c r="CY518" s="119"/>
      <c r="CZ518" s="119"/>
      <c r="DA518" s="119"/>
      <c r="DB518" s="119"/>
      <c r="DC518" s="119"/>
      <c r="DD518" s="119"/>
      <c r="DE518" s="119"/>
      <c r="DF518" s="119"/>
      <c r="DG518" s="119"/>
      <c r="DH518" s="119"/>
      <c r="DI518" s="119"/>
      <c r="DJ518" s="119"/>
      <c r="DK518" s="119"/>
      <c r="DL518" s="119"/>
      <c r="DM518" s="119"/>
      <c r="DN518" s="119"/>
      <c r="DO518" s="119"/>
      <c r="DP518" s="119"/>
      <c r="DQ518" s="119"/>
      <c r="DR518" s="119"/>
      <c r="DS518" s="119"/>
      <c r="DT518" s="119"/>
      <c r="DU518" s="119"/>
      <c r="DV518" s="119"/>
      <c r="DW518" s="119"/>
      <c r="DX518" s="119"/>
      <c r="DY518" s="119"/>
      <c r="DZ518" s="119"/>
      <c r="EA518" s="119"/>
      <c r="EB518" s="119"/>
      <c r="EC518" s="119"/>
      <c r="ED518" s="119"/>
      <c r="EE518" s="119"/>
      <c r="EF518" s="119"/>
      <c r="EG518" s="119"/>
      <c r="EH518" s="119"/>
      <c r="EI518" s="119"/>
      <c r="EJ518" s="119"/>
      <c r="EK518" s="119"/>
      <c r="EL518" s="119"/>
      <c r="EM518" s="119"/>
      <c r="EN518" s="119"/>
      <c r="EO518" s="119"/>
      <c r="EP518" s="119"/>
      <c r="EQ518" s="119"/>
      <c r="ER518" s="119"/>
      <c r="ES518" s="119"/>
      <c r="ET518" s="119"/>
      <c r="EU518" s="119"/>
      <c r="EV518" s="119"/>
      <c r="EW518" s="119"/>
      <c r="EX518" s="119"/>
      <c r="EY518" s="119"/>
      <c r="EZ518" s="119"/>
      <c r="FA518" s="119"/>
      <c r="FB518" s="119"/>
      <c r="FC518" s="119"/>
      <c r="FD518" s="119"/>
      <c r="FE518" s="119"/>
      <c r="FF518" s="119"/>
      <c r="FG518" s="119"/>
      <c r="FH518" s="119"/>
      <c r="FI518" s="119"/>
      <c r="FJ518" s="119"/>
      <c r="FK518" s="119"/>
      <c r="FL518" s="119"/>
      <c r="FM518" s="119"/>
      <c r="FN518" s="119"/>
      <c r="FO518" s="119"/>
      <c r="FP518" s="119"/>
      <c r="FQ518" s="119"/>
      <c r="FR518" s="119"/>
      <c r="FS518" s="119"/>
      <c r="FT518" s="119"/>
      <c r="FU518" s="119"/>
      <c r="FV518" s="119"/>
      <c r="FW518" s="119"/>
      <c r="FX518" s="119"/>
      <c r="FY518" s="119"/>
      <c r="FZ518" s="119"/>
      <c r="GA518" s="119"/>
      <c r="GB518" s="119"/>
      <c r="GC518" s="119"/>
      <c r="GD518" s="119"/>
      <c r="GE518" s="119"/>
      <c r="GF518" s="119"/>
      <c r="GG518" s="119"/>
      <c r="GH518" s="119"/>
      <c r="GI518" s="119"/>
      <c r="GJ518" s="119"/>
      <c r="GK518" s="119"/>
      <c r="GL518" s="119"/>
      <c r="GM518" s="119"/>
      <c r="GN518" s="119"/>
      <c r="GO518" s="119"/>
      <c r="GP518" s="119"/>
      <c r="GQ518" s="119"/>
      <c r="GR518" s="119"/>
      <c r="GS518" s="119"/>
      <c r="GT518" s="119"/>
      <c r="GU518" s="119"/>
      <c r="GV518" s="119"/>
      <c r="GW518" s="119"/>
      <c r="GX518" s="119"/>
      <c r="GY518" s="119"/>
      <c r="GZ518" s="119"/>
      <c r="HA518" s="119"/>
      <c r="HB518" s="119"/>
      <c r="HC518" s="119"/>
      <c r="HD518" s="119"/>
      <c r="HE518" s="119"/>
      <c r="HF518" s="119"/>
      <c r="HG518" s="119"/>
      <c r="HH518" s="119"/>
      <c r="HI518" s="119"/>
      <c r="HJ518" s="119"/>
      <c r="HK518" s="119"/>
      <c r="HL518" s="119"/>
      <c r="HM518" s="119"/>
      <c r="HN518" s="119"/>
      <c r="HO518" s="119"/>
      <c r="HP518" s="119"/>
      <c r="HQ518" s="119"/>
      <c r="HR518" s="119"/>
      <c r="HS518" s="119"/>
      <c r="HT518" s="119"/>
      <c r="HU518" s="119"/>
      <c r="HV518" s="119"/>
      <c r="HW518" s="119"/>
      <c r="HX518" s="119"/>
      <c r="HY518" s="119"/>
      <c r="HZ518" s="119"/>
      <c r="IA518" s="119"/>
      <c r="IB518" s="119"/>
      <c r="IC518" s="119"/>
      <c r="ID518" s="119"/>
      <c r="IE518" s="119"/>
      <c r="IF518" s="119"/>
      <c r="IG518" s="119"/>
      <c r="IH518" s="119"/>
      <c r="II518" s="119"/>
      <c r="IJ518" s="119"/>
      <c r="IK518" s="119"/>
      <c r="IL518" s="119"/>
      <c r="IM518" s="119"/>
      <c r="IN518" s="119"/>
      <c r="IO518" s="119"/>
      <c r="IP518" s="119"/>
      <c r="IQ518" s="119"/>
      <c r="IR518" s="119"/>
      <c r="IS518" s="119"/>
      <c r="IT518" s="119"/>
      <c r="IU518" s="119"/>
    </row>
    <row r="519" spans="1:11" s="119" customFormat="1" ht="13.5">
      <c r="A519" s="12" t="s">
        <v>155</v>
      </c>
      <c r="B519" s="12" t="s">
        <v>87</v>
      </c>
      <c r="C519" s="24">
        <v>262000</v>
      </c>
      <c r="D519" s="551"/>
      <c r="E519" s="24"/>
      <c r="G519" s="120"/>
      <c r="H519" s="120"/>
      <c r="I519" s="120"/>
      <c r="J519" s="120"/>
      <c r="K519" s="120"/>
    </row>
    <row r="520" spans="1:11" s="119" customFormat="1" ht="13.5">
      <c r="A520" s="11" t="s">
        <v>132</v>
      </c>
      <c r="B520" s="31" t="s">
        <v>56</v>
      </c>
      <c r="C520" s="31">
        <f>SUM(C521)</f>
        <v>24400</v>
      </c>
      <c r="E520" s="24"/>
      <c r="F520" s="24"/>
      <c r="G520" s="120"/>
      <c r="H520" s="120"/>
      <c r="I520" s="120"/>
      <c r="J520" s="120"/>
      <c r="K520" s="120"/>
    </row>
    <row r="521" spans="1:11" s="119" customFormat="1" ht="13.5">
      <c r="A521" s="12" t="s">
        <v>55</v>
      </c>
      <c r="B521" s="12" t="s">
        <v>56</v>
      </c>
      <c r="C521" s="24">
        <v>24400</v>
      </c>
      <c r="E521" s="24"/>
      <c r="F521" s="24"/>
      <c r="G521" s="120"/>
      <c r="H521" s="120"/>
      <c r="I521" s="120"/>
      <c r="J521" s="120"/>
      <c r="K521" s="120"/>
    </row>
    <row r="522" spans="1:11" s="119" customFormat="1" ht="13.5">
      <c r="A522" s="11" t="s">
        <v>115</v>
      </c>
      <c r="B522" s="249" t="s">
        <v>8</v>
      </c>
      <c r="C522" s="31">
        <f>SUM(C523:C525)</f>
        <v>276280</v>
      </c>
      <c r="E522" s="24"/>
      <c r="F522" s="24"/>
      <c r="G522" s="120"/>
      <c r="H522" s="120"/>
      <c r="I522" s="120"/>
      <c r="J522" s="120"/>
      <c r="K522" s="120"/>
    </row>
    <row r="523" spans="1:11" s="119" customFormat="1" ht="13.5">
      <c r="A523" s="12" t="s">
        <v>89</v>
      </c>
      <c r="B523" s="12" t="s">
        <v>8</v>
      </c>
      <c r="C523" s="24">
        <v>250000</v>
      </c>
      <c r="D523" s="552"/>
      <c r="E523" s="24"/>
      <c r="F523" s="24"/>
      <c r="G523" s="120"/>
      <c r="H523" s="120"/>
      <c r="I523" s="120"/>
      <c r="J523" s="120"/>
      <c r="K523" s="120"/>
    </row>
    <row r="524" spans="1:11" s="119" customFormat="1" ht="13.5">
      <c r="A524" s="12" t="s">
        <v>182</v>
      </c>
      <c r="B524" s="12" t="s">
        <v>181</v>
      </c>
      <c r="C524" s="24">
        <f>5400*1.2</f>
        <v>6480</v>
      </c>
      <c r="E524" s="24"/>
      <c r="F524" s="24"/>
      <c r="G524" s="120"/>
      <c r="H524" s="120"/>
      <c r="I524" s="120"/>
      <c r="J524" s="120"/>
      <c r="K524" s="120"/>
    </row>
    <row r="525" spans="1:11" s="119" customFormat="1" ht="13.5">
      <c r="A525" s="12" t="s">
        <v>90</v>
      </c>
      <c r="B525" s="12" t="s">
        <v>7</v>
      </c>
      <c r="C525" s="24">
        <f>18000*1.1</f>
        <v>19800</v>
      </c>
      <c r="D525" s="24"/>
      <c r="E525" s="24"/>
      <c r="F525" s="70"/>
      <c r="G525" s="120"/>
      <c r="H525" s="120"/>
      <c r="I525" s="120"/>
      <c r="J525" s="120"/>
      <c r="K525" s="120"/>
    </row>
    <row r="526" spans="1:11" s="119" customFormat="1" ht="14.25" thickBot="1">
      <c r="A526" s="71"/>
      <c r="B526" s="71"/>
      <c r="C526" s="23"/>
      <c r="D526" s="24"/>
      <c r="E526" s="24"/>
      <c r="F526" s="70"/>
      <c r="G526" s="120"/>
      <c r="H526" s="120"/>
      <c r="I526" s="120"/>
      <c r="J526" s="120"/>
      <c r="K526" s="120"/>
    </row>
    <row r="527" spans="1:11" s="119" customFormat="1" ht="14.25" thickBot="1">
      <c r="A527" s="996" t="s">
        <v>4</v>
      </c>
      <c r="B527" s="997"/>
      <c r="C527" s="605">
        <f>C528+C532+C535</f>
        <v>107800</v>
      </c>
      <c r="D527" s="24"/>
      <c r="E527" s="24"/>
      <c r="F527" s="70"/>
      <c r="G527" s="120"/>
      <c r="H527" s="120"/>
      <c r="I527" s="120"/>
      <c r="J527" s="120"/>
      <c r="K527" s="120"/>
    </row>
    <row r="528" spans="1:6" s="124" customFormat="1" ht="13.5">
      <c r="A528" s="249" t="s">
        <v>178</v>
      </c>
      <c r="B528" s="505" t="s">
        <v>177</v>
      </c>
      <c r="C528" s="31">
        <f>SUM(C529:C531)</f>
        <v>66100</v>
      </c>
      <c r="D528" s="24"/>
      <c r="E528" s="24"/>
      <c r="F528" s="70"/>
    </row>
    <row r="529" spans="1:6" s="124" customFormat="1" ht="13.5">
      <c r="A529" s="71" t="s">
        <v>176</v>
      </c>
      <c r="B529" s="42" t="s">
        <v>175</v>
      </c>
      <c r="C529" s="24">
        <v>10000</v>
      </c>
      <c r="D529" s="24"/>
      <c r="E529" s="24"/>
      <c r="F529" s="70"/>
    </row>
    <row r="530" spans="1:6" s="124" customFormat="1" ht="13.5">
      <c r="A530" s="71" t="s">
        <v>174</v>
      </c>
      <c r="B530" s="42" t="s">
        <v>173</v>
      </c>
      <c r="C530" s="24">
        <v>40500</v>
      </c>
      <c r="D530" s="24"/>
      <c r="E530" s="24"/>
      <c r="F530" s="70"/>
    </row>
    <row r="531" spans="1:6" s="124" customFormat="1" ht="13.5">
      <c r="A531" s="71" t="s">
        <v>172</v>
      </c>
      <c r="B531" s="42" t="s">
        <v>171</v>
      </c>
      <c r="C531" s="24">
        <f>12000*1.3</f>
        <v>15600</v>
      </c>
      <c r="D531" s="24"/>
      <c r="E531" s="24"/>
      <c r="F531" s="70"/>
    </row>
    <row r="532" spans="1:11" s="121" customFormat="1" ht="13.5">
      <c r="A532" s="249" t="s">
        <v>116</v>
      </c>
      <c r="B532" s="281" t="s">
        <v>117</v>
      </c>
      <c r="C532" s="32">
        <f>SUM(C533:C534)</f>
        <v>34100</v>
      </c>
      <c r="D532" s="95"/>
      <c r="E532" s="95"/>
      <c r="F532" s="123"/>
      <c r="G532" s="122"/>
      <c r="H532" s="122"/>
      <c r="I532" s="122"/>
      <c r="J532" s="122"/>
      <c r="K532" s="122"/>
    </row>
    <row r="533" spans="1:11" s="119" customFormat="1" ht="13.5">
      <c r="A533" s="71" t="s">
        <v>91</v>
      </c>
      <c r="B533" s="12" t="s">
        <v>139</v>
      </c>
      <c r="C533" s="24">
        <f>12350*1.3+45</f>
        <v>16100</v>
      </c>
      <c r="D533" s="24"/>
      <c r="E533" s="24"/>
      <c r="F533" s="70"/>
      <c r="G533" s="120"/>
      <c r="H533" s="120"/>
      <c r="I533" s="120"/>
      <c r="J533" s="120"/>
      <c r="K533" s="120"/>
    </row>
    <row r="534" spans="1:11" s="119" customFormat="1" ht="13.5">
      <c r="A534" s="71" t="s">
        <v>57</v>
      </c>
      <c r="B534" s="12" t="s">
        <v>58</v>
      </c>
      <c r="C534" s="24">
        <v>18000</v>
      </c>
      <c r="D534" s="24"/>
      <c r="E534" s="24"/>
      <c r="F534" s="70"/>
      <c r="G534" s="120"/>
      <c r="H534" s="120"/>
      <c r="I534" s="120"/>
      <c r="J534" s="120"/>
      <c r="K534" s="120"/>
    </row>
    <row r="535" spans="1:11" s="119" customFormat="1" ht="13.5">
      <c r="A535" s="249" t="s">
        <v>165</v>
      </c>
      <c r="B535" s="25" t="s">
        <v>135</v>
      </c>
      <c r="C535" s="31">
        <f>SUM(C536)</f>
        <v>7600</v>
      </c>
      <c r="D535" s="24"/>
      <c r="E535" s="24"/>
      <c r="F535" s="70"/>
      <c r="G535" s="120"/>
      <c r="H535" s="120"/>
      <c r="I535" s="120"/>
      <c r="J535" s="120"/>
      <c r="K535" s="120"/>
    </row>
    <row r="536" spans="1:11" s="119" customFormat="1" ht="13.5">
      <c r="A536" s="71" t="s">
        <v>166</v>
      </c>
      <c r="B536" s="12" t="s">
        <v>51</v>
      </c>
      <c r="C536" s="24">
        <v>7600</v>
      </c>
      <c r="D536" s="24"/>
      <c r="E536" s="24"/>
      <c r="F536" s="70"/>
      <c r="G536" s="120"/>
      <c r="H536" s="120"/>
      <c r="I536" s="120"/>
      <c r="J536" s="120"/>
      <c r="K536" s="120"/>
    </row>
    <row r="537" spans="1:11" s="119" customFormat="1" ht="13.5">
      <c r="A537" s="71"/>
      <c r="B537" s="12"/>
      <c r="C537" s="24"/>
      <c r="D537" s="24"/>
      <c r="E537" s="24"/>
      <c r="F537" s="70"/>
      <c r="G537" s="120"/>
      <c r="H537" s="120"/>
      <c r="I537" s="120"/>
      <c r="J537" s="120"/>
      <c r="K537" s="120"/>
    </row>
    <row r="538" spans="3:7" s="3" customFormat="1" ht="13.5" customHeight="1" thickBot="1">
      <c r="C538" s="18"/>
      <c r="D538" s="18"/>
      <c r="E538" s="18"/>
      <c r="G538" s="324"/>
    </row>
    <row r="539" spans="1:9" s="5" customFormat="1" ht="13.5">
      <c r="A539" s="988" t="s">
        <v>929</v>
      </c>
      <c r="B539" s="1009"/>
      <c r="C539" s="989"/>
      <c r="D539" s="639" t="s">
        <v>6</v>
      </c>
      <c r="E539" s="754" t="s">
        <v>1014</v>
      </c>
      <c r="F539" s="555"/>
      <c r="G539" s="68"/>
      <c r="H539" s="68"/>
      <c r="I539" s="68"/>
    </row>
    <row r="540" spans="1:9" s="5" customFormat="1" ht="14.25" thickBot="1">
      <c r="A540" s="990"/>
      <c r="B540" s="1010"/>
      <c r="C540" s="991"/>
      <c r="D540" s="643"/>
      <c r="E540" s="644"/>
      <c r="F540" s="212"/>
      <c r="G540" s="68"/>
      <c r="H540" s="68"/>
      <c r="I540" s="68"/>
    </row>
    <row r="541" spans="1:9" s="5" customFormat="1" ht="13.5">
      <c r="A541" s="979" t="s">
        <v>931</v>
      </c>
      <c r="B541" s="980"/>
      <c r="C541" s="980"/>
      <c r="D541" s="980"/>
      <c r="E541" s="981"/>
      <c r="F541" s="212"/>
      <c r="G541" s="68"/>
      <c r="H541" s="68"/>
      <c r="I541" s="68"/>
    </row>
    <row r="542" spans="1:9" s="5" customFormat="1" ht="13.5">
      <c r="A542" s="982"/>
      <c r="B542" s="983"/>
      <c r="C542" s="983"/>
      <c r="D542" s="983"/>
      <c r="E542" s="984"/>
      <c r="F542" s="212"/>
      <c r="G542" s="68"/>
      <c r="H542" s="68"/>
      <c r="I542" s="68"/>
    </row>
    <row r="543" spans="1:9" s="5" customFormat="1" ht="27.75" customHeight="1" thickBot="1">
      <c r="A543" s="982"/>
      <c r="B543" s="983"/>
      <c r="C543" s="983"/>
      <c r="D543" s="983"/>
      <c r="E543" s="984"/>
      <c r="F543" s="212"/>
      <c r="G543" s="68"/>
      <c r="H543" s="68"/>
      <c r="I543" s="68"/>
    </row>
    <row r="544" spans="1:9" s="5" customFormat="1" ht="13.5">
      <c r="A544" s="436" t="s">
        <v>809</v>
      </c>
      <c r="B544" s="163"/>
      <c r="C544" s="162"/>
      <c r="D544" s="162"/>
      <c r="E544" s="161"/>
      <c r="F544" s="212"/>
      <c r="G544" s="220"/>
      <c r="H544" s="220"/>
      <c r="I544" s="220"/>
    </row>
    <row r="545" spans="1:9" s="5" customFormat="1" ht="13.5">
      <c r="A545" s="57" t="s">
        <v>651</v>
      </c>
      <c r="B545" s="58"/>
      <c r="C545" s="59"/>
      <c r="D545" s="59"/>
      <c r="E545" s="60"/>
      <c r="F545" s="212"/>
      <c r="G545" s="220"/>
      <c r="H545" s="220"/>
      <c r="I545" s="220"/>
    </row>
    <row r="546" spans="1:9" s="5" customFormat="1" ht="13.5">
      <c r="A546" s="40" t="s">
        <v>932</v>
      </c>
      <c r="B546" s="58"/>
      <c r="C546" s="59"/>
      <c r="D546" s="59"/>
      <c r="E546" s="60"/>
      <c r="F546" s="212"/>
      <c r="G546" s="220"/>
      <c r="H546" s="220"/>
      <c r="I546" s="220"/>
    </row>
    <row r="547" spans="1:9" s="5" customFormat="1" ht="14.25" thickBot="1">
      <c r="A547" s="160" t="s">
        <v>933</v>
      </c>
      <c r="B547" s="159"/>
      <c r="C547" s="158"/>
      <c r="D547" s="158"/>
      <c r="E547" s="157"/>
      <c r="F547" s="212"/>
      <c r="G547" s="220"/>
      <c r="H547" s="220"/>
      <c r="I547" s="220"/>
    </row>
    <row r="548" spans="1:9" s="5" customFormat="1" ht="14.25" thickBot="1">
      <c r="A548" s="678" t="s">
        <v>14</v>
      </c>
      <c r="B548" s="679"/>
      <c r="C548" s="685"/>
      <c r="D548" s="686"/>
      <c r="E548" s="682">
        <f>+C551+C571+C586+C591</f>
        <v>1312310</v>
      </c>
      <c r="F548" s="221"/>
      <c r="G548" s="221"/>
      <c r="H548" s="220"/>
      <c r="I548" s="220"/>
    </row>
    <row r="549" spans="1:9" s="5" customFormat="1" ht="13.5">
      <c r="A549" s="62"/>
      <c r="B549" s="62"/>
      <c r="C549" s="63"/>
      <c r="D549" s="63"/>
      <c r="E549" s="222"/>
      <c r="F549" s="212"/>
      <c r="G549" s="220"/>
      <c r="H549" s="220"/>
      <c r="I549" s="220"/>
    </row>
    <row r="550" spans="1:9" s="5" customFormat="1" ht="14.25" thickBot="1">
      <c r="A550" s="58"/>
      <c r="B550" s="69"/>
      <c r="C550" s="66"/>
      <c r="D550" s="223"/>
      <c r="E550" s="67"/>
      <c r="F550" s="194"/>
      <c r="G550" s="65"/>
      <c r="H550" s="65"/>
      <c r="I550" s="65"/>
    </row>
    <row r="551" spans="1:9" s="5" customFormat="1" ht="14.25" thickBot="1">
      <c r="A551" s="1013" t="s">
        <v>2</v>
      </c>
      <c r="B551" s="1014"/>
      <c r="C551" s="634">
        <f>(C552+C554+C556+C558+C565+C567)</f>
        <v>223320</v>
      </c>
      <c r="D551" s="91"/>
      <c r="E551" s="851"/>
      <c r="F551" s="194"/>
      <c r="G551" s="65"/>
      <c r="H551" s="65"/>
      <c r="I551" s="65"/>
    </row>
    <row r="552" spans="1:9" s="5" customFormat="1" ht="13.5">
      <c r="A552" s="11" t="s">
        <v>103</v>
      </c>
      <c r="B552" s="281" t="s">
        <v>104</v>
      </c>
      <c r="C552" s="509">
        <f>SUM(C553)</f>
        <v>25500</v>
      </c>
      <c r="D552" s="94"/>
      <c r="E552" s="824"/>
      <c r="F552" s="98"/>
      <c r="G552" s="225"/>
      <c r="H552" s="225"/>
      <c r="I552" s="225"/>
    </row>
    <row r="553" spans="1:9" s="5" customFormat="1" ht="13.5">
      <c r="A553" s="12" t="s">
        <v>46</v>
      </c>
      <c r="B553" s="42" t="s">
        <v>160</v>
      </c>
      <c r="C553" s="59">
        <v>25500</v>
      </c>
      <c r="D553" s="69"/>
      <c r="E553" s="67"/>
      <c r="F553" s="194"/>
      <c r="G553" s="65"/>
      <c r="H553" s="65"/>
      <c r="I553" s="65"/>
    </row>
    <row r="554" spans="1:9" s="5" customFormat="1" ht="13.5">
      <c r="A554" s="11" t="s">
        <v>105</v>
      </c>
      <c r="B554" s="502" t="s">
        <v>106</v>
      </c>
      <c r="C554" s="63">
        <f>SUM(C555:C555)</f>
        <v>39100</v>
      </c>
      <c r="D554" s="226"/>
      <c r="E554" s="65"/>
      <c r="F554" s="194"/>
      <c r="G554" s="65"/>
      <c r="H554" s="65"/>
      <c r="I554" s="65"/>
    </row>
    <row r="555" spans="1:9" s="5" customFormat="1" ht="13.5">
      <c r="A555" s="12" t="s">
        <v>86</v>
      </c>
      <c r="B555" s="42" t="s">
        <v>66</v>
      </c>
      <c r="C555" s="24">
        <v>39100</v>
      </c>
      <c r="D555" s="65"/>
      <c r="E555" s="65"/>
      <c r="F555" s="95"/>
      <c r="G555" s="31"/>
      <c r="H555" s="42"/>
      <c r="I555" s="42"/>
    </row>
    <row r="556" spans="1:9" s="5" customFormat="1" ht="13.5">
      <c r="A556" s="11" t="s">
        <v>107</v>
      </c>
      <c r="B556" s="502" t="s">
        <v>108</v>
      </c>
      <c r="C556" s="31">
        <f>SUM(C557)</f>
        <v>25680</v>
      </c>
      <c r="D556" s="65"/>
      <c r="E556" s="65"/>
      <c r="F556" s="95"/>
      <c r="G556" s="31"/>
      <c r="H556" s="42"/>
      <c r="I556" s="42"/>
    </row>
    <row r="557" spans="1:9" s="5" customFormat="1" ht="13.5">
      <c r="A557" s="12" t="s">
        <v>47</v>
      </c>
      <c r="B557" s="42" t="s">
        <v>48</v>
      </c>
      <c r="C557" s="59">
        <v>25680</v>
      </c>
      <c r="D557" s="42"/>
      <c r="E557" s="42"/>
      <c r="F557" s="66"/>
      <c r="G557" s="67"/>
      <c r="H557" s="65"/>
      <c r="I557" s="65"/>
    </row>
    <row r="558" spans="1:9" s="5" customFormat="1" ht="13.5">
      <c r="A558" s="11" t="s">
        <v>196</v>
      </c>
      <c r="B558" s="25" t="s">
        <v>195</v>
      </c>
      <c r="C558" s="63">
        <f>SUM(C559:C559)</f>
        <v>16000</v>
      </c>
      <c r="D558" s="42"/>
      <c r="E558" s="42"/>
      <c r="F558" s="66"/>
      <c r="G558" s="67"/>
      <c r="H558" s="65"/>
      <c r="I558" s="65"/>
    </row>
    <row r="559" spans="1:9" s="5" customFormat="1" ht="13.5">
      <c r="A559" s="12" t="s">
        <v>194</v>
      </c>
      <c r="B559" s="8" t="s">
        <v>216</v>
      </c>
      <c r="C559" s="59">
        <v>16000</v>
      </c>
      <c r="D559" s="42"/>
      <c r="E559" s="42"/>
      <c r="F559" s="66"/>
      <c r="G559" s="67"/>
      <c r="H559" s="65"/>
      <c r="I559" s="65"/>
    </row>
    <row r="560" spans="1:9" s="5" customFormat="1" ht="13.5" hidden="1">
      <c r="A560" s="11" t="s">
        <v>119</v>
      </c>
      <c r="B560" s="502" t="s">
        <v>109</v>
      </c>
      <c r="C560" s="63">
        <f>SUM(C561:C564)</f>
        <v>0</v>
      </c>
      <c r="D560" s="42"/>
      <c r="E560" s="42"/>
      <c r="F560" s="66"/>
      <c r="G560" s="67"/>
      <c r="H560" s="65"/>
      <c r="I560" s="65"/>
    </row>
    <row r="561" spans="1:9" s="5" customFormat="1" ht="13.5" hidden="1">
      <c r="A561" s="12" t="s">
        <v>191</v>
      </c>
      <c r="B561" s="42" t="s">
        <v>190</v>
      </c>
      <c r="C561" s="59">
        <v>0</v>
      </c>
      <c r="D561" s="42"/>
      <c r="E561" s="42"/>
      <c r="F561" s="66"/>
      <c r="G561" s="67"/>
      <c r="H561" s="65"/>
      <c r="I561" s="65"/>
    </row>
    <row r="562" spans="1:9" s="5" customFormat="1" ht="13.5" hidden="1">
      <c r="A562" s="12" t="s">
        <v>189</v>
      </c>
      <c r="B562" s="42" t="s">
        <v>188</v>
      </c>
      <c r="C562" s="59">
        <v>0</v>
      </c>
      <c r="D562" s="42"/>
      <c r="E562" s="545" t="s">
        <v>588</v>
      </c>
      <c r="F562" s="66"/>
      <c r="G562" s="67"/>
      <c r="H562" s="65"/>
      <c r="I562" s="65"/>
    </row>
    <row r="563" spans="1:9" s="5" customFormat="1" ht="13.5" hidden="1">
      <c r="A563" s="12" t="s">
        <v>187</v>
      </c>
      <c r="B563" s="42" t="s">
        <v>186</v>
      </c>
      <c r="C563" s="59">
        <v>0</v>
      </c>
      <c r="D563" s="42"/>
      <c r="E563" s="42"/>
      <c r="F563" s="66"/>
      <c r="G563" s="67"/>
      <c r="H563" s="65"/>
      <c r="I563" s="65"/>
    </row>
    <row r="564" spans="1:9" s="5" customFormat="1" ht="13.5" hidden="1">
      <c r="A564" s="12" t="s">
        <v>545</v>
      </c>
      <c r="B564" s="42" t="s">
        <v>543</v>
      </c>
      <c r="C564" s="59">
        <v>0</v>
      </c>
      <c r="D564" s="42"/>
      <c r="E564" s="42"/>
      <c r="F564" s="66"/>
      <c r="G564" s="67"/>
      <c r="H564" s="65"/>
      <c r="I564" s="65"/>
    </row>
    <row r="565" spans="1:9" s="5" customFormat="1" ht="13.5">
      <c r="A565" s="249" t="s">
        <v>124</v>
      </c>
      <c r="B565" s="502" t="s">
        <v>123</v>
      </c>
      <c r="C565" s="63">
        <f>SUM(C566:C566)</f>
        <v>25100</v>
      </c>
      <c r="D565" s="42"/>
      <c r="E565" s="42"/>
      <c r="F565" s="42"/>
      <c r="G565" s="67"/>
      <c r="H565" s="65"/>
      <c r="I565" s="65"/>
    </row>
    <row r="566" spans="1:9" s="5" customFormat="1" ht="13.5">
      <c r="A566" s="12" t="s">
        <v>93</v>
      </c>
      <c r="B566" s="42" t="s">
        <v>72</v>
      </c>
      <c r="C566" s="59">
        <v>25100</v>
      </c>
      <c r="D566" s="42"/>
      <c r="E566" s="67"/>
      <c r="F566" s="194"/>
      <c r="G566" s="65"/>
      <c r="H566" s="65"/>
      <c r="I566" s="65"/>
    </row>
    <row r="567" spans="1:9" s="5" customFormat="1" ht="13.5">
      <c r="A567" s="249" t="s">
        <v>150</v>
      </c>
      <c r="B567" s="25" t="s">
        <v>133</v>
      </c>
      <c r="C567" s="63">
        <f>SUM(C568:C569)</f>
        <v>91940</v>
      </c>
      <c r="D567" s="67"/>
      <c r="E567" s="67"/>
      <c r="F567" s="194"/>
      <c r="G567" s="65"/>
      <c r="H567" s="65"/>
      <c r="I567" s="65"/>
    </row>
    <row r="568" spans="1:9" s="5" customFormat="1" ht="13.5">
      <c r="A568" s="12" t="s">
        <v>153</v>
      </c>
      <c r="B568" s="42" t="s">
        <v>125</v>
      </c>
      <c r="C568" s="59">
        <v>11940</v>
      </c>
      <c r="D568" s="66"/>
      <c r="E568" s="67"/>
      <c r="F568" s="194"/>
      <c r="G568" s="65"/>
      <c r="H568" s="65"/>
      <c r="I568" s="65"/>
    </row>
    <row r="569" spans="1:7" s="5" customFormat="1" ht="13.5">
      <c r="A569" s="71" t="s">
        <v>652</v>
      </c>
      <c r="B569" s="42" t="s">
        <v>642</v>
      </c>
      <c r="C569" s="24">
        <v>80000</v>
      </c>
      <c r="E569" s="336"/>
      <c r="F569" s="336"/>
      <c r="G569" s="390"/>
    </row>
    <row r="570" spans="1:9" s="5" customFormat="1" ht="14.25" thickBot="1">
      <c r="A570" s="12"/>
      <c r="B570" s="42"/>
      <c r="C570" s="59"/>
      <c r="D570" s="66"/>
      <c r="E570" s="67"/>
      <c r="F570" s="194"/>
      <c r="G570" s="65"/>
      <c r="H570" s="65"/>
      <c r="I570" s="65"/>
    </row>
    <row r="571" spans="1:9" s="5" customFormat="1" ht="14.25" thickBot="1">
      <c r="A571" s="1015" t="s">
        <v>3</v>
      </c>
      <c r="B571" s="1016"/>
      <c r="C571" s="635">
        <f>C572+C574+C576+C579+C581</f>
        <v>715270</v>
      </c>
      <c r="D571" s="67"/>
      <c r="E571" s="67"/>
      <c r="F571" s="194"/>
      <c r="G571" s="65"/>
      <c r="H571" s="65"/>
      <c r="I571" s="65"/>
    </row>
    <row r="572" spans="1:9" s="5" customFormat="1" ht="13.5">
      <c r="A572" s="62" t="s">
        <v>110</v>
      </c>
      <c r="B572" s="281" t="s">
        <v>111</v>
      </c>
      <c r="C572" s="509">
        <f>SUM(C573:C573)</f>
        <v>31000</v>
      </c>
      <c r="D572" s="94"/>
      <c r="E572" s="94"/>
      <c r="F572" s="98"/>
      <c r="G572" s="225"/>
      <c r="H572" s="225"/>
      <c r="I572" s="225"/>
    </row>
    <row r="573" spans="1:9" s="5" customFormat="1" ht="13.5">
      <c r="A573" s="58" t="s">
        <v>52</v>
      </c>
      <c r="B573" s="42" t="s">
        <v>185</v>
      </c>
      <c r="C573" s="59">
        <v>31000</v>
      </c>
      <c r="D573" s="59"/>
      <c r="E573" s="56"/>
      <c r="F573" s="98"/>
      <c r="G573" s="55"/>
      <c r="H573" s="55"/>
      <c r="I573" s="55"/>
    </row>
    <row r="574" spans="1:9" s="5" customFormat="1" ht="13.5">
      <c r="A574" s="62" t="s">
        <v>120</v>
      </c>
      <c r="B574" s="62" t="s">
        <v>121</v>
      </c>
      <c r="C574" s="31">
        <f>SUM(C575:C575)</f>
        <v>30140</v>
      </c>
      <c r="D574" s="83"/>
      <c r="E574" s="25"/>
      <c r="F574" s="98"/>
      <c r="G574" s="54"/>
      <c r="H574" s="42"/>
      <c r="I574" s="8"/>
    </row>
    <row r="575" spans="1:9" s="5" customFormat="1" ht="13.5">
      <c r="A575" s="58" t="s">
        <v>136</v>
      </c>
      <c r="B575" s="58" t="s">
        <v>71</v>
      </c>
      <c r="C575" s="24">
        <v>30140</v>
      </c>
      <c r="D575" s="77"/>
      <c r="E575" s="25"/>
      <c r="F575" s="194"/>
      <c r="G575" s="54"/>
      <c r="H575" s="54"/>
      <c r="I575" s="8"/>
    </row>
    <row r="576" spans="1:9" s="5" customFormat="1" ht="13.5">
      <c r="A576" s="11" t="s">
        <v>112</v>
      </c>
      <c r="B576" s="62" t="s">
        <v>156</v>
      </c>
      <c r="C576" s="63">
        <f>SUM(C577:C578)</f>
        <v>136100</v>
      </c>
      <c r="D576" s="59"/>
      <c r="E576" s="56"/>
      <c r="F576" s="98"/>
      <c r="G576" s="55"/>
      <c r="H576" s="55"/>
      <c r="I576" s="55"/>
    </row>
    <row r="577" spans="1:9" s="5" customFormat="1" ht="13.5">
      <c r="A577" s="58" t="s">
        <v>138</v>
      </c>
      <c r="B577" s="58" t="s">
        <v>810</v>
      </c>
      <c r="C577" s="59">
        <v>16100</v>
      </c>
      <c r="D577" s="55"/>
      <c r="E577" s="56"/>
      <c r="F577" s="98"/>
      <c r="G577" s="55"/>
      <c r="H577" s="55"/>
      <c r="I577" s="55"/>
    </row>
    <row r="578" spans="1:9" s="5" customFormat="1" ht="13.5">
      <c r="A578" s="58" t="s">
        <v>155</v>
      </c>
      <c r="B578" s="42" t="s">
        <v>87</v>
      </c>
      <c r="C578" s="59">
        <v>120000</v>
      </c>
      <c r="D578" s="55"/>
      <c r="E578" s="56"/>
      <c r="F578" s="56"/>
      <c r="G578" s="55"/>
      <c r="H578" s="55"/>
      <c r="I578" s="55"/>
    </row>
    <row r="579" spans="1:9" s="5" customFormat="1" ht="13.5">
      <c r="A579" s="11" t="s">
        <v>132</v>
      </c>
      <c r="B579" s="31" t="s">
        <v>56</v>
      </c>
      <c r="C579" s="63">
        <f>SUM(C580)</f>
        <v>53480</v>
      </c>
      <c r="D579" s="55"/>
      <c r="E579" s="56"/>
      <c r="F579" s="56"/>
      <c r="G579" s="55"/>
      <c r="H579" s="55"/>
      <c r="I579" s="55"/>
    </row>
    <row r="580" spans="1:9" s="5" customFormat="1" ht="13.5">
      <c r="A580" s="71" t="s">
        <v>55</v>
      </c>
      <c r="B580" s="42" t="s">
        <v>56</v>
      </c>
      <c r="C580" s="59">
        <v>53480</v>
      </c>
      <c r="D580" s="65"/>
      <c r="E580" s="56"/>
      <c r="F580" s="227"/>
      <c r="G580" s="442"/>
      <c r="H580" s="66"/>
      <c r="I580" s="55"/>
    </row>
    <row r="581" spans="1:9" s="5" customFormat="1" ht="13.5">
      <c r="A581" s="11" t="s">
        <v>115</v>
      </c>
      <c r="B581" s="505" t="s">
        <v>8</v>
      </c>
      <c r="C581" s="63">
        <f>SUM(C582:C584)</f>
        <v>464550</v>
      </c>
      <c r="D581" s="65"/>
      <c r="E581" s="56"/>
      <c r="F581" s="56"/>
      <c r="G581" s="55"/>
      <c r="H581" s="194"/>
      <c r="I581" s="55"/>
    </row>
    <row r="582" spans="1:9" s="5" customFormat="1" ht="13.5">
      <c r="A582" s="71" t="s">
        <v>89</v>
      </c>
      <c r="B582" s="42" t="s">
        <v>8</v>
      </c>
      <c r="C582" s="59">
        <v>187000</v>
      </c>
      <c r="D582" s="55"/>
      <c r="E582" s="67"/>
      <c r="F582" s="55"/>
      <c r="G582" s="65"/>
      <c r="H582" s="65"/>
      <c r="I582" s="65"/>
    </row>
    <row r="583" spans="1:9" s="5" customFormat="1" ht="13.5">
      <c r="A583" s="71" t="s">
        <v>182</v>
      </c>
      <c r="B583" s="42" t="s">
        <v>181</v>
      </c>
      <c r="C583" s="59">
        <v>17550</v>
      </c>
      <c r="D583" s="66"/>
      <c r="E583" s="65"/>
      <c r="F583" s="194"/>
      <c r="G583" s="67"/>
      <c r="H583" s="65"/>
      <c r="I583" s="65"/>
    </row>
    <row r="584" spans="1:9" s="5" customFormat="1" ht="13.5">
      <c r="A584" s="58" t="s">
        <v>223</v>
      </c>
      <c r="B584" s="42" t="s">
        <v>222</v>
      </c>
      <c r="C584" s="59">
        <v>260000</v>
      </c>
      <c r="D584" s="65"/>
      <c r="E584" s="67"/>
      <c r="F584" s="194"/>
      <c r="G584" s="65"/>
      <c r="H584" s="66"/>
      <c r="I584" s="65"/>
    </row>
    <row r="585" spans="1:9" s="5" customFormat="1" ht="14.25" thickBot="1">
      <c r="A585" s="58"/>
      <c r="B585" s="100"/>
      <c r="C585" s="59"/>
      <c r="D585" s="66"/>
      <c r="E585" s="67"/>
      <c r="F585" s="194"/>
      <c r="G585" s="65"/>
      <c r="H585" s="65"/>
      <c r="I585" s="65"/>
    </row>
    <row r="586" spans="1:9" s="5" customFormat="1" ht="14.25" thickBot="1">
      <c r="A586" s="1030" t="s">
        <v>5</v>
      </c>
      <c r="B586" s="1037"/>
      <c r="C586" s="661">
        <f>C587</f>
        <v>300000</v>
      </c>
      <c r="D586" s="66"/>
      <c r="E586" s="67"/>
      <c r="F586" s="194"/>
      <c r="G586" s="65"/>
      <c r="H586" s="65"/>
      <c r="I586" s="65"/>
    </row>
    <row r="587" spans="1:9" s="5" customFormat="1" ht="13.5">
      <c r="A587" s="62" t="s">
        <v>128</v>
      </c>
      <c r="B587" s="199" t="s">
        <v>129</v>
      </c>
      <c r="C587" s="509">
        <f>SUM(C588:C589)</f>
        <v>300000</v>
      </c>
      <c r="D587" s="172"/>
      <c r="E587" s="94"/>
      <c r="F587" s="98"/>
      <c r="G587" s="225"/>
      <c r="H587" s="225"/>
      <c r="I587" s="225"/>
    </row>
    <row r="588" spans="1:9" s="5" customFormat="1" ht="13.5">
      <c r="A588" s="58" t="s">
        <v>253</v>
      </c>
      <c r="B588" s="98" t="s">
        <v>254</v>
      </c>
      <c r="C588" s="59">
        <v>160000</v>
      </c>
      <c r="D588" s="172"/>
      <c r="E588" s="94"/>
      <c r="F588" s="98"/>
      <c r="G588" s="225"/>
      <c r="H588" s="225"/>
      <c r="I588" s="225"/>
    </row>
    <row r="589" spans="1:9" s="5" customFormat="1" ht="13.5">
      <c r="A589" s="58" t="s">
        <v>144</v>
      </c>
      <c r="B589" s="42" t="s">
        <v>257</v>
      </c>
      <c r="C589" s="59">
        <v>140000</v>
      </c>
      <c r="D589" s="59"/>
      <c r="E589" s="56"/>
      <c r="F589" s="98"/>
      <c r="G589" s="55"/>
      <c r="H589" s="55"/>
      <c r="I589" s="55"/>
    </row>
    <row r="590" spans="1:9" s="5" customFormat="1" ht="14.25" thickBot="1">
      <c r="A590" s="69"/>
      <c r="B590" s="69"/>
      <c r="C590" s="59"/>
      <c r="D590" s="66"/>
      <c r="E590" s="67"/>
      <c r="F590" s="194"/>
      <c r="G590" s="65"/>
      <c r="H590" s="65"/>
      <c r="I590" s="65"/>
    </row>
    <row r="591" spans="1:9" s="5" customFormat="1" ht="14.25" thickBot="1">
      <c r="A591" s="1017" t="s">
        <v>4</v>
      </c>
      <c r="B591" s="1018"/>
      <c r="C591" s="637">
        <f>(C592+C596)</f>
        <v>73720</v>
      </c>
      <c r="D591" s="66"/>
      <c r="E591" s="67"/>
      <c r="F591" s="194"/>
      <c r="G591" s="65"/>
      <c r="H591" s="65"/>
      <c r="I591" s="65"/>
    </row>
    <row r="592" spans="1:9" s="5" customFormat="1" ht="13.5">
      <c r="A592" s="249" t="s">
        <v>116</v>
      </c>
      <c r="B592" s="281" t="s">
        <v>117</v>
      </c>
      <c r="C592" s="63">
        <f>SUM(C593:C595)</f>
        <v>63600</v>
      </c>
      <c r="D592" s="228"/>
      <c r="E592" s="61"/>
      <c r="F592" s="211"/>
      <c r="G592" s="51"/>
      <c r="H592" s="51"/>
      <c r="I592" s="51"/>
    </row>
    <row r="593" spans="1:9" s="5" customFormat="1" ht="13.5">
      <c r="A593" s="71" t="s">
        <v>91</v>
      </c>
      <c r="B593" s="42" t="s">
        <v>139</v>
      </c>
      <c r="C593" s="59">
        <v>23100</v>
      </c>
      <c r="D593" s="66"/>
      <c r="E593" s="67"/>
      <c r="F593" s="194"/>
      <c r="G593" s="65"/>
      <c r="H593" s="65"/>
      <c r="I593" s="65"/>
    </row>
    <row r="594" spans="1:9" s="5" customFormat="1" ht="13.5">
      <c r="A594" s="71" t="s">
        <v>57</v>
      </c>
      <c r="B594" s="42" t="s">
        <v>58</v>
      </c>
      <c r="C594" s="59">
        <v>10500</v>
      </c>
      <c r="D594" s="66"/>
      <c r="E594" s="67"/>
      <c r="F594" s="194"/>
      <c r="G594" s="65"/>
      <c r="H594" s="65"/>
      <c r="I594" s="65"/>
    </row>
    <row r="595" spans="1:8" s="8" customFormat="1" ht="13.5" customHeight="1">
      <c r="A595" s="71" t="s">
        <v>756</v>
      </c>
      <c r="B595" s="23" t="s">
        <v>757</v>
      </c>
      <c r="C595" s="24">
        <v>30000</v>
      </c>
      <c r="D595" s="77"/>
      <c r="E595" s="25"/>
      <c r="F595" s="98"/>
      <c r="G595" s="54"/>
      <c r="H595" s="42"/>
    </row>
    <row r="596" spans="1:9" s="5" customFormat="1" ht="13.5">
      <c r="A596" s="249" t="s">
        <v>165</v>
      </c>
      <c r="B596" s="25" t="s">
        <v>135</v>
      </c>
      <c r="C596" s="63">
        <f>SUM(C597)</f>
        <v>10120</v>
      </c>
      <c r="D596" s="66"/>
      <c r="E596" s="67"/>
      <c r="F596" s="194"/>
      <c r="G596" s="65"/>
      <c r="H596" s="65"/>
      <c r="I596" s="65"/>
    </row>
    <row r="597" spans="1:9" s="5" customFormat="1" ht="13.5">
      <c r="A597" s="71" t="s">
        <v>166</v>
      </c>
      <c r="B597" s="42" t="s">
        <v>51</v>
      </c>
      <c r="C597" s="59">
        <v>10120</v>
      </c>
      <c r="D597" s="66"/>
      <c r="E597" s="67"/>
      <c r="F597" s="194"/>
      <c r="G597" s="65"/>
      <c r="H597" s="65"/>
      <c r="I597" s="65"/>
    </row>
    <row r="598" spans="1:6" s="229" customFormat="1" ht="13.5" customHeight="1">
      <c r="A598" s="230"/>
      <c r="B598" s="230"/>
      <c r="C598" s="231"/>
      <c r="D598" s="230"/>
      <c r="E598" s="232"/>
      <c r="F598" s="152"/>
    </row>
    <row r="599" spans="1:6" s="229" customFormat="1" ht="13.5" customHeight="1">
      <c r="A599" s="230"/>
      <c r="B599" s="230"/>
      <c r="C599" s="231"/>
      <c r="D599" s="230"/>
      <c r="E599" s="232"/>
      <c r="F599" s="152"/>
    </row>
    <row r="600" spans="1:6" s="229" customFormat="1" ht="13.5" customHeight="1">
      <c r="A600" s="230"/>
      <c r="B600" s="230"/>
      <c r="C600" s="231"/>
      <c r="D600" s="230"/>
      <c r="E600" s="232"/>
      <c r="F600" s="152"/>
    </row>
    <row r="601" spans="1:6" s="229" customFormat="1" ht="13.5" customHeight="1">
      <c r="A601" s="230"/>
      <c r="B601" s="230"/>
      <c r="C601" s="231"/>
      <c r="D601" s="230"/>
      <c r="E601" s="232"/>
      <c r="F601" s="152"/>
    </row>
    <row r="602" spans="1:6" s="229" customFormat="1" ht="13.5" customHeight="1">
      <c r="A602" s="230"/>
      <c r="B602" s="230"/>
      <c r="C602" s="231"/>
      <c r="D602" s="230"/>
      <c r="E602" s="232"/>
      <c r="F602" s="152"/>
    </row>
    <row r="603" spans="1:6" s="229" customFormat="1" ht="13.5" customHeight="1">
      <c r="A603" s="230"/>
      <c r="B603" s="230"/>
      <c r="C603" s="231"/>
      <c r="D603" s="230"/>
      <c r="E603" s="232"/>
      <c r="F603" s="152"/>
    </row>
    <row r="604" spans="1:6" s="229" customFormat="1" ht="13.5" customHeight="1">
      <c r="A604" s="230"/>
      <c r="B604" s="230"/>
      <c r="C604" s="231"/>
      <c r="D604" s="230"/>
      <c r="E604" s="232"/>
      <c r="F604" s="152"/>
    </row>
    <row r="605" spans="1:6" s="229" customFormat="1" ht="13.5" customHeight="1">
      <c r="A605" s="230"/>
      <c r="B605" s="230"/>
      <c r="C605" s="231"/>
      <c r="D605" s="230"/>
      <c r="E605" s="232"/>
      <c r="F605" s="152"/>
    </row>
    <row r="606" spans="1:6" s="229" customFormat="1" ht="13.5" customHeight="1">
      <c r="A606" s="230"/>
      <c r="B606" s="230"/>
      <c r="C606" s="231"/>
      <c r="D606" s="230"/>
      <c r="E606" s="232"/>
      <c r="F606" s="152"/>
    </row>
    <row r="607" spans="1:6" s="229" customFormat="1" ht="13.5" customHeight="1">
      <c r="A607" s="230"/>
      <c r="B607" s="230"/>
      <c r="C607" s="231"/>
      <c r="D607" s="230"/>
      <c r="E607" s="232"/>
      <c r="F607" s="152"/>
    </row>
    <row r="608" spans="1:6" s="229" customFormat="1" ht="13.5" customHeight="1">
      <c r="A608" s="230"/>
      <c r="B608" s="230"/>
      <c r="C608" s="231"/>
      <c r="D608" s="230"/>
      <c r="E608" s="232"/>
      <c r="F608" s="152"/>
    </row>
    <row r="609" spans="1:6" s="229" customFormat="1" ht="13.5" customHeight="1">
      <c r="A609" s="230"/>
      <c r="B609" s="230"/>
      <c r="C609" s="231"/>
      <c r="D609" s="230"/>
      <c r="E609" s="232"/>
      <c r="F609" s="152"/>
    </row>
    <row r="610" spans="1:6" s="229" customFormat="1" ht="13.5" customHeight="1">
      <c r="A610" s="230"/>
      <c r="B610" s="230"/>
      <c r="C610" s="231"/>
      <c r="D610" s="230"/>
      <c r="E610" s="232"/>
      <c r="F610" s="152"/>
    </row>
    <row r="611" spans="1:6" s="229" customFormat="1" ht="13.5" customHeight="1">
      <c r="A611" s="230"/>
      <c r="B611" s="230"/>
      <c r="C611" s="231"/>
      <c r="D611" s="230"/>
      <c r="E611" s="232"/>
      <c r="F611" s="152"/>
    </row>
    <row r="612" spans="1:6" s="229" customFormat="1" ht="13.5" customHeight="1">
      <c r="A612" s="230"/>
      <c r="B612" s="230"/>
      <c r="C612" s="231"/>
      <c r="D612" s="230"/>
      <c r="E612" s="232"/>
      <c r="F612" s="152"/>
    </row>
    <row r="613" spans="1:6" s="229" customFormat="1" ht="13.5" customHeight="1">
      <c r="A613" s="230"/>
      <c r="B613" s="230"/>
      <c r="C613" s="231"/>
      <c r="D613" s="230"/>
      <c r="E613" s="232"/>
      <c r="F613" s="152"/>
    </row>
    <row r="614" spans="1:6" s="229" customFormat="1" ht="13.5" customHeight="1">
      <c r="A614" s="230"/>
      <c r="B614" s="230"/>
      <c r="C614" s="231"/>
      <c r="D614" s="230"/>
      <c r="E614" s="232"/>
      <c r="F614" s="152"/>
    </row>
    <row r="615" spans="1:6" s="229" customFormat="1" ht="13.5" customHeight="1">
      <c r="A615" s="230"/>
      <c r="B615" s="230"/>
      <c r="C615" s="231"/>
      <c r="D615" s="230"/>
      <c r="E615" s="232"/>
      <c r="F615" s="152"/>
    </row>
    <row r="616" spans="1:6" s="229" customFormat="1" ht="13.5" customHeight="1">
      <c r="A616" s="230"/>
      <c r="B616" s="230"/>
      <c r="C616" s="231"/>
      <c r="D616" s="230"/>
      <c r="E616" s="232"/>
      <c r="F616" s="152"/>
    </row>
    <row r="617" spans="1:6" s="229" customFormat="1" ht="13.5" customHeight="1">
      <c r="A617" s="230"/>
      <c r="B617" s="230"/>
      <c r="C617" s="231"/>
      <c r="D617" s="230"/>
      <c r="E617" s="232"/>
      <c r="F617" s="152"/>
    </row>
    <row r="618" spans="1:6" s="229" customFormat="1" ht="13.5" customHeight="1">
      <c r="A618" s="230"/>
      <c r="B618" s="230"/>
      <c r="C618" s="231"/>
      <c r="D618" s="230"/>
      <c r="E618" s="232"/>
      <c r="F618" s="152"/>
    </row>
    <row r="619" spans="1:6" s="229" customFormat="1" ht="13.5" customHeight="1">
      <c r="A619" s="230"/>
      <c r="B619" s="230"/>
      <c r="C619" s="231"/>
      <c r="D619" s="230"/>
      <c r="E619" s="232"/>
      <c r="F619" s="152"/>
    </row>
    <row r="620" spans="1:6" s="229" customFormat="1" ht="13.5" customHeight="1">
      <c r="A620" s="230"/>
      <c r="B620" s="230"/>
      <c r="C620" s="231"/>
      <c r="D620" s="230"/>
      <c r="E620" s="232"/>
      <c r="F620" s="152"/>
    </row>
    <row r="621" spans="1:6" s="229" customFormat="1" ht="13.5" customHeight="1">
      <c r="A621" s="230"/>
      <c r="B621" s="230"/>
      <c r="C621" s="231"/>
      <c r="D621" s="230"/>
      <c r="E621" s="232"/>
      <c r="F621" s="152"/>
    </row>
    <row r="622" spans="1:6" s="229" customFormat="1" ht="13.5" customHeight="1">
      <c r="A622" s="230"/>
      <c r="B622" s="230"/>
      <c r="C622" s="231"/>
      <c r="D622" s="230"/>
      <c r="E622" s="232"/>
      <c r="F622" s="152"/>
    </row>
    <row r="623" spans="1:6" s="229" customFormat="1" ht="13.5" customHeight="1">
      <c r="A623" s="230"/>
      <c r="B623" s="230"/>
      <c r="C623" s="231"/>
      <c r="D623" s="230"/>
      <c r="E623" s="232"/>
      <c r="F623" s="152"/>
    </row>
    <row r="624" spans="1:6" s="229" customFormat="1" ht="13.5" customHeight="1">
      <c r="A624" s="230"/>
      <c r="B624" s="230"/>
      <c r="C624" s="231"/>
      <c r="D624" s="230"/>
      <c r="E624" s="232"/>
      <c r="F624" s="152"/>
    </row>
    <row r="625" spans="1:6" s="229" customFormat="1" ht="13.5" customHeight="1">
      <c r="A625" s="230"/>
      <c r="B625" s="230"/>
      <c r="C625" s="231"/>
      <c r="D625" s="230"/>
      <c r="E625" s="232"/>
      <c r="F625" s="152"/>
    </row>
    <row r="626" spans="1:6" s="229" customFormat="1" ht="13.5" customHeight="1">
      <c r="A626" s="230"/>
      <c r="B626" s="230"/>
      <c r="C626" s="231"/>
      <c r="D626" s="230"/>
      <c r="E626" s="232"/>
      <c r="F626" s="152"/>
    </row>
    <row r="627" spans="1:6" s="229" customFormat="1" ht="13.5" customHeight="1">
      <c r="A627" s="230"/>
      <c r="B627" s="230"/>
      <c r="C627" s="231"/>
      <c r="D627" s="230"/>
      <c r="E627" s="232"/>
      <c r="F627" s="152"/>
    </row>
    <row r="628" spans="1:6" s="229" customFormat="1" ht="13.5" customHeight="1">
      <c r="A628" s="230"/>
      <c r="B628" s="230"/>
      <c r="C628" s="231"/>
      <c r="D628" s="230"/>
      <c r="E628" s="232"/>
      <c r="F628" s="152"/>
    </row>
    <row r="629" spans="1:6" s="229" customFormat="1" ht="13.5" customHeight="1">
      <c r="A629" s="230"/>
      <c r="B629" s="230"/>
      <c r="C629" s="231"/>
      <c r="D629" s="230"/>
      <c r="E629" s="232"/>
      <c r="F629" s="152"/>
    </row>
    <row r="630" spans="1:6" s="229" customFormat="1" ht="13.5" customHeight="1">
      <c r="A630" s="230"/>
      <c r="B630" s="230"/>
      <c r="C630" s="231"/>
      <c r="D630" s="230"/>
      <c r="E630" s="232"/>
      <c r="F630" s="152"/>
    </row>
    <row r="631" spans="1:6" s="229" customFormat="1" ht="13.5" customHeight="1">
      <c r="A631" s="230"/>
      <c r="B631" s="230"/>
      <c r="C631" s="231"/>
      <c r="D631" s="230"/>
      <c r="E631" s="232"/>
      <c r="F631" s="152"/>
    </row>
    <row r="632" spans="1:6" s="229" customFormat="1" ht="13.5" customHeight="1">
      <c r="A632" s="230"/>
      <c r="B632" s="230"/>
      <c r="C632" s="231"/>
      <c r="D632" s="230"/>
      <c r="E632" s="232"/>
      <c r="F632" s="152"/>
    </row>
    <row r="633" spans="1:6" s="229" customFormat="1" ht="13.5" customHeight="1">
      <c r="A633" s="230"/>
      <c r="B633" s="230"/>
      <c r="C633" s="231"/>
      <c r="D633" s="230"/>
      <c r="E633" s="232"/>
      <c r="F633" s="152"/>
    </row>
    <row r="634" spans="1:6" s="229" customFormat="1" ht="13.5" customHeight="1">
      <c r="A634" s="230"/>
      <c r="B634" s="230"/>
      <c r="C634" s="231"/>
      <c r="D634" s="230"/>
      <c r="E634" s="232"/>
      <c r="F634" s="152"/>
    </row>
    <row r="635" spans="1:6" s="229" customFormat="1" ht="13.5" customHeight="1">
      <c r="A635" s="230"/>
      <c r="B635" s="230"/>
      <c r="C635" s="231"/>
      <c r="D635" s="230"/>
      <c r="E635" s="232"/>
      <c r="F635" s="152"/>
    </row>
    <row r="636" spans="1:6" s="229" customFormat="1" ht="13.5" customHeight="1">
      <c r="A636" s="230"/>
      <c r="B636" s="230"/>
      <c r="C636" s="231"/>
      <c r="D636" s="230"/>
      <c r="E636" s="232"/>
      <c r="F636" s="152"/>
    </row>
    <row r="637" spans="1:6" s="229" customFormat="1" ht="13.5" customHeight="1">
      <c r="A637" s="230"/>
      <c r="B637" s="230"/>
      <c r="C637" s="231"/>
      <c r="D637" s="230"/>
      <c r="E637" s="232"/>
      <c r="F637" s="152"/>
    </row>
    <row r="638" spans="1:6" s="229" customFormat="1" ht="13.5" customHeight="1">
      <c r="A638" s="230"/>
      <c r="B638" s="230"/>
      <c r="C638" s="231"/>
      <c r="D638" s="230"/>
      <c r="E638" s="232"/>
      <c r="F638" s="152"/>
    </row>
    <row r="639" spans="1:6" s="229" customFormat="1" ht="13.5" customHeight="1">
      <c r="A639" s="230"/>
      <c r="B639" s="230"/>
      <c r="C639" s="231"/>
      <c r="D639" s="230"/>
      <c r="E639" s="232"/>
      <c r="F639" s="152"/>
    </row>
    <row r="640" spans="1:6" s="229" customFormat="1" ht="13.5" customHeight="1">
      <c r="A640" s="230"/>
      <c r="B640" s="230"/>
      <c r="C640" s="231"/>
      <c r="D640" s="230"/>
      <c r="E640" s="232"/>
      <c r="F640" s="152"/>
    </row>
    <row r="641" spans="1:6" s="229" customFormat="1" ht="13.5" customHeight="1">
      <c r="A641" s="230"/>
      <c r="B641" s="230"/>
      <c r="C641" s="231"/>
      <c r="D641" s="230"/>
      <c r="E641" s="232"/>
      <c r="F641" s="152"/>
    </row>
    <row r="642" spans="1:6" s="229" customFormat="1" ht="13.5" customHeight="1">
      <c r="A642" s="230"/>
      <c r="B642" s="230"/>
      <c r="C642" s="231"/>
      <c r="D642" s="230"/>
      <c r="E642" s="232"/>
      <c r="F642" s="152"/>
    </row>
    <row r="643" spans="1:6" s="229" customFormat="1" ht="13.5" customHeight="1">
      <c r="A643" s="230"/>
      <c r="B643" s="230"/>
      <c r="C643" s="231"/>
      <c r="D643" s="230"/>
      <c r="E643" s="232"/>
      <c r="F643" s="152"/>
    </row>
    <row r="644" spans="1:6" s="229" customFormat="1" ht="13.5" customHeight="1">
      <c r="A644" s="230"/>
      <c r="B644" s="230"/>
      <c r="C644" s="231"/>
      <c r="D644" s="230"/>
      <c r="E644" s="232"/>
      <c r="F644" s="152"/>
    </row>
    <row r="645" spans="1:6" s="229" customFormat="1" ht="13.5" customHeight="1">
      <c r="A645" s="230"/>
      <c r="B645" s="230"/>
      <c r="C645" s="231"/>
      <c r="D645" s="230"/>
      <c r="E645" s="232"/>
      <c r="F645" s="152"/>
    </row>
    <row r="646" spans="1:6" s="229" customFormat="1" ht="13.5" customHeight="1">
      <c r="A646" s="230"/>
      <c r="B646" s="230"/>
      <c r="C646" s="231"/>
      <c r="D646" s="230"/>
      <c r="E646" s="232"/>
      <c r="F646" s="152"/>
    </row>
    <row r="647" spans="1:6" s="229" customFormat="1" ht="13.5" customHeight="1">
      <c r="A647" s="230"/>
      <c r="B647" s="230"/>
      <c r="C647" s="231"/>
      <c r="D647" s="230"/>
      <c r="E647" s="232"/>
      <c r="F647" s="152"/>
    </row>
    <row r="648" spans="1:6" s="229" customFormat="1" ht="13.5" customHeight="1">
      <c r="A648" s="230"/>
      <c r="B648" s="230"/>
      <c r="C648" s="231"/>
      <c r="D648" s="230"/>
      <c r="E648" s="232"/>
      <c r="F648" s="152"/>
    </row>
    <row r="649" spans="1:6" s="229" customFormat="1" ht="13.5" customHeight="1">
      <c r="A649" s="230"/>
      <c r="B649" s="230"/>
      <c r="C649" s="231"/>
      <c r="D649" s="230"/>
      <c r="E649" s="232"/>
      <c r="F649" s="152"/>
    </row>
    <row r="650" spans="1:6" s="229" customFormat="1" ht="13.5" customHeight="1">
      <c r="A650" s="230"/>
      <c r="B650" s="230"/>
      <c r="C650" s="231"/>
      <c r="D650" s="230"/>
      <c r="E650" s="232"/>
      <c r="F650" s="152"/>
    </row>
    <row r="651" spans="1:6" s="229" customFormat="1" ht="13.5" customHeight="1">
      <c r="A651" s="230"/>
      <c r="B651" s="230"/>
      <c r="C651" s="231"/>
      <c r="D651" s="230"/>
      <c r="E651" s="232"/>
      <c r="F651" s="152"/>
    </row>
    <row r="652" spans="1:6" s="229" customFormat="1" ht="13.5" customHeight="1">
      <c r="A652" s="230"/>
      <c r="B652" s="230"/>
      <c r="C652" s="231"/>
      <c r="D652" s="230"/>
      <c r="E652" s="232"/>
      <c r="F652" s="152"/>
    </row>
    <row r="653" spans="1:6" s="229" customFormat="1" ht="13.5" customHeight="1">
      <c r="A653" s="230"/>
      <c r="B653" s="230"/>
      <c r="C653" s="231"/>
      <c r="D653" s="230"/>
      <c r="E653" s="232"/>
      <c r="F653" s="152"/>
    </row>
    <row r="654" spans="1:6" s="229" customFormat="1" ht="13.5" customHeight="1">
      <c r="A654" s="230"/>
      <c r="B654" s="230"/>
      <c r="C654" s="231"/>
      <c r="D654" s="230"/>
      <c r="E654" s="232"/>
      <c r="F654" s="152"/>
    </row>
    <row r="655" spans="1:6" s="229" customFormat="1" ht="13.5" customHeight="1">
      <c r="A655" s="230"/>
      <c r="B655" s="230"/>
      <c r="C655" s="231"/>
      <c r="D655" s="230"/>
      <c r="E655" s="232"/>
      <c r="F655" s="152"/>
    </row>
    <row r="656" spans="1:6" s="229" customFormat="1" ht="13.5" customHeight="1">
      <c r="A656" s="230"/>
      <c r="B656" s="230"/>
      <c r="C656" s="231"/>
      <c r="D656" s="230"/>
      <c r="E656" s="232"/>
      <c r="F656" s="152"/>
    </row>
    <row r="657" spans="1:6" s="229" customFormat="1" ht="13.5" customHeight="1">
      <c r="A657" s="230"/>
      <c r="B657" s="230"/>
      <c r="C657" s="231"/>
      <c r="D657" s="230"/>
      <c r="E657" s="232"/>
      <c r="F657" s="152"/>
    </row>
    <row r="658" spans="1:6" s="229" customFormat="1" ht="13.5" customHeight="1">
      <c r="A658" s="230"/>
      <c r="B658" s="230"/>
      <c r="C658" s="231"/>
      <c r="D658" s="230"/>
      <c r="E658" s="232"/>
      <c r="F658" s="152"/>
    </row>
    <row r="659" spans="1:6" s="229" customFormat="1" ht="13.5" customHeight="1">
      <c r="A659" s="230"/>
      <c r="B659" s="230"/>
      <c r="C659" s="231"/>
      <c r="D659" s="230"/>
      <c r="E659" s="232"/>
      <c r="F659" s="152"/>
    </row>
    <row r="660" spans="1:6" s="229" customFormat="1" ht="13.5" customHeight="1">
      <c r="A660" s="230"/>
      <c r="B660" s="230"/>
      <c r="C660" s="231"/>
      <c r="D660" s="230"/>
      <c r="E660" s="232"/>
      <c r="F660" s="152"/>
    </row>
    <row r="661" spans="1:6" s="229" customFormat="1" ht="13.5" customHeight="1">
      <c r="A661" s="230"/>
      <c r="B661" s="230"/>
      <c r="C661" s="231"/>
      <c r="D661" s="230"/>
      <c r="E661" s="232"/>
      <c r="F661" s="152"/>
    </row>
    <row r="662" spans="1:6" s="229" customFormat="1" ht="13.5" customHeight="1">
      <c r="A662" s="230"/>
      <c r="B662" s="230"/>
      <c r="C662" s="231"/>
      <c r="D662" s="230"/>
      <c r="E662" s="232"/>
      <c r="F662" s="152"/>
    </row>
    <row r="663" spans="1:6" s="229" customFormat="1" ht="13.5" customHeight="1">
      <c r="A663" s="230"/>
      <c r="B663" s="230"/>
      <c r="C663" s="231"/>
      <c r="D663" s="230"/>
      <c r="E663" s="232"/>
      <c r="F663" s="152"/>
    </row>
    <row r="664" spans="1:6" s="229" customFormat="1" ht="13.5" customHeight="1">
      <c r="A664" s="230"/>
      <c r="B664" s="230"/>
      <c r="C664" s="231"/>
      <c r="D664" s="230"/>
      <c r="E664" s="232"/>
      <c r="F664" s="152"/>
    </row>
    <row r="665" spans="1:6" s="229" customFormat="1" ht="13.5" customHeight="1">
      <c r="A665" s="230"/>
      <c r="B665" s="230"/>
      <c r="C665" s="231"/>
      <c r="D665" s="230"/>
      <c r="E665" s="232"/>
      <c r="F665" s="152"/>
    </row>
    <row r="666" spans="1:6" s="229" customFormat="1" ht="13.5" customHeight="1">
      <c r="A666" s="230"/>
      <c r="B666" s="230"/>
      <c r="C666" s="231"/>
      <c r="D666" s="230"/>
      <c r="E666" s="232"/>
      <c r="F666" s="152"/>
    </row>
    <row r="667" spans="1:6" s="229" customFormat="1" ht="13.5" customHeight="1">
      <c r="A667" s="230"/>
      <c r="B667" s="230"/>
      <c r="C667" s="231"/>
      <c r="D667" s="230"/>
      <c r="E667" s="232"/>
      <c r="F667" s="152"/>
    </row>
    <row r="668" spans="1:6" s="229" customFormat="1" ht="13.5" customHeight="1">
      <c r="A668" s="230"/>
      <c r="B668" s="230"/>
      <c r="C668" s="231"/>
      <c r="D668" s="230"/>
      <c r="E668" s="232"/>
      <c r="F668" s="152"/>
    </row>
    <row r="669" spans="1:6" s="229" customFormat="1" ht="13.5" customHeight="1">
      <c r="A669" s="230"/>
      <c r="B669" s="230"/>
      <c r="C669" s="231"/>
      <c r="D669" s="230"/>
      <c r="E669" s="232"/>
      <c r="F669" s="152"/>
    </row>
    <row r="670" spans="1:6" s="229" customFormat="1" ht="13.5" customHeight="1">
      <c r="A670" s="230"/>
      <c r="B670" s="230"/>
      <c r="C670" s="231"/>
      <c r="D670" s="230"/>
      <c r="E670" s="232"/>
      <c r="F670" s="152"/>
    </row>
    <row r="671" spans="1:6" s="229" customFormat="1" ht="13.5" customHeight="1">
      <c r="A671" s="230"/>
      <c r="B671" s="230"/>
      <c r="C671" s="231"/>
      <c r="D671" s="230"/>
      <c r="E671" s="232"/>
      <c r="F671" s="152"/>
    </row>
    <row r="672" spans="1:6" s="229" customFormat="1" ht="13.5" customHeight="1">
      <c r="A672" s="230"/>
      <c r="B672" s="230"/>
      <c r="C672" s="231"/>
      <c r="D672" s="230"/>
      <c r="E672" s="232"/>
      <c r="F672" s="152"/>
    </row>
    <row r="673" spans="1:6" s="229" customFormat="1" ht="13.5" customHeight="1">
      <c r="A673" s="230"/>
      <c r="B673" s="230"/>
      <c r="C673" s="231"/>
      <c r="D673" s="230"/>
      <c r="E673" s="232"/>
      <c r="F673" s="152"/>
    </row>
    <row r="674" spans="1:6" s="229" customFormat="1" ht="13.5" customHeight="1">
      <c r="A674" s="230"/>
      <c r="B674" s="230"/>
      <c r="C674" s="231"/>
      <c r="D674" s="230"/>
      <c r="E674" s="232"/>
      <c r="F674" s="152"/>
    </row>
    <row r="675" spans="1:6" s="229" customFormat="1" ht="13.5" customHeight="1">
      <c r="A675" s="230"/>
      <c r="B675" s="230"/>
      <c r="C675" s="231"/>
      <c r="D675" s="230"/>
      <c r="E675" s="232"/>
      <c r="F675" s="152"/>
    </row>
    <row r="676" spans="1:6" s="229" customFormat="1" ht="13.5" customHeight="1">
      <c r="A676" s="230"/>
      <c r="B676" s="230"/>
      <c r="C676" s="231"/>
      <c r="D676" s="230"/>
      <c r="E676" s="232"/>
      <c r="F676" s="152"/>
    </row>
    <row r="677" spans="1:6" s="229" customFormat="1" ht="13.5" customHeight="1">
      <c r="A677" s="230"/>
      <c r="B677" s="230"/>
      <c r="C677" s="231"/>
      <c r="D677" s="230"/>
      <c r="E677" s="232"/>
      <c r="F677" s="152"/>
    </row>
    <row r="678" spans="1:6" s="229" customFormat="1" ht="13.5" customHeight="1">
      <c r="A678" s="230"/>
      <c r="B678" s="230"/>
      <c r="C678" s="231"/>
      <c r="D678" s="230"/>
      <c r="E678" s="232"/>
      <c r="F678" s="152"/>
    </row>
    <row r="679" spans="1:6" s="229" customFormat="1" ht="13.5" customHeight="1">
      <c r="A679" s="230"/>
      <c r="B679" s="230"/>
      <c r="C679" s="231"/>
      <c r="D679" s="230"/>
      <c r="E679" s="232"/>
      <c r="F679" s="152"/>
    </row>
    <row r="680" spans="1:6" s="229" customFormat="1" ht="13.5" customHeight="1">
      <c r="A680" s="230"/>
      <c r="B680" s="230"/>
      <c r="C680" s="231"/>
      <c r="D680" s="230"/>
      <c r="E680" s="232"/>
      <c r="F680" s="152"/>
    </row>
    <row r="681" spans="1:6" s="229" customFormat="1" ht="13.5" customHeight="1">
      <c r="A681" s="230"/>
      <c r="B681" s="230"/>
      <c r="C681" s="231"/>
      <c r="D681" s="230"/>
      <c r="E681" s="232"/>
      <c r="F681" s="152"/>
    </row>
    <row r="682" spans="1:6" s="229" customFormat="1" ht="13.5" customHeight="1">
      <c r="A682" s="230"/>
      <c r="B682" s="230"/>
      <c r="C682" s="231"/>
      <c r="D682" s="230"/>
      <c r="E682" s="232"/>
      <c r="F682" s="152"/>
    </row>
    <row r="683" spans="1:6" s="229" customFormat="1" ht="13.5" customHeight="1">
      <c r="A683" s="230"/>
      <c r="B683" s="230"/>
      <c r="C683" s="231"/>
      <c r="D683" s="230"/>
      <c r="E683" s="232"/>
      <c r="F683" s="152"/>
    </row>
    <row r="684" spans="1:6" s="229" customFormat="1" ht="13.5" customHeight="1">
      <c r="A684" s="230"/>
      <c r="B684" s="230"/>
      <c r="C684" s="231"/>
      <c r="D684" s="230"/>
      <c r="E684" s="232"/>
      <c r="F684" s="152"/>
    </row>
    <row r="685" spans="1:6" s="229" customFormat="1" ht="13.5" customHeight="1">
      <c r="A685" s="230"/>
      <c r="B685" s="230"/>
      <c r="C685" s="231"/>
      <c r="D685" s="230"/>
      <c r="E685" s="232"/>
      <c r="F685" s="152"/>
    </row>
    <row r="686" spans="1:6" s="229" customFormat="1" ht="13.5" customHeight="1">
      <c r="A686" s="230"/>
      <c r="B686" s="230"/>
      <c r="C686" s="231"/>
      <c r="D686" s="230"/>
      <c r="E686" s="232"/>
      <c r="F686" s="152"/>
    </row>
    <row r="687" spans="1:6" s="229" customFormat="1" ht="13.5" customHeight="1">
      <c r="A687" s="230"/>
      <c r="B687" s="230"/>
      <c r="C687" s="231"/>
      <c r="D687" s="230"/>
      <c r="E687" s="232"/>
      <c r="F687" s="152"/>
    </row>
    <row r="688" spans="1:6" s="229" customFormat="1" ht="13.5" customHeight="1">
      <c r="A688" s="230"/>
      <c r="B688" s="230"/>
      <c r="C688" s="231"/>
      <c r="D688" s="230"/>
      <c r="E688" s="232"/>
      <c r="F688" s="152"/>
    </row>
    <row r="689" spans="1:6" s="229" customFormat="1" ht="13.5" customHeight="1">
      <c r="A689" s="230"/>
      <c r="B689" s="230"/>
      <c r="C689" s="231"/>
      <c r="D689" s="230"/>
      <c r="E689" s="232"/>
      <c r="F689" s="152"/>
    </row>
    <row r="690" spans="1:6" s="229" customFormat="1" ht="13.5" customHeight="1">
      <c r="A690" s="230"/>
      <c r="B690" s="230"/>
      <c r="C690" s="231"/>
      <c r="D690" s="230"/>
      <c r="E690" s="232"/>
      <c r="F690" s="152"/>
    </row>
    <row r="691" spans="1:6" s="229" customFormat="1" ht="13.5" customHeight="1">
      <c r="A691" s="230"/>
      <c r="B691" s="230"/>
      <c r="C691" s="231"/>
      <c r="D691" s="230"/>
      <c r="E691" s="232"/>
      <c r="F691" s="152"/>
    </row>
    <row r="692" spans="1:6" s="229" customFormat="1" ht="13.5" customHeight="1">
      <c r="A692" s="230"/>
      <c r="B692" s="230"/>
      <c r="C692" s="231"/>
      <c r="D692" s="230"/>
      <c r="E692" s="232"/>
      <c r="F692" s="152"/>
    </row>
    <row r="693" spans="1:6" s="229" customFormat="1" ht="13.5" customHeight="1">
      <c r="A693" s="230"/>
      <c r="B693" s="230"/>
      <c r="C693" s="231"/>
      <c r="D693" s="230"/>
      <c r="E693" s="232"/>
      <c r="F693" s="152"/>
    </row>
    <row r="694" spans="1:6" s="229" customFormat="1" ht="13.5" customHeight="1">
      <c r="A694" s="230"/>
      <c r="B694" s="230"/>
      <c r="C694" s="231"/>
      <c r="D694" s="230"/>
      <c r="E694" s="232"/>
      <c r="F694" s="152"/>
    </row>
    <row r="695" spans="1:6" s="229" customFormat="1" ht="13.5" customHeight="1">
      <c r="A695" s="230"/>
      <c r="B695" s="230"/>
      <c r="C695" s="231"/>
      <c r="D695" s="230"/>
      <c r="E695" s="232"/>
      <c r="F695" s="152"/>
    </row>
    <row r="696" spans="1:6" s="229" customFormat="1" ht="13.5" customHeight="1">
      <c r="A696" s="230"/>
      <c r="B696" s="230"/>
      <c r="C696" s="231"/>
      <c r="D696" s="230"/>
      <c r="E696" s="232"/>
      <c r="F696" s="152"/>
    </row>
    <row r="697" spans="1:6" s="229" customFormat="1" ht="13.5" customHeight="1">
      <c r="A697" s="230"/>
      <c r="B697" s="230"/>
      <c r="C697" s="231"/>
      <c r="D697" s="230"/>
      <c r="E697" s="232"/>
      <c r="F697" s="152"/>
    </row>
    <row r="698" spans="1:6" s="229" customFormat="1" ht="13.5" customHeight="1">
      <c r="A698" s="230"/>
      <c r="B698" s="230"/>
      <c r="C698" s="231"/>
      <c r="D698" s="230"/>
      <c r="E698" s="232"/>
      <c r="F698" s="152"/>
    </row>
    <row r="699" spans="1:6" s="229" customFormat="1" ht="13.5" customHeight="1">
      <c r="A699" s="230"/>
      <c r="B699" s="230"/>
      <c r="C699" s="231"/>
      <c r="D699" s="230"/>
      <c r="E699" s="232"/>
      <c r="F699" s="152"/>
    </row>
    <row r="700" spans="1:6" s="229" customFormat="1" ht="13.5" customHeight="1">
      <c r="A700" s="230"/>
      <c r="B700" s="230"/>
      <c r="C700" s="231"/>
      <c r="D700" s="230"/>
      <c r="E700" s="232"/>
      <c r="F700" s="152"/>
    </row>
    <row r="701" spans="1:6" s="229" customFormat="1" ht="13.5" customHeight="1">
      <c r="A701" s="230"/>
      <c r="B701" s="230"/>
      <c r="C701" s="231"/>
      <c r="D701" s="230"/>
      <c r="E701" s="232"/>
      <c r="F701" s="152"/>
    </row>
    <row r="702" spans="1:6" s="229" customFormat="1" ht="13.5" customHeight="1">
      <c r="A702" s="230"/>
      <c r="B702" s="230"/>
      <c r="C702" s="231"/>
      <c r="D702" s="230"/>
      <c r="E702" s="232"/>
      <c r="F702" s="152"/>
    </row>
    <row r="703" spans="1:6" s="229" customFormat="1" ht="13.5" customHeight="1">
      <c r="A703" s="230"/>
      <c r="B703" s="230"/>
      <c r="C703" s="231"/>
      <c r="D703" s="230"/>
      <c r="E703" s="232"/>
      <c r="F703" s="152"/>
    </row>
    <row r="704" spans="1:6" s="229" customFormat="1" ht="13.5" customHeight="1">
      <c r="A704" s="230"/>
      <c r="B704" s="230"/>
      <c r="C704" s="231"/>
      <c r="D704" s="230"/>
      <c r="E704" s="232"/>
      <c r="F704" s="152"/>
    </row>
    <row r="705" spans="1:6" s="229" customFormat="1" ht="13.5" customHeight="1">
      <c r="A705" s="230"/>
      <c r="B705" s="230"/>
      <c r="C705" s="231"/>
      <c r="D705" s="230"/>
      <c r="E705" s="232"/>
      <c r="F705" s="152"/>
    </row>
    <row r="706" spans="1:6" s="229" customFormat="1" ht="13.5" customHeight="1">
      <c r="A706" s="230"/>
      <c r="B706" s="230"/>
      <c r="C706" s="231"/>
      <c r="D706" s="230"/>
      <c r="E706" s="232"/>
      <c r="F706" s="152"/>
    </row>
    <row r="707" spans="1:6" s="229" customFormat="1" ht="13.5" customHeight="1">
      <c r="A707" s="230"/>
      <c r="B707" s="230"/>
      <c r="C707" s="231"/>
      <c r="D707" s="230"/>
      <c r="E707" s="232"/>
      <c r="F707" s="152"/>
    </row>
    <row r="708" spans="1:6" s="229" customFormat="1" ht="13.5" customHeight="1">
      <c r="A708" s="230"/>
      <c r="B708" s="230"/>
      <c r="C708" s="231"/>
      <c r="D708" s="230"/>
      <c r="E708" s="232"/>
      <c r="F708" s="152"/>
    </row>
    <row r="709" spans="1:6" s="229" customFormat="1" ht="13.5" customHeight="1">
      <c r="A709" s="230"/>
      <c r="B709" s="230"/>
      <c r="C709" s="231"/>
      <c r="D709" s="230"/>
      <c r="E709" s="232"/>
      <c r="F709" s="152"/>
    </row>
    <row r="710" spans="1:6" s="229" customFormat="1" ht="13.5" customHeight="1">
      <c r="A710" s="230"/>
      <c r="B710" s="230"/>
      <c r="C710" s="231"/>
      <c r="D710" s="230"/>
      <c r="E710" s="232"/>
      <c r="F710" s="152"/>
    </row>
    <row r="711" spans="1:6" s="229" customFormat="1" ht="13.5" customHeight="1">
      <c r="A711" s="230"/>
      <c r="B711" s="230"/>
      <c r="C711" s="231"/>
      <c r="D711" s="230"/>
      <c r="E711" s="232"/>
      <c r="F711" s="152"/>
    </row>
    <row r="712" spans="1:6" s="229" customFormat="1" ht="13.5" customHeight="1">
      <c r="A712" s="230"/>
      <c r="B712" s="230"/>
      <c r="C712" s="231"/>
      <c r="D712" s="230"/>
      <c r="E712" s="232"/>
      <c r="F712" s="152"/>
    </row>
    <row r="713" spans="1:6" s="229" customFormat="1" ht="13.5" customHeight="1">
      <c r="A713" s="230"/>
      <c r="B713" s="230"/>
      <c r="C713" s="231"/>
      <c r="D713" s="230"/>
      <c r="E713" s="232"/>
      <c r="F713" s="152"/>
    </row>
    <row r="714" spans="1:6" s="229" customFormat="1" ht="13.5" customHeight="1">
      <c r="A714" s="230"/>
      <c r="B714" s="230"/>
      <c r="C714" s="231"/>
      <c r="D714" s="230"/>
      <c r="E714" s="232"/>
      <c r="F714" s="152"/>
    </row>
    <row r="715" spans="1:6" s="229" customFormat="1" ht="13.5" customHeight="1">
      <c r="A715" s="230"/>
      <c r="B715" s="230"/>
      <c r="C715" s="231"/>
      <c r="D715" s="230"/>
      <c r="E715" s="232"/>
      <c r="F715" s="152"/>
    </row>
    <row r="716" spans="1:6" s="229" customFormat="1" ht="13.5" customHeight="1">
      <c r="A716" s="230"/>
      <c r="B716" s="230"/>
      <c r="C716" s="231"/>
      <c r="D716" s="230"/>
      <c r="E716" s="232"/>
      <c r="F716" s="152"/>
    </row>
    <row r="717" spans="1:6" s="229" customFormat="1" ht="13.5" customHeight="1">
      <c r="A717" s="230"/>
      <c r="B717" s="230"/>
      <c r="C717" s="231"/>
      <c r="D717" s="230"/>
      <c r="E717" s="232"/>
      <c r="F717" s="152"/>
    </row>
    <row r="718" spans="1:6" s="229" customFormat="1" ht="13.5" customHeight="1">
      <c r="A718" s="230"/>
      <c r="B718" s="230"/>
      <c r="C718" s="231"/>
      <c r="D718" s="230"/>
      <c r="E718" s="232"/>
      <c r="F718" s="152"/>
    </row>
    <row r="719" spans="1:6" s="229" customFormat="1" ht="13.5" customHeight="1">
      <c r="A719" s="230"/>
      <c r="B719" s="230"/>
      <c r="C719" s="231"/>
      <c r="D719" s="230"/>
      <c r="E719" s="232"/>
      <c r="F719" s="152"/>
    </row>
    <row r="720" spans="1:6" s="229" customFormat="1" ht="13.5" customHeight="1">
      <c r="A720" s="230"/>
      <c r="B720" s="230"/>
      <c r="C720" s="231"/>
      <c r="D720" s="230"/>
      <c r="E720" s="232"/>
      <c r="F720" s="152"/>
    </row>
    <row r="721" spans="1:6" s="229" customFormat="1" ht="13.5" customHeight="1">
      <c r="A721" s="230"/>
      <c r="B721" s="230"/>
      <c r="C721" s="231"/>
      <c r="D721" s="230"/>
      <c r="E721" s="232"/>
      <c r="F721" s="152"/>
    </row>
    <row r="722" spans="1:6" s="229" customFormat="1" ht="13.5" customHeight="1">
      <c r="A722" s="230"/>
      <c r="B722" s="230"/>
      <c r="C722" s="231"/>
      <c r="D722" s="230"/>
      <c r="E722" s="232"/>
      <c r="F722" s="152"/>
    </row>
    <row r="723" spans="1:6" s="229" customFormat="1" ht="13.5" customHeight="1">
      <c r="A723" s="230"/>
      <c r="B723" s="230"/>
      <c r="C723" s="231"/>
      <c r="D723" s="230"/>
      <c r="E723" s="232"/>
      <c r="F723" s="152"/>
    </row>
    <row r="724" spans="1:6" s="229" customFormat="1" ht="13.5" customHeight="1">
      <c r="A724" s="230"/>
      <c r="B724" s="230"/>
      <c r="C724" s="231"/>
      <c r="D724" s="230"/>
      <c r="E724" s="232"/>
      <c r="F724" s="152"/>
    </row>
    <row r="725" spans="1:6" s="229" customFormat="1" ht="13.5" customHeight="1">
      <c r="A725" s="230"/>
      <c r="B725" s="230"/>
      <c r="C725" s="231"/>
      <c r="D725" s="230"/>
      <c r="E725" s="232"/>
      <c r="F725" s="152"/>
    </row>
    <row r="726" spans="1:6" s="229" customFormat="1" ht="13.5" customHeight="1">
      <c r="A726" s="230"/>
      <c r="B726" s="230"/>
      <c r="C726" s="231"/>
      <c r="D726" s="230"/>
      <c r="E726" s="232"/>
      <c r="F726" s="152"/>
    </row>
    <row r="727" spans="1:6" s="229" customFormat="1" ht="13.5" customHeight="1">
      <c r="A727" s="230"/>
      <c r="B727" s="230"/>
      <c r="C727" s="231"/>
      <c r="D727" s="230"/>
      <c r="E727" s="232"/>
      <c r="F727" s="152"/>
    </row>
    <row r="728" spans="1:6" s="229" customFormat="1" ht="13.5" customHeight="1">
      <c r="A728" s="230"/>
      <c r="B728" s="230"/>
      <c r="C728" s="231"/>
      <c r="D728" s="230"/>
      <c r="E728" s="232"/>
      <c r="F728" s="152"/>
    </row>
    <row r="729" spans="1:6" s="229" customFormat="1" ht="13.5" customHeight="1">
      <c r="A729" s="230"/>
      <c r="B729" s="230"/>
      <c r="C729" s="231"/>
      <c r="D729" s="230"/>
      <c r="E729" s="232"/>
      <c r="F729" s="152"/>
    </row>
    <row r="730" spans="1:6" s="229" customFormat="1" ht="13.5" customHeight="1">
      <c r="A730" s="230"/>
      <c r="B730" s="230"/>
      <c r="C730" s="231"/>
      <c r="D730" s="230"/>
      <c r="E730" s="232"/>
      <c r="F730" s="152"/>
    </row>
    <row r="731" spans="1:6" s="229" customFormat="1" ht="13.5" customHeight="1">
      <c r="A731" s="230"/>
      <c r="B731" s="230"/>
      <c r="C731" s="231"/>
      <c r="D731" s="230"/>
      <c r="E731" s="232"/>
      <c r="F731" s="152"/>
    </row>
    <row r="732" spans="1:6" s="229" customFormat="1" ht="13.5" customHeight="1">
      <c r="A732" s="230"/>
      <c r="B732" s="230"/>
      <c r="C732" s="231"/>
      <c r="D732" s="230"/>
      <c r="E732" s="232"/>
      <c r="F732" s="152"/>
    </row>
    <row r="733" spans="1:6" s="229" customFormat="1" ht="13.5" customHeight="1">
      <c r="A733" s="230"/>
      <c r="B733" s="230"/>
      <c r="C733" s="231"/>
      <c r="D733" s="230"/>
      <c r="E733" s="232"/>
      <c r="F733" s="152"/>
    </row>
    <row r="734" spans="1:6" s="229" customFormat="1" ht="13.5" customHeight="1">
      <c r="A734" s="230"/>
      <c r="B734" s="230"/>
      <c r="C734" s="231"/>
      <c r="D734" s="230"/>
      <c r="E734" s="232"/>
      <c r="F734" s="152"/>
    </row>
    <row r="735" spans="1:6" s="229" customFormat="1" ht="13.5" customHeight="1">
      <c r="A735" s="230"/>
      <c r="B735" s="230"/>
      <c r="C735" s="231"/>
      <c r="D735" s="230"/>
      <c r="E735" s="232"/>
      <c r="F735" s="152"/>
    </row>
    <row r="736" spans="1:6" s="229" customFormat="1" ht="13.5" customHeight="1">
      <c r="A736" s="230"/>
      <c r="B736" s="230"/>
      <c r="C736" s="231"/>
      <c r="D736" s="230"/>
      <c r="E736" s="232"/>
      <c r="F736" s="152"/>
    </row>
    <row r="737" spans="1:6" s="229" customFormat="1" ht="13.5" customHeight="1">
      <c r="A737" s="230"/>
      <c r="B737" s="230"/>
      <c r="C737" s="231"/>
      <c r="D737" s="230"/>
      <c r="E737" s="232"/>
      <c r="F737" s="152"/>
    </row>
    <row r="738" spans="1:6" s="229" customFormat="1" ht="13.5" customHeight="1">
      <c r="A738" s="230"/>
      <c r="B738" s="230"/>
      <c r="C738" s="231"/>
      <c r="D738" s="230"/>
      <c r="E738" s="232"/>
      <c r="F738" s="152"/>
    </row>
    <row r="739" spans="1:6" s="229" customFormat="1" ht="13.5" customHeight="1">
      <c r="A739" s="230"/>
      <c r="B739" s="230"/>
      <c r="C739" s="231"/>
      <c r="D739" s="230"/>
      <c r="E739" s="232"/>
      <c r="F739" s="152"/>
    </row>
    <row r="740" spans="1:6" s="229" customFormat="1" ht="13.5" customHeight="1">
      <c r="A740" s="230"/>
      <c r="B740" s="230"/>
      <c r="C740" s="231"/>
      <c r="D740" s="230"/>
      <c r="E740" s="232"/>
      <c r="F740" s="152"/>
    </row>
    <row r="741" spans="1:6" s="229" customFormat="1" ht="13.5" customHeight="1">
      <c r="A741" s="230"/>
      <c r="B741" s="230"/>
      <c r="C741" s="231"/>
      <c r="D741" s="230"/>
      <c r="E741" s="232"/>
      <c r="F741" s="152"/>
    </row>
    <row r="742" spans="1:6" s="229" customFormat="1" ht="13.5" customHeight="1">
      <c r="A742" s="230"/>
      <c r="B742" s="230"/>
      <c r="C742" s="231"/>
      <c r="D742" s="230"/>
      <c r="E742" s="232"/>
      <c r="F742" s="152"/>
    </row>
    <row r="743" spans="1:6" s="229" customFormat="1" ht="13.5" customHeight="1">
      <c r="A743" s="230"/>
      <c r="B743" s="230"/>
      <c r="C743" s="231"/>
      <c r="D743" s="230"/>
      <c r="E743" s="232"/>
      <c r="F743" s="152"/>
    </row>
    <row r="744" spans="1:6" s="229" customFormat="1" ht="13.5" customHeight="1">
      <c r="A744" s="230"/>
      <c r="B744" s="230"/>
      <c r="C744" s="231"/>
      <c r="D744" s="230"/>
      <c r="E744" s="232"/>
      <c r="F744" s="152"/>
    </row>
    <row r="745" spans="1:6" s="229" customFormat="1" ht="13.5" customHeight="1">
      <c r="A745" s="230"/>
      <c r="B745" s="230"/>
      <c r="C745" s="231"/>
      <c r="D745" s="230"/>
      <c r="E745" s="232"/>
      <c r="F745" s="152"/>
    </row>
    <row r="746" spans="1:6" s="229" customFormat="1" ht="13.5" customHeight="1">
      <c r="A746" s="230"/>
      <c r="B746" s="230"/>
      <c r="C746" s="231"/>
      <c r="D746" s="230"/>
      <c r="E746" s="232"/>
      <c r="F746" s="152"/>
    </row>
    <row r="747" spans="1:6" s="229" customFormat="1" ht="13.5" customHeight="1">
      <c r="A747" s="230"/>
      <c r="B747" s="230"/>
      <c r="C747" s="231"/>
      <c r="D747" s="230"/>
      <c r="E747" s="232"/>
      <c r="F747" s="152"/>
    </row>
    <row r="748" spans="1:6" s="229" customFormat="1" ht="13.5" customHeight="1">
      <c r="A748" s="230"/>
      <c r="B748" s="230"/>
      <c r="C748" s="231"/>
      <c r="D748" s="230"/>
      <c r="E748" s="232"/>
      <c r="F748" s="152"/>
    </row>
    <row r="749" spans="1:6" s="229" customFormat="1" ht="13.5" customHeight="1">
      <c r="A749" s="230"/>
      <c r="B749" s="230"/>
      <c r="C749" s="231"/>
      <c r="D749" s="230"/>
      <c r="E749" s="232"/>
      <c r="F749" s="152"/>
    </row>
    <row r="750" spans="1:6" s="229" customFormat="1" ht="13.5" customHeight="1">
      <c r="A750" s="230"/>
      <c r="B750" s="230"/>
      <c r="C750" s="231"/>
      <c r="D750" s="230"/>
      <c r="E750" s="232"/>
      <c r="F750" s="152"/>
    </row>
    <row r="751" spans="1:6" s="229" customFormat="1" ht="13.5" customHeight="1">
      <c r="A751" s="230"/>
      <c r="B751" s="230"/>
      <c r="C751" s="231"/>
      <c r="D751" s="230"/>
      <c r="E751" s="232"/>
      <c r="F751" s="152"/>
    </row>
    <row r="752" spans="1:6" s="229" customFormat="1" ht="13.5" customHeight="1">
      <c r="A752" s="230"/>
      <c r="B752" s="230"/>
      <c r="C752" s="231"/>
      <c r="D752" s="230"/>
      <c r="E752" s="232"/>
      <c r="F752" s="152"/>
    </row>
    <row r="753" spans="1:6" s="229" customFormat="1" ht="13.5" customHeight="1">
      <c r="A753" s="230"/>
      <c r="B753" s="230"/>
      <c r="C753" s="231"/>
      <c r="D753" s="230"/>
      <c r="E753" s="232"/>
      <c r="F753" s="152"/>
    </row>
    <row r="754" spans="1:6" s="229" customFormat="1" ht="13.5" customHeight="1">
      <c r="A754" s="230"/>
      <c r="B754" s="230"/>
      <c r="C754" s="231"/>
      <c r="D754" s="230"/>
      <c r="E754" s="232"/>
      <c r="F754" s="152"/>
    </row>
    <row r="755" spans="1:6" s="229" customFormat="1" ht="13.5" customHeight="1">
      <c r="A755" s="230"/>
      <c r="B755" s="230"/>
      <c r="C755" s="231"/>
      <c r="D755" s="230"/>
      <c r="E755" s="232"/>
      <c r="F755" s="152"/>
    </row>
    <row r="756" spans="1:6" s="229" customFormat="1" ht="13.5" customHeight="1">
      <c r="A756" s="230"/>
      <c r="B756" s="230"/>
      <c r="C756" s="231"/>
      <c r="D756" s="230"/>
      <c r="E756" s="232"/>
      <c r="F756" s="152"/>
    </row>
    <row r="757" spans="1:6" s="229" customFormat="1" ht="13.5" customHeight="1">
      <c r="A757" s="230"/>
      <c r="B757" s="230"/>
      <c r="C757" s="231"/>
      <c r="D757" s="230"/>
      <c r="E757" s="232"/>
      <c r="F757" s="152"/>
    </row>
    <row r="758" spans="1:6" s="229" customFormat="1" ht="13.5" customHeight="1">
      <c r="A758" s="230"/>
      <c r="B758" s="230"/>
      <c r="C758" s="231"/>
      <c r="D758" s="230"/>
      <c r="E758" s="232"/>
      <c r="F758" s="152"/>
    </row>
    <row r="759" spans="1:6" s="229" customFormat="1" ht="13.5" customHeight="1">
      <c r="A759" s="230"/>
      <c r="B759" s="230"/>
      <c r="C759" s="231"/>
      <c r="D759" s="230"/>
      <c r="E759" s="232"/>
      <c r="F759" s="152"/>
    </row>
    <row r="760" spans="1:6" s="229" customFormat="1" ht="13.5" customHeight="1">
      <c r="A760" s="230"/>
      <c r="B760" s="230"/>
      <c r="C760" s="231"/>
      <c r="D760" s="230"/>
      <c r="E760" s="232"/>
      <c r="F760" s="152"/>
    </row>
    <row r="761" spans="1:6" s="229" customFormat="1" ht="13.5" customHeight="1">
      <c r="A761" s="230"/>
      <c r="B761" s="230"/>
      <c r="C761" s="231"/>
      <c r="D761" s="230"/>
      <c r="E761" s="232"/>
      <c r="F761" s="152"/>
    </row>
    <row r="762" spans="1:6" s="229" customFormat="1" ht="13.5" customHeight="1">
      <c r="A762" s="230"/>
      <c r="B762" s="230"/>
      <c r="C762" s="231"/>
      <c r="D762" s="230"/>
      <c r="E762" s="232"/>
      <c r="F762" s="152"/>
    </row>
    <row r="763" spans="1:6" s="229" customFormat="1" ht="13.5" customHeight="1">
      <c r="A763" s="230"/>
      <c r="B763" s="230"/>
      <c r="C763" s="231"/>
      <c r="D763" s="230"/>
      <c r="E763" s="232"/>
      <c r="F763" s="152"/>
    </row>
    <row r="764" spans="1:6" s="229" customFormat="1" ht="13.5" customHeight="1">
      <c r="A764" s="230"/>
      <c r="B764" s="230"/>
      <c r="C764" s="231"/>
      <c r="D764" s="230"/>
      <c r="E764" s="232"/>
      <c r="F764" s="152"/>
    </row>
    <row r="765" spans="1:6" s="229" customFormat="1" ht="13.5" customHeight="1">
      <c r="A765" s="230"/>
      <c r="B765" s="230"/>
      <c r="C765" s="231"/>
      <c r="D765" s="230"/>
      <c r="E765" s="232"/>
      <c r="F765" s="152"/>
    </row>
    <row r="766" spans="1:6" s="229" customFormat="1" ht="13.5" customHeight="1">
      <c r="A766" s="230"/>
      <c r="B766" s="230"/>
      <c r="C766" s="231"/>
      <c r="D766" s="230"/>
      <c r="E766" s="232"/>
      <c r="F766" s="152"/>
    </row>
    <row r="767" spans="1:6" s="229" customFormat="1" ht="13.5" customHeight="1">
      <c r="A767" s="230"/>
      <c r="B767" s="230"/>
      <c r="C767" s="231"/>
      <c r="D767" s="230"/>
      <c r="E767" s="232"/>
      <c r="F767" s="152"/>
    </row>
    <row r="768" spans="1:6" s="229" customFormat="1" ht="13.5" customHeight="1">
      <c r="A768" s="230"/>
      <c r="B768" s="230"/>
      <c r="C768" s="231"/>
      <c r="D768" s="230"/>
      <c r="E768" s="232"/>
      <c r="F768" s="152"/>
    </row>
    <row r="769" spans="1:6" s="229" customFormat="1" ht="13.5" customHeight="1">
      <c r="A769" s="230"/>
      <c r="B769" s="230"/>
      <c r="C769" s="231"/>
      <c r="D769" s="230"/>
      <c r="E769" s="232"/>
      <c r="F769" s="152"/>
    </row>
    <row r="770" spans="1:6" s="229" customFormat="1" ht="13.5" customHeight="1">
      <c r="A770" s="230"/>
      <c r="B770" s="230"/>
      <c r="C770" s="231"/>
      <c r="D770" s="230"/>
      <c r="E770" s="232"/>
      <c r="F770" s="152"/>
    </row>
    <row r="771" spans="1:6" s="229" customFormat="1" ht="13.5" customHeight="1">
      <c r="A771" s="230"/>
      <c r="B771" s="230"/>
      <c r="C771" s="231"/>
      <c r="D771" s="230"/>
      <c r="E771" s="232"/>
      <c r="F771" s="152"/>
    </row>
    <row r="772" spans="1:6" s="229" customFormat="1" ht="13.5" customHeight="1">
      <c r="A772" s="230"/>
      <c r="B772" s="230"/>
      <c r="C772" s="231"/>
      <c r="D772" s="230"/>
      <c r="E772" s="232"/>
      <c r="F772" s="152"/>
    </row>
    <row r="773" spans="1:6" s="229" customFormat="1" ht="13.5" customHeight="1">
      <c r="A773" s="230"/>
      <c r="B773" s="230"/>
      <c r="C773" s="231"/>
      <c r="D773" s="230"/>
      <c r="E773" s="232"/>
      <c r="F773" s="152"/>
    </row>
    <row r="774" spans="1:6" s="229" customFormat="1" ht="13.5" customHeight="1">
      <c r="A774" s="230"/>
      <c r="B774" s="230"/>
      <c r="C774" s="231"/>
      <c r="D774" s="230"/>
      <c r="E774" s="232"/>
      <c r="F774" s="152"/>
    </row>
    <row r="775" spans="1:6" s="229" customFormat="1" ht="13.5" customHeight="1">
      <c r="A775" s="230"/>
      <c r="B775" s="230"/>
      <c r="C775" s="231"/>
      <c r="D775" s="230"/>
      <c r="E775" s="232"/>
      <c r="F775" s="152"/>
    </row>
    <row r="776" spans="1:6" s="229" customFormat="1" ht="13.5" customHeight="1">
      <c r="A776" s="230"/>
      <c r="B776" s="230"/>
      <c r="C776" s="231"/>
      <c r="D776" s="230"/>
      <c r="E776" s="232"/>
      <c r="F776" s="152"/>
    </row>
    <row r="777" spans="1:6" s="229" customFormat="1" ht="13.5" customHeight="1">
      <c r="A777" s="230"/>
      <c r="B777" s="230"/>
      <c r="C777" s="231"/>
      <c r="D777" s="230"/>
      <c r="E777" s="232"/>
      <c r="F777" s="152"/>
    </row>
    <row r="778" spans="1:6" s="229" customFormat="1" ht="13.5" customHeight="1">
      <c r="A778" s="230"/>
      <c r="B778" s="230"/>
      <c r="C778" s="231"/>
      <c r="D778" s="230"/>
      <c r="E778" s="232"/>
      <c r="F778" s="152"/>
    </row>
    <row r="779" spans="1:6" s="229" customFormat="1" ht="13.5" customHeight="1">
      <c r="A779" s="230"/>
      <c r="B779" s="230"/>
      <c r="C779" s="231"/>
      <c r="D779" s="230"/>
      <c r="E779" s="232"/>
      <c r="F779" s="152"/>
    </row>
    <row r="780" spans="1:6" s="229" customFormat="1" ht="13.5" customHeight="1">
      <c r="A780" s="230"/>
      <c r="B780" s="230"/>
      <c r="C780" s="231"/>
      <c r="D780" s="230"/>
      <c r="E780" s="232"/>
      <c r="F780" s="152"/>
    </row>
    <row r="781" spans="1:6" s="229" customFormat="1" ht="13.5" customHeight="1">
      <c r="A781" s="230"/>
      <c r="B781" s="230"/>
      <c r="C781" s="231"/>
      <c r="D781" s="230"/>
      <c r="E781" s="232"/>
      <c r="F781" s="152"/>
    </row>
    <row r="782" spans="1:6" s="229" customFormat="1" ht="13.5" customHeight="1">
      <c r="A782" s="230"/>
      <c r="B782" s="230"/>
      <c r="C782" s="231"/>
      <c r="D782" s="230"/>
      <c r="E782" s="232"/>
      <c r="F782" s="152"/>
    </row>
    <row r="783" spans="1:6" s="229" customFormat="1" ht="13.5" customHeight="1">
      <c r="A783" s="230"/>
      <c r="B783" s="230"/>
      <c r="C783" s="231"/>
      <c r="D783" s="230"/>
      <c r="E783" s="232"/>
      <c r="F783" s="152"/>
    </row>
    <row r="784" spans="1:6" s="229" customFormat="1" ht="13.5" customHeight="1">
      <c r="A784" s="230"/>
      <c r="B784" s="230"/>
      <c r="C784" s="231"/>
      <c r="D784" s="230"/>
      <c r="E784" s="232"/>
      <c r="F784" s="152"/>
    </row>
    <row r="785" spans="1:6" s="229" customFormat="1" ht="13.5" customHeight="1">
      <c r="A785" s="230"/>
      <c r="B785" s="230"/>
      <c r="C785" s="231"/>
      <c r="D785" s="230"/>
      <c r="E785" s="232"/>
      <c r="F785" s="152"/>
    </row>
    <row r="786" spans="1:6" s="229" customFormat="1" ht="13.5" customHeight="1">
      <c r="A786" s="230"/>
      <c r="B786" s="230"/>
      <c r="C786" s="231"/>
      <c r="D786" s="230"/>
      <c r="E786" s="232"/>
      <c r="F786" s="152"/>
    </row>
    <row r="787" spans="1:6" s="229" customFormat="1" ht="13.5" customHeight="1">
      <c r="A787" s="230"/>
      <c r="B787" s="230"/>
      <c r="C787" s="231"/>
      <c r="D787" s="230"/>
      <c r="E787" s="232"/>
      <c r="F787" s="152"/>
    </row>
    <row r="788" spans="1:6" s="229" customFormat="1" ht="13.5" customHeight="1">
      <c r="A788" s="230"/>
      <c r="B788" s="230"/>
      <c r="C788" s="231"/>
      <c r="D788" s="230"/>
      <c r="E788" s="232"/>
      <c r="F788" s="152"/>
    </row>
    <row r="789" spans="1:6" s="229" customFormat="1" ht="13.5" customHeight="1">
      <c r="A789" s="230"/>
      <c r="B789" s="230"/>
      <c r="C789" s="231"/>
      <c r="D789" s="230"/>
      <c r="E789" s="232"/>
      <c r="F789" s="152"/>
    </row>
    <row r="790" spans="1:6" s="229" customFormat="1" ht="13.5" customHeight="1">
      <c r="A790" s="230"/>
      <c r="B790" s="230"/>
      <c r="C790" s="231"/>
      <c r="D790" s="230"/>
      <c r="E790" s="232"/>
      <c r="F790" s="152"/>
    </row>
    <row r="791" spans="1:6" s="229" customFormat="1" ht="13.5" customHeight="1">
      <c r="A791" s="230"/>
      <c r="B791" s="230"/>
      <c r="C791" s="231"/>
      <c r="D791" s="230"/>
      <c r="E791" s="232"/>
      <c r="F791" s="152"/>
    </row>
    <row r="792" spans="1:6" s="229" customFormat="1" ht="13.5" customHeight="1">
      <c r="A792" s="230"/>
      <c r="B792" s="230"/>
      <c r="C792" s="231"/>
      <c r="D792" s="230"/>
      <c r="E792" s="232"/>
      <c r="F792" s="152"/>
    </row>
    <row r="793" spans="1:6" s="229" customFormat="1" ht="13.5" customHeight="1">
      <c r="A793" s="230"/>
      <c r="B793" s="230"/>
      <c r="C793" s="231"/>
      <c r="D793" s="230"/>
      <c r="E793" s="232"/>
      <c r="F793" s="152"/>
    </row>
    <row r="794" spans="1:6" s="229" customFormat="1" ht="13.5" customHeight="1">
      <c r="A794" s="230"/>
      <c r="B794" s="230"/>
      <c r="C794" s="231"/>
      <c r="D794" s="230"/>
      <c r="E794" s="232"/>
      <c r="F794" s="152"/>
    </row>
    <row r="795" spans="1:6" s="229" customFormat="1" ht="13.5" customHeight="1">
      <c r="A795" s="230"/>
      <c r="B795" s="230"/>
      <c r="C795" s="231"/>
      <c r="D795" s="230"/>
      <c r="E795" s="232"/>
      <c r="F795" s="152"/>
    </row>
    <row r="796" spans="1:6" s="229" customFormat="1" ht="13.5" customHeight="1">
      <c r="A796" s="230"/>
      <c r="B796" s="230"/>
      <c r="C796" s="231"/>
      <c r="D796" s="230"/>
      <c r="E796" s="232"/>
      <c r="F796" s="152"/>
    </row>
    <row r="797" spans="1:6" s="229" customFormat="1" ht="13.5" customHeight="1">
      <c r="A797" s="230"/>
      <c r="B797" s="230"/>
      <c r="C797" s="231"/>
      <c r="D797" s="230"/>
      <c r="E797" s="232"/>
      <c r="F797" s="152"/>
    </row>
    <row r="798" spans="1:6" s="229" customFormat="1" ht="13.5" customHeight="1">
      <c r="A798" s="230"/>
      <c r="B798" s="230"/>
      <c r="C798" s="231"/>
      <c r="D798" s="230"/>
      <c r="E798" s="232"/>
      <c r="F798" s="152"/>
    </row>
    <row r="799" spans="1:6" s="229" customFormat="1" ht="13.5" customHeight="1">
      <c r="A799" s="230"/>
      <c r="B799" s="230"/>
      <c r="C799" s="231"/>
      <c r="D799" s="230"/>
      <c r="E799" s="232"/>
      <c r="F799" s="152"/>
    </row>
    <row r="800" spans="1:6" s="229" customFormat="1" ht="13.5" customHeight="1">
      <c r="A800" s="230"/>
      <c r="B800" s="230"/>
      <c r="C800" s="231"/>
      <c r="D800" s="230"/>
      <c r="E800" s="232"/>
      <c r="F800" s="152"/>
    </row>
    <row r="801" spans="1:6" s="229" customFormat="1" ht="13.5" customHeight="1">
      <c r="A801" s="230"/>
      <c r="B801" s="230"/>
      <c r="C801" s="231"/>
      <c r="D801" s="230"/>
      <c r="E801" s="232"/>
      <c r="F801" s="152"/>
    </row>
    <row r="802" spans="1:6" s="229" customFormat="1" ht="13.5" customHeight="1">
      <c r="A802" s="230"/>
      <c r="B802" s="230"/>
      <c r="C802" s="231"/>
      <c r="D802" s="230"/>
      <c r="E802" s="232"/>
      <c r="F802" s="152"/>
    </row>
    <row r="803" spans="1:6" s="229" customFormat="1" ht="13.5" customHeight="1">
      <c r="A803" s="230"/>
      <c r="B803" s="230"/>
      <c r="C803" s="231"/>
      <c r="D803" s="230"/>
      <c r="E803" s="232"/>
      <c r="F803" s="152"/>
    </row>
    <row r="804" spans="1:6" s="229" customFormat="1" ht="13.5" customHeight="1">
      <c r="A804" s="230"/>
      <c r="B804" s="230"/>
      <c r="C804" s="231"/>
      <c r="D804" s="230"/>
      <c r="E804" s="232"/>
      <c r="F804" s="152"/>
    </row>
    <row r="805" spans="1:6" s="229" customFormat="1" ht="13.5" customHeight="1">
      <c r="A805" s="230"/>
      <c r="B805" s="230"/>
      <c r="C805" s="231"/>
      <c r="D805" s="230"/>
      <c r="E805" s="232"/>
      <c r="F805" s="152"/>
    </row>
    <row r="806" spans="1:6" s="229" customFormat="1" ht="13.5" customHeight="1">
      <c r="A806" s="230"/>
      <c r="B806" s="230"/>
      <c r="C806" s="231"/>
      <c r="D806" s="230"/>
      <c r="E806" s="232"/>
      <c r="F806" s="152"/>
    </row>
    <row r="807" spans="1:6" s="229" customFormat="1" ht="13.5" customHeight="1">
      <c r="A807" s="230"/>
      <c r="B807" s="230"/>
      <c r="C807" s="231"/>
      <c r="D807" s="230"/>
      <c r="E807" s="232"/>
      <c r="F807" s="152"/>
    </row>
    <row r="808" spans="1:6" s="229" customFormat="1" ht="13.5" customHeight="1">
      <c r="A808" s="230"/>
      <c r="B808" s="230"/>
      <c r="C808" s="231"/>
      <c r="D808" s="230"/>
      <c r="E808" s="232"/>
      <c r="F808" s="152"/>
    </row>
    <row r="809" spans="1:6" s="229" customFormat="1" ht="13.5" customHeight="1">
      <c r="A809" s="230"/>
      <c r="B809" s="230"/>
      <c r="C809" s="231"/>
      <c r="D809" s="230"/>
      <c r="E809" s="232"/>
      <c r="F809" s="152"/>
    </row>
    <row r="810" spans="1:6" s="229" customFormat="1" ht="13.5" customHeight="1">
      <c r="A810" s="230"/>
      <c r="B810" s="230"/>
      <c r="C810" s="231"/>
      <c r="D810" s="230"/>
      <c r="E810" s="232"/>
      <c r="F810" s="152"/>
    </row>
    <row r="811" spans="1:6" s="229" customFormat="1" ht="13.5" customHeight="1">
      <c r="A811" s="230"/>
      <c r="B811" s="230"/>
      <c r="C811" s="231"/>
      <c r="D811" s="230"/>
      <c r="E811" s="232"/>
      <c r="F811" s="152"/>
    </row>
    <row r="812" spans="1:6" s="229" customFormat="1" ht="13.5" customHeight="1">
      <c r="A812" s="230"/>
      <c r="B812" s="230"/>
      <c r="C812" s="231"/>
      <c r="D812" s="230"/>
      <c r="E812" s="232"/>
      <c r="F812" s="152"/>
    </row>
    <row r="813" spans="1:6" s="229" customFormat="1" ht="13.5" customHeight="1">
      <c r="A813" s="230"/>
      <c r="B813" s="230"/>
      <c r="C813" s="231"/>
      <c r="D813" s="230"/>
      <c r="E813" s="232"/>
      <c r="F813" s="152"/>
    </row>
    <row r="814" spans="1:6" s="229" customFormat="1" ht="13.5" customHeight="1">
      <c r="A814" s="230"/>
      <c r="B814" s="230"/>
      <c r="C814" s="231"/>
      <c r="D814" s="230"/>
      <c r="E814" s="232"/>
      <c r="F814" s="152"/>
    </row>
    <row r="815" spans="1:6" s="229" customFormat="1" ht="13.5" customHeight="1">
      <c r="A815" s="230"/>
      <c r="B815" s="230"/>
      <c r="C815" s="231"/>
      <c r="D815" s="230"/>
      <c r="E815" s="232"/>
      <c r="F815" s="152"/>
    </row>
    <row r="816" spans="1:6" s="229" customFormat="1" ht="13.5" customHeight="1">
      <c r="A816" s="230"/>
      <c r="B816" s="230"/>
      <c r="C816" s="231"/>
      <c r="D816" s="230"/>
      <c r="E816" s="232"/>
      <c r="F816" s="152"/>
    </row>
    <row r="817" spans="1:6" s="229" customFormat="1" ht="13.5" customHeight="1">
      <c r="A817" s="230"/>
      <c r="B817" s="230"/>
      <c r="C817" s="231"/>
      <c r="D817" s="230"/>
      <c r="E817" s="232"/>
      <c r="F817" s="152"/>
    </row>
    <row r="818" spans="1:6" s="229" customFormat="1" ht="13.5" customHeight="1">
      <c r="A818" s="230"/>
      <c r="B818" s="230"/>
      <c r="C818" s="231"/>
      <c r="D818" s="230"/>
      <c r="E818" s="232"/>
      <c r="F818" s="152"/>
    </row>
    <row r="819" spans="1:6" s="229" customFormat="1" ht="13.5" customHeight="1">
      <c r="A819" s="230"/>
      <c r="B819" s="230"/>
      <c r="C819" s="231"/>
      <c r="D819" s="230"/>
      <c r="E819" s="232"/>
      <c r="F819" s="152"/>
    </row>
    <row r="820" spans="1:6" s="229" customFormat="1" ht="13.5" customHeight="1">
      <c r="A820" s="230"/>
      <c r="B820" s="230"/>
      <c r="C820" s="231"/>
      <c r="D820" s="230"/>
      <c r="E820" s="232"/>
      <c r="F820" s="152"/>
    </row>
    <row r="821" spans="1:6" s="229" customFormat="1" ht="13.5" customHeight="1">
      <c r="A821" s="230"/>
      <c r="B821" s="230"/>
      <c r="C821" s="231"/>
      <c r="D821" s="230"/>
      <c r="E821" s="232"/>
      <c r="F821" s="152"/>
    </row>
    <row r="822" spans="1:6" s="229" customFormat="1" ht="13.5" customHeight="1">
      <c r="A822" s="230"/>
      <c r="B822" s="230"/>
      <c r="C822" s="231"/>
      <c r="D822" s="230"/>
      <c r="E822" s="232"/>
      <c r="F822" s="152"/>
    </row>
    <row r="823" spans="1:6" s="229" customFormat="1" ht="13.5" customHeight="1">
      <c r="A823" s="230"/>
      <c r="B823" s="230"/>
      <c r="C823" s="231"/>
      <c r="D823" s="230"/>
      <c r="E823" s="232"/>
      <c r="F823" s="152"/>
    </row>
    <row r="824" spans="1:6" s="229" customFormat="1" ht="13.5" customHeight="1">
      <c r="A824" s="230"/>
      <c r="B824" s="230"/>
      <c r="C824" s="231"/>
      <c r="D824" s="230"/>
      <c r="E824" s="232"/>
      <c r="F824" s="152"/>
    </row>
    <row r="825" spans="1:6" s="229" customFormat="1" ht="13.5" customHeight="1">
      <c r="A825" s="230"/>
      <c r="B825" s="230"/>
      <c r="C825" s="231"/>
      <c r="D825" s="230"/>
      <c r="E825" s="232"/>
      <c r="F825" s="152"/>
    </row>
    <row r="826" spans="1:6" s="229" customFormat="1" ht="13.5" customHeight="1">
      <c r="A826" s="230"/>
      <c r="B826" s="230"/>
      <c r="C826" s="231"/>
      <c r="D826" s="230"/>
      <c r="E826" s="232"/>
      <c r="F826" s="152"/>
    </row>
    <row r="827" spans="1:6" s="229" customFormat="1" ht="13.5" customHeight="1">
      <c r="A827" s="230"/>
      <c r="B827" s="230"/>
      <c r="C827" s="231"/>
      <c r="D827" s="230"/>
      <c r="E827" s="232"/>
      <c r="F827" s="152"/>
    </row>
    <row r="828" spans="1:6" s="229" customFormat="1" ht="13.5" customHeight="1">
      <c r="A828" s="230"/>
      <c r="B828" s="230"/>
      <c r="C828" s="231"/>
      <c r="D828" s="230"/>
      <c r="E828" s="232"/>
      <c r="F828" s="152"/>
    </row>
    <row r="829" spans="1:6" s="229" customFormat="1" ht="13.5" customHeight="1">
      <c r="A829" s="230"/>
      <c r="B829" s="230"/>
      <c r="C829" s="231"/>
      <c r="D829" s="230"/>
      <c r="E829" s="232"/>
      <c r="F829" s="152"/>
    </row>
    <row r="830" spans="1:6" s="229" customFormat="1" ht="13.5" customHeight="1">
      <c r="A830" s="230"/>
      <c r="B830" s="230"/>
      <c r="C830" s="231"/>
      <c r="D830" s="230"/>
      <c r="E830" s="232"/>
      <c r="F830" s="152"/>
    </row>
    <row r="831" spans="1:6" s="229" customFormat="1" ht="13.5" customHeight="1">
      <c r="A831" s="230"/>
      <c r="B831" s="230"/>
      <c r="C831" s="231"/>
      <c r="D831" s="230"/>
      <c r="E831" s="232"/>
      <c r="F831" s="152"/>
    </row>
    <row r="832" spans="1:6" s="229" customFormat="1" ht="13.5" customHeight="1">
      <c r="A832" s="230"/>
      <c r="B832" s="230"/>
      <c r="C832" s="231"/>
      <c r="D832" s="230"/>
      <c r="E832" s="232"/>
      <c r="F832" s="152"/>
    </row>
    <row r="833" spans="1:6" s="229" customFormat="1" ht="13.5" customHeight="1">
      <c r="A833" s="230"/>
      <c r="B833" s="230"/>
      <c r="C833" s="231"/>
      <c r="D833" s="230"/>
      <c r="E833" s="232"/>
      <c r="F833" s="152"/>
    </row>
    <row r="834" spans="1:6" s="229" customFormat="1" ht="13.5" customHeight="1">
      <c r="A834" s="230"/>
      <c r="B834" s="230"/>
      <c r="C834" s="231"/>
      <c r="D834" s="230"/>
      <c r="E834" s="232"/>
      <c r="F834" s="152"/>
    </row>
    <row r="835" spans="1:6" s="229" customFormat="1" ht="13.5" customHeight="1">
      <c r="A835" s="230"/>
      <c r="B835" s="230"/>
      <c r="C835" s="231"/>
      <c r="D835" s="230"/>
      <c r="E835" s="232"/>
      <c r="F835" s="152"/>
    </row>
    <row r="836" spans="1:6" s="229" customFormat="1" ht="13.5" customHeight="1">
      <c r="A836" s="230"/>
      <c r="B836" s="230"/>
      <c r="C836" s="231"/>
      <c r="D836" s="230"/>
      <c r="E836" s="232"/>
      <c r="F836" s="152"/>
    </row>
    <row r="837" spans="1:6" s="229" customFormat="1" ht="13.5" customHeight="1">
      <c r="A837" s="230"/>
      <c r="B837" s="230"/>
      <c r="C837" s="231"/>
      <c r="D837" s="230"/>
      <c r="E837" s="232"/>
      <c r="F837" s="152"/>
    </row>
    <row r="838" spans="1:6" s="229" customFormat="1" ht="13.5" customHeight="1">
      <c r="A838" s="230"/>
      <c r="B838" s="230"/>
      <c r="C838" s="231"/>
      <c r="D838" s="230"/>
      <c r="E838" s="232"/>
      <c r="F838" s="152"/>
    </row>
    <row r="839" spans="1:6" s="229" customFormat="1" ht="13.5" customHeight="1">
      <c r="A839" s="230"/>
      <c r="B839" s="230"/>
      <c r="C839" s="231"/>
      <c r="D839" s="230"/>
      <c r="E839" s="232"/>
      <c r="F839" s="152"/>
    </row>
    <row r="840" spans="1:6" s="229" customFormat="1" ht="13.5" customHeight="1">
      <c r="A840" s="230"/>
      <c r="B840" s="230"/>
      <c r="C840" s="231"/>
      <c r="D840" s="230"/>
      <c r="E840" s="232"/>
      <c r="F840" s="152"/>
    </row>
    <row r="841" spans="1:6" s="229" customFormat="1" ht="13.5" customHeight="1">
      <c r="A841" s="230"/>
      <c r="B841" s="230"/>
      <c r="C841" s="231"/>
      <c r="D841" s="230"/>
      <c r="E841" s="232"/>
      <c r="F841" s="152"/>
    </row>
    <row r="842" spans="1:6" s="229" customFormat="1" ht="13.5" customHeight="1">
      <c r="A842" s="230"/>
      <c r="B842" s="230"/>
      <c r="C842" s="231"/>
      <c r="D842" s="230"/>
      <c r="E842" s="232"/>
      <c r="F842" s="152"/>
    </row>
    <row r="843" spans="1:6" s="229" customFormat="1" ht="13.5" customHeight="1">
      <c r="A843" s="230"/>
      <c r="B843" s="230"/>
      <c r="C843" s="231"/>
      <c r="D843" s="230"/>
      <c r="E843" s="232"/>
      <c r="F843" s="152"/>
    </row>
    <row r="844" spans="1:6" s="229" customFormat="1" ht="13.5" customHeight="1">
      <c r="A844" s="230"/>
      <c r="B844" s="230"/>
      <c r="C844" s="231"/>
      <c r="D844" s="230"/>
      <c r="E844" s="232"/>
      <c r="F844" s="152"/>
    </row>
    <row r="845" spans="1:6" s="229" customFormat="1" ht="13.5" customHeight="1">
      <c r="A845" s="230"/>
      <c r="B845" s="230"/>
      <c r="C845" s="231"/>
      <c r="D845" s="230"/>
      <c r="E845" s="232"/>
      <c r="F845" s="152"/>
    </row>
    <row r="846" spans="1:6" s="229" customFormat="1" ht="13.5" customHeight="1">
      <c r="A846" s="230"/>
      <c r="B846" s="230"/>
      <c r="C846" s="231"/>
      <c r="D846" s="230"/>
      <c r="E846" s="232"/>
      <c r="F846" s="152"/>
    </row>
    <row r="847" spans="1:6" s="229" customFormat="1" ht="13.5" customHeight="1">
      <c r="A847" s="230"/>
      <c r="B847" s="230"/>
      <c r="C847" s="231"/>
      <c r="D847" s="230"/>
      <c r="E847" s="232"/>
      <c r="F847" s="152"/>
    </row>
    <row r="848" spans="1:6" s="229" customFormat="1" ht="13.5" customHeight="1">
      <c r="A848" s="230"/>
      <c r="B848" s="230"/>
      <c r="C848" s="231"/>
      <c r="D848" s="230"/>
      <c r="E848" s="232"/>
      <c r="F848" s="152"/>
    </row>
    <row r="849" spans="1:6" s="229" customFormat="1" ht="13.5" customHeight="1">
      <c r="A849" s="230"/>
      <c r="B849" s="230"/>
      <c r="C849" s="231"/>
      <c r="D849" s="230"/>
      <c r="E849" s="232"/>
      <c r="F849" s="152"/>
    </row>
    <row r="850" spans="1:6" s="229" customFormat="1" ht="13.5" customHeight="1">
      <c r="A850" s="230"/>
      <c r="B850" s="230"/>
      <c r="C850" s="231"/>
      <c r="D850" s="230"/>
      <c r="E850" s="232"/>
      <c r="F850" s="152"/>
    </row>
    <row r="851" spans="1:6" s="229" customFormat="1" ht="13.5" customHeight="1">
      <c r="A851" s="230"/>
      <c r="B851" s="230"/>
      <c r="C851" s="231"/>
      <c r="D851" s="230"/>
      <c r="E851" s="232"/>
      <c r="F851" s="152"/>
    </row>
    <row r="852" spans="1:6" s="229" customFormat="1" ht="13.5" customHeight="1">
      <c r="A852" s="230"/>
      <c r="B852" s="230"/>
      <c r="C852" s="231"/>
      <c r="D852" s="230"/>
      <c r="E852" s="232"/>
      <c r="F852" s="152"/>
    </row>
    <row r="853" spans="1:6" s="229" customFormat="1" ht="13.5" customHeight="1">
      <c r="A853" s="230"/>
      <c r="B853" s="230"/>
      <c r="C853" s="231"/>
      <c r="D853" s="230"/>
      <c r="E853" s="232"/>
      <c r="F853" s="152"/>
    </row>
    <row r="854" spans="1:6" s="229" customFormat="1" ht="13.5" customHeight="1">
      <c r="A854" s="230"/>
      <c r="B854" s="230"/>
      <c r="C854" s="231"/>
      <c r="D854" s="230"/>
      <c r="E854" s="232"/>
      <c r="F854" s="152"/>
    </row>
    <row r="855" spans="1:6" s="229" customFormat="1" ht="13.5" customHeight="1">
      <c r="A855" s="230"/>
      <c r="B855" s="230"/>
      <c r="C855" s="231"/>
      <c r="D855" s="230"/>
      <c r="E855" s="232"/>
      <c r="F855" s="152"/>
    </row>
    <row r="856" spans="1:6" s="229" customFormat="1" ht="13.5" customHeight="1">
      <c r="A856" s="230"/>
      <c r="B856" s="230"/>
      <c r="C856" s="231"/>
      <c r="D856" s="230"/>
      <c r="E856" s="232"/>
      <c r="F856" s="152"/>
    </row>
    <row r="857" spans="1:6" s="229" customFormat="1" ht="13.5" customHeight="1">
      <c r="A857" s="230"/>
      <c r="B857" s="230"/>
      <c r="C857" s="231"/>
      <c r="D857" s="230"/>
      <c r="E857" s="232"/>
      <c r="F857" s="152"/>
    </row>
    <row r="858" spans="1:6" s="229" customFormat="1" ht="13.5" customHeight="1">
      <c r="A858" s="230"/>
      <c r="B858" s="230"/>
      <c r="C858" s="231"/>
      <c r="D858" s="230"/>
      <c r="E858" s="232"/>
      <c r="F858" s="152"/>
    </row>
    <row r="859" spans="1:6" s="229" customFormat="1" ht="13.5" customHeight="1">
      <c r="A859" s="230"/>
      <c r="B859" s="230"/>
      <c r="C859" s="231"/>
      <c r="D859" s="230"/>
      <c r="E859" s="232"/>
      <c r="F859" s="152"/>
    </row>
    <row r="860" spans="1:6" s="229" customFormat="1" ht="13.5" customHeight="1">
      <c r="A860" s="230"/>
      <c r="B860" s="230"/>
      <c r="C860" s="231"/>
      <c r="D860" s="230"/>
      <c r="E860" s="232"/>
      <c r="F860" s="152"/>
    </row>
    <row r="861" spans="1:6" s="229" customFormat="1" ht="13.5" customHeight="1">
      <c r="A861" s="230"/>
      <c r="B861" s="230"/>
      <c r="C861" s="231"/>
      <c r="D861" s="230"/>
      <c r="E861" s="232"/>
      <c r="F861" s="152"/>
    </row>
    <row r="862" spans="1:6" s="229" customFormat="1" ht="13.5" customHeight="1">
      <c r="A862" s="230"/>
      <c r="B862" s="230"/>
      <c r="C862" s="231"/>
      <c r="D862" s="230"/>
      <c r="E862" s="232"/>
      <c r="F862" s="152"/>
    </row>
    <row r="863" spans="1:6" s="229" customFormat="1" ht="13.5" customHeight="1">
      <c r="A863" s="230"/>
      <c r="B863" s="230"/>
      <c r="C863" s="231"/>
      <c r="D863" s="230"/>
      <c r="E863" s="232"/>
      <c r="F863" s="152"/>
    </row>
    <row r="864" spans="1:6" s="229" customFormat="1" ht="13.5" customHeight="1">
      <c r="A864" s="230"/>
      <c r="B864" s="230"/>
      <c r="C864" s="231"/>
      <c r="D864" s="230"/>
      <c r="E864" s="232"/>
      <c r="F864" s="152"/>
    </row>
    <row r="865" spans="1:6" s="229" customFormat="1" ht="13.5" customHeight="1">
      <c r="A865" s="230"/>
      <c r="B865" s="230"/>
      <c r="C865" s="231"/>
      <c r="D865" s="230"/>
      <c r="E865" s="232"/>
      <c r="F865" s="152"/>
    </row>
    <row r="866" spans="1:6" s="229" customFormat="1" ht="13.5" customHeight="1">
      <c r="A866" s="230"/>
      <c r="B866" s="230"/>
      <c r="C866" s="231"/>
      <c r="D866" s="230"/>
      <c r="E866" s="232"/>
      <c r="F866" s="152"/>
    </row>
    <row r="867" spans="1:6" s="229" customFormat="1" ht="13.5" customHeight="1">
      <c r="A867" s="230"/>
      <c r="B867" s="230"/>
      <c r="C867" s="231"/>
      <c r="D867" s="230"/>
      <c r="E867" s="232"/>
      <c r="F867" s="152"/>
    </row>
    <row r="868" spans="1:6" s="229" customFormat="1" ht="13.5" customHeight="1">
      <c r="A868" s="230"/>
      <c r="B868" s="230"/>
      <c r="C868" s="231"/>
      <c r="D868" s="230"/>
      <c r="E868" s="232"/>
      <c r="F868" s="152"/>
    </row>
    <row r="869" spans="1:6" s="229" customFormat="1" ht="13.5" customHeight="1">
      <c r="A869" s="230"/>
      <c r="B869" s="230"/>
      <c r="C869" s="231"/>
      <c r="D869" s="230"/>
      <c r="E869" s="232"/>
      <c r="F869" s="152"/>
    </row>
    <row r="870" spans="1:6" s="229" customFormat="1" ht="13.5" customHeight="1">
      <c r="A870" s="230"/>
      <c r="B870" s="230"/>
      <c r="C870" s="231"/>
      <c r="D870" s="230"/>
      <c r="E870" s="232"/>
      <c r="F870" s="152"/>
    </row>
    <row r="871" spans="1:6" s="229" customFormat="1" ht="13.5" customHeight="1">
      <c r="A871" s="230"/>
      <c r="B871" s="230"/>
      <c r="C871" s="231"/>
      <c r="D871" s="230"/>
      <c r="E871" s="232"/>
      <c r="F871" s="152"/>
    </row>
    <row r="872" spans="1:6" s="229" customFormat="1" ht="13.5" customHeight="1">
      <c r="A872" s="230"/>
      <c r="B872" s="230"/>
      <c r="C872" s="231"/>
      <c r="D872" s="230"/>
      <c r="E872" s="232"/>
      <c r="F872" s="152"/>
    </row>
    <row r="873" spans="1:6" s="229" customFormat="1" ht="13.5" customHeight="1">
      <c r="A873" s="230"/>
      <c r="B873" s="230"/>
      <c r="C873" s="231"/>
      <c r="D873" s="230"/>
      <c r="E873" s="232"/>
      <c r="F873" s="152"/>
    </row>
    <row r="874" spans="1:6" s="229" customFormat="1" ht="13.5" customHeight="1">
      <c r="A874" s="230"/>
      <c r="B874" s="230"/>
      <c r="C874" s="231"/>
      <c r="D874" s="230"/>
      <c r="E874" s="232"/>
      <c r="F874" s="152"/>
    </row>
    <row r="875" spans="1:6" s="229" customFormat="1" ht="13.5" customHeight="1">
      <c r="A875" s="230"/>
      <c r="B875" s="230"/>
      <c r="C875" s="231"/>
      <c r="D875" s="230"/>
      <c r="E875" s="232"/>
      <c r="F875" s="152"/>
    </row>
    <row r="876" spans="1:6" s="229" customFormat="1" ht="13.5" customHeight="1">
      <c r="A876" s="230"/>
      <c r="B876" s="230"/>
      <c r="C876" s="231"/>
      <c r="D876" s="230"/>
      <c r="E876" s="232"/>
      <c r="F876" s="152"/>
    </row>
    <row r="877" spans="1:6" s="229" customFormat="1" ht="13.5" customHeight="1">
      <c r="A877" s="230"/>
      <c r="B877" s="230"/>
      <c r="C877" s="231"/>
      <c r="D877" s="230"/>
      <c r="E877" s="232"/>
      <c r="F877" s="152"/>
    </row>
    <row r="878" spans="1:6" s="229" customFormat="1" ht="13.5" customHeight="1">
      <c r="A878" s="230"/>
      <c r="B878" s="230"/>
      <c r="C878" s="231"/>
      <c r="D878" s="230"/>
      <c r="E878" s="232"/>
      <c r="F878" s="152"/>
    </row>
    <row r="879" spans="1:6" s="229" customFormat="1" ht="13.5" customHeight="1">
      <c r="A879" s="230"/>
      <c r="B879" s="230"/>
      <c r="C879" s="231"/>
      <c r="D879" s="230"/>
      <c r="E879" s="232"/>
      <c r="F879" s="152"/>
    </row>
    <row r="880" spans="1:6" s="229" customFormat="1" ht="13.5" customHeight="1">
      <c r="A880" s="230"/>
      <c r="B880" s="230"/>
      <c r="C880" s="231"/>
      <c r="D880" s="230"/>
      <c r="E880" s="232"/>
      <c r="F880" s="152"/>
    </row>
    <row r="881" spans="1:6" s="229" customFormat="1" ht="13.5" customHeight="1">
      <c r="A881" s="230"/>
      <c r="B881" s="230"/>
      <c r="C881" s="231"/>
      <c r="D881" s="230"/>
      <c r="E881" s="232"/>
      <c r="F881" s="152"/>
    </row>
    <row r="882" spans="1:6" s="229" customFormat="1" ht="13.5" customHeight="1">
      <c r="A882" s="230"/>
      <c r="B882" s="230"/>
      <c r="C882" s="231"/>
      <c r="D882" s="230"/>
      <c r="E882" s="232"/>
      <c r="F882" s="152"/>
    </row>
    <row r="883" spans="1:6" s="229" customFormat="1" ht="13.5" customHeight="1">
      <c r="A883" s="230"/>
      <c r="B883" s="230"/>
      <c r="C883" s="231"/>
      <c r="D883" s="230"/>
      <c r="E883" s="232"/>
      <c r="F883" s="152"/>
    </row>
    <row r="884" spans="1:6" s="229" customFormat="1" ht="13.5" customHeight="1">
      <c r="A884" s="230"/>
      <c r="B884" s="230"/>
      <c r="C884" s="231"/>
      <c r="D884" s="230"/>
      <c r="E884" s="232"/>
      <c r="F884" s="152"/>
    </row>
    <row r="885" spans="1:6" s="229" customFormat="1" ht="13.5" customHeight="1">
      <c r="A885" s="230"/>
      <c r="B885" s="230"/>
      <c r="C885" s="231"/>
      <c r="D885" s="230"/>
      <c r="E885" s="232"/>
      <c r="F885" s="152"/>
    </row>
    <row r="886" spans="1:6" s="229" customFormat="1" ht="13.5" customHeight="1">
      <c r="A886" s="230"/>
      <c r="B886" s="230"/>
      <c r="C886" s="231"/>
      <c r="D886" s="230"/>
      <c r="E886" s="232"/>
      <c r="F886" s="152"/>
    </row>
    <row r="887" spans="1:6" s="229" customFormat="1" ht="13.5" customHeight="1">
      <c r="A887" s="230"/>
      <c r="B887" s="230"/>
      <c r="C887" s="231"/>
      <c r="D887" s="230"/>
      <c r="E887" s="232"/>
      <c r="F887" s="152"/>
    </row>
    <row r="888" spans="1:6" s="229" customFormat="1" ht="13.5" customHeight="1">
      <c r="A888" s="230"/>
      <c r="B888" s="230"/>
      <c r="C888" s="231"/>
      <c r="D888" s="230"/>
      <c r="E888" s="232"/>
      <c r="F888" s="152"/>
    </row>
    <row r="889" spans="1:6" s="229" customFormat="1" ht="13.5" customHeight="1">
      <c r="A889" s="230"/>
      <c r="B889" s="230"/>
      <c r="C889" s="231"/>
      <c r="D889" s="230"/>
      <c r="E889" s="232"/>
      <c r="F889" s="152"/>
    </row>
    <row r="890" spans="1:6" s="229" customFormat="1" ht="13.5" customHeight="1">
      <c r="A890" s="230"/>
      <c r="B890" s="230"/>
      <c r="C890" s="231"/>
      <c r="D890" s="230"/>
      <c r="E890" s="232"/>
      <c r="F890" s="152"/>
    </row>
    <row r="891" spans="1:6" s="229" customFormat="1" ht="13.5" customHeight="1">
      <c r="A891" s="230"/>
      <c r="B891" s="230"/>
      <c r="C891" s="231"/>
      <c r="D891" s="230"/>
      <c r="E891" s="232"/>
      <c r="F891" s="152"/>
    </row>
    <row r="892" spans="1:6" s="229" customFormat="1" ht="13.5" customHeight="1">
      <c r="A892" s="230"/>
      <c r="B892" s="230"/>
      <c r="C892" s="231"/>
      <c r="D892" s="230"/>
      <c r="E892" s="232"/>
      <c r="F892" s="152"/>
    </row>
    <row r="893" spans="1:6" s="229" customFormat="1" ht="13.5" customHeight="1">
      <c r="A893" s="230"/>
      <c r="B893" s="230"/>
      <c r="C893" s="231"/>
      <c r="D893" s="230"/>
      <c r="E893" s="232"/>
      <c r="F893" s="152"/>
    </row>
    <row r="894" spans="1:6" s="229" customFormat="1" ht="13.5" customHeight="1">
      <c r="A894" s="230"/>
      <c r="B894" s="230"/>
      <c r="C894" s="231"/>
      <c r="D894" s="230"/>
      <c r="E894" s="232"/>
      <c r="F894" s="152"/>
    </row>
    <row r="895" spans="1:6" s="229" customFormat="1" ht="13.5" customHeight="1">
      <c r="A895" s="230"/>
      <c r="B895" s="230"/>
      <c r="C895" s="231"/>
      <c r="D895" s="230"/>
      <c r="E895" s="232"/>
      <c r="F895" s="152"/>
    </row>
    <row r="896" spans="1:6" s="229" customFormat="1" ht="13.5" customHeight="1">
      <c r="A896" s="230"/>
      <c r="B896" s="230"/>
      <c r="C896" s="231"/>
      <c r="D896" s="230"/>
      <c r="E896" s="232"/>
      <c r="F896" s="152"/>
    </row>
    <row r="897" spans="1:6" s="229" customFormat="1" ht="13.5" customHeight="1">
      <c r="A897" s="230"/>
      <c r="B897" s="230"/>
      <c r="C897" s="231"/>
      <c r="D897" s="230"/>
      <c r="E897" s="232"/>
      <c r="F897" s="152"/>
    </row>
    <row r="898" spans="1:6" s="229" customFormat="1" ht="13.5" customHeight="1">
      <c r="A898" s="230"/>
      <c r="B898" s="230"/>
      <c r="C898" s="231"/>
      <c r="D898" s="230"/>
      <c r="E898" s="232"/>
      <c r="F898" s="152"/>
    </row>
    <row r="899" spans="1:6" s="229" customFormat="1" ht="13.5" customHeight="1">
      <c r="A899" s="230"/>
      <c r="B899" s="230"/>
      <c r="C899" s="231"/>
      <c r="D899" s="230"/>
      <c r="E899" s="232"/>
      <c r="F899" s="152"/>
    </row>
    <row r="900" spans="1:6" s="229" customFormat="1" ht="13.5" customHeight="1">
      <c r="A900" s="230"/>
      <c r="B900" s="230"/>
      <c r="C900" s="231"/>
      <c r="D900" s="230"/>
      <c r="E900" s="232"/>
      <c r="F900" s="152"/>
    </row>
    <row r="901" spans="1:6" s="229" customFormat="1" ht="13.5" customHeight="1">
      <c r="A901" s="230"/>
      <c r="B901" s="230"/>
      <c r="C901" s="231"/>
      <c r="D901" s="230"/>
      <c r="E901" s="232"/>
      <c r="F901" s="152"/>
    </row>
    <row r="902" spans="1:6" s="229" customFormat="1" ht="13.5" customHeight="1">
      <c r="A902" s="230"/>
      <c r="B902" s="230"/>
      <c r="C902" s="231"/>
      <c r="D902" s="230"/>
      <c r="E902" s="232"/>
      <c r="F902" s="152"/>
    </row>
    <row r="903" spans="1:6" s="229" customFormat="1" ht="13.5" customHeight="1">
      <c r="A903" s="230"/>
      <c r="B903" s="230"/>
      <c r="C903" s="231"/>
      <c r="D903" s="230"/>
      <c r="E903" s="232"/>
      <c r="F903" s="152"/>
    </row>
    <row r="904" spans="1:6" s="229" customFormat="1" ht="13.5" customHeight="1">
      <c r="A904" s="230"/>
      <c r="B904" s="230"/>
      <c r="C904" s="231"/>
      <c r="D904" s="230"/>
      <c r="E904" s="232"/>
      <c r="F904" s="152"/>
    </row>
    <row r="905" spans="1:6" s="229" customFormat="1" ht="13.5" customHeight="1">
      <c r="A905" s="230"/>
      <c r="B905" s="230"/>
      <c r="C905" s="231"/>
      <c r="D905" s="230"/>
      <c r="E905" s="232"/>
      <c r="F905" s="152"/>
    </row>
    <row r="906" spans="1:6" s="229" customFormat="1" ht="13.5" customHeight="1">
      <c r="A906" s="230"/>
      <c r="B906" s="230"/>
      <c r="C906" s="231"/>
      <c r="D906" s="230"/>
      <c r="E906" s="232"/>
      <c r="F906" s="152"/>
    </row>
    <row r="907" spans="1:6" s="229" customFormat="1" ht="13.5" customHeight="1">
      <c r="A907" s="230"/>
      <c r="B907" s="230"/>
      <c r="C907" s="231"/>
      <c r="D907" s="230"/>
      <c r="E907" s="232"/>
      <c r="F907" s="152"/>
    </row>
    <row r="908" spans="1:6" s="229" customFormat="1" ht="13.5" customHeight="1">
      <c r="A908" s="230"/>
      <c r="B908" s="230"/>
      <c r="C908" s="231"/>
      <c r="D908" s="230"/>
      <c r="E908" s="232"/>
      <c r="F908" s="152"/>
    </row>
    <row r="909" spans="1:6" s="229" customFormat="1" ht="13.5" customHeight="1">
      <c r="A909" s="230"/>
      <c r="B909" s="230"/>
      <c r="C909" s="231"/>
      <c r="D909" s="230"/>
      <c r="E909" s="232"/>
      <c r="F909" s="152"/>
    </row>
    <row r="910" spans="1:6" s="229" customFormat="1" ht="13.5" customHeight="1">
      <c r="A910" s="230"/>
      <c r="B910" s="230"/>
      <c r="C910" s="231"/>
      <c r="D910" s="230"/>
      <c r="E910" s="232"/>
      <c r="F910" s="152"/>
    </row>
    <row r="911" spans="1:6" s="229" customFormat="1" ht="13.5" customHeight="1">
      <c r="A911" s="230"/>
      <c r="B911" s="230"/>
      <c r="C911" s="231"/>
      <c r="D911" s="230"/>
      <c r="E911" s="232"/>
      <c r="F911" s="152"/>
    </row>
    <row r="912" spans="1:6" s="229" customFormat="1" ht="13.5" customHeight="1">
      <c r="A912" s="230"/>
      <c r="B912" s="230"/>
      <c r="C912" s="231"/>
      <c r="D912" s="230"/>
      <c r="E912" s="232"/>
      <c r="F912" s="152"/>
    </row>
    <row r="913" spans="1:6" s="229" customFormat="1" ht="13.5" customHeight="1">
      <c r="A913" s="230"/>
      <c r="B913" s="230"/>
      <c r="C913" s="231"/>
      <c r="D913" s="230"/>
      <c r="E913" s="232"/>
      <c r="F913" s="152"/>
    </row>
    <row r="914" spans="1:6" s="229" customFormat="1" ht="13.5" customHeight="1">
      <c r="A914" s="230"/>
      <c r="B914" s="230"/>
      <c r="C914" s="231"/>
      <c r="D914" s="230"/>
      <c r="E914" s="232"/>
      <c r="F914" s="152"/>
    </row>
    <row r="915" spans="1:6" s="229" customFormat="1" ht="13.5" customHeight="1">
      <c r="A915" s="230"/>
      <c r="B915" s="230"/>
      <c r="C915" s="231"/>
      <c r="D915" s="230"/>
      <c r="E915" s="232"/>
      <c r="F915" s="152"/>
    </row>
    <row r="916" spans="1:6" s="229" customFormat="1" ht="13.5" customHeight="1">
      <c r="A916" s="230"/>
      <c r="B916" s="230"/>
      <c r="C916" s="231"/>
      <c r="D916" s="230"/>
      <c r="E916" s="232"/>
      <c r="F916" s="152"/>
    </row>
    <row r="917" spans="1:6" s="229" customFormat="1" ht="13.5" customHeight="1">
      <c r="A917" s="230"/>
      <c r="B917" s="230"/>
      <c r="C917" s="231"/>
      <c r="D917" s="230"/>
      <c r="E917" s="232"/>
      <c r="F917" s="152"/>
    </row>
    <row r="918" spans="1:6" s="229" customFormat="1" ht="13.5" customHeight="1">
      <c r="A918" s="230"/>
      <c r="B918" s="230"/>
      <c r="C918" s="231"/>
      <c r="D918" s="230"/>
      <c r="E918" s="232"/>
      <c r="F918" s="152"/>
    </row>
    <row r="919" spans="1:6" s="229" customFormat="1" ht="13.5" customHeight="1">
      <c r="A919" s="230"/>
      <c r="B919" s="230"/>
      <c r="C919" s="231"/>
      <c r="D919" s="230"/>
      <c r="E919" s="232"/>
      <c r="F919" s="152"/>
    </row>
    <row r="920" spans="1:6" s="229" customFormat="1" ht="13.5" customHeight="1">
      <c r="A920" s="230"/>
      <c r="B920" s="230"/>
      <c r="C920" s="231"/>
      <c r="D920" s="230"/>
      <c r="E920" s="232"/>
      <c r="F920" s="152"/>
    </row>
    <row r="921" spans="1:6" s="229" customFormat="1" ht="13.5" customHeight="1">
      <c r="A921" s="230"/>
      <c r="B921" s="230"/>
      <c r="C921" s="231"/>
      <c r="D921" s="230"/>
      <c r="E921" s="232"/>
      <c r="F921" s="152"/>
    </row>
    <row r="922" spans="1:6" s="229" customFormat="1" ht="13.5" customHeight="1">
      <c r="A922" s="230"/>
      <c r="B922" s="230"/>
      <c r="C922" s="231"/>
      <c r="D922" s="230"/>
      <c r="E922" s="232"/>
      <c r="F922" s="152"/>
    </row>
    <row r="923" spans="1:6" s="229" customFormat="1" ht="13.5" customHeight="1">
      <c r="A923" s="230"/>
      <c r="B923" s="230"/>
      <c r="C923" s="231"/>
      <c r="D923" s="230"/>
      <c r="E923" s="232"/>
      <c r="F923" s="152"/>
    </row>
    <row r="924" spans="1:6" s="229" customFormat="1" ht="13.5" customHeight="1">
      <c r="A924" s="230"/>
      <c r="B924" s="230"/>
      <c r="C924" s="231"/>
      <c r="D924" s="230"/>
      <c r="E924" s="232"/>
      <c r="F924" s="152"/>
    </row>
    <row r="925" spans="1:6" s="229" customFormat="1" ht="13.5" customHeight="1">
      <c r="A925" s="230"/>
      <c r="B925" s="230"/>
      <c r="C925" s="231"/>
      <c r="D925" s="230"/>
      <c r="E925" s="232"/>
      <c r="F925" s="152"/>
    </row>
    <row r="926" spans="1:6" s="229" customFormat="1" ht="13.5" customHeight="1">
      <c r="A926" s="230"/>
      <c r="B926" s="230"/>
      <c r="C926" s="231"/>
      <c r="D926" s="230"/>
      <c r="E926" s="232"/>
      <c r="F926" s="152"/>
    </row>
    <row r="927" spans="1:6" s="229" customFormat="1" ht="13.5" customHeight="1">
      <c r="A927" s="230"/>
      <c r="B927" s="230"/>
      <c r="C927" s="231"/>
      <c r="D927" s="230"/>
      <c r="E927" s="232"/>
      <c r="F927" s="152"/>
    </row>
    <row r="928" spans="1:6" s="229" customFormat="1" ht="13.5" customHeight="1">
      <c r="A928" s="230"/>
      <c r="B928" s="230"/>
      <c r="C928" s="231"/>
      <c r="D928" s="230"/>
      <c r="E928" s="232"/>
      <c r="F928" s="152"/>
    </row>
    <row r="929" spans="1:6" s="229" customFormat="1" ht="13.5" customHeight="1">
      <c r="A929" s="230"/>
      <c r="B929" s="230"/>
      <c r="C929" s="231"/>
      <c r="D929" s="230"/>
      <c r="E929" s="232"/>
      <c r="F929" s="152"/>
    </row>
    <row r="930" spans="1:6" s="229" customFormat="1" ht="13.5" customHeight="1">
      <c r="A930" s="230"/>
      <c r="B930" s="230"/>
      <c r="C930" s="231"/>
      <c r="D930" s="230"/>
      <c r="E930" s="232"/>
      <c r="F930" s="152"/>
    </row>
    <row r="931" spans="1:6" s="229" customFormat="1" ht="13.5" customHeight="1">
      <c r="A931" s="230"/>
      <c r="B931" s="230"/>
      <c r="C931" s="231"/>
      <c r="D931" s="230"/>
      <c r="E931" s="232"/>
      <c r="F931" s="152"/>
    </row>
    <row r="932" spans="1:6" s="229" customFormat="1" ht="13.5" customHeight="1">
      <c r="A932" s="230"/>
      <c r="B932" s="230"/>
      <c r="C932" s="231"/>
      <c r="D932" s="230"/>
      <c r="E932" s="232"/>
      <c r="F932" s="152"/>
    </row>
    <row r="933" spans="1:6" s="229" customFormat="1" ht="13.5" customHeight="1">
      <c r="A933" s="230"/>
      <c r="B933" s="230"/>
      <c r="C933" s="231"/>
      <c r="D933" s="230"/>
      <c r="E933" s="232"/>
      <c r="F933" s="152"/>
    </row>
    <row r="934" spans="1:6" s="229" customFormat="1" ht="13.5" customHeight="1">
      <c r="A934" s="230"/>
      <c r="B934" s="230"/>
      <c r="C934" s="231"/>
      <c r="D934" s="230"/>
      <c r="E934" s="232"/>
      <c r="F934" s="152"/>
    </row>
    <row r="935" spans="1:6" s="229" customFormat="1" ht="13.5" customHeight="1">
      <c r="A935" s="230"/>
      <c r="B935" s="230"/>
      <c r="C935" s="231"/>
      <c r="D935" s="230"/>
      <c r="E935" s="232"/>
      <c r="F935" s="152"/>
    </row>
    <row r="936" spans="1:6" s="229" customFormat="1" ht="13.5" customHeight="1">
      <c r="A936" s="230"/>
      <c r="B936" s="230"/>
      <c r="C936" s="231"/>
      <c r="D936" s="230"/>
      <c r="E936" s="232"/>
      <c r="F936" s="152"/>
    </row>
    <row r="937" spans="1:6" s="229" customFormat="1" ht="13.5" customHeight="1">
      <c r="A937" s="230"/>
      <c r="B937" s="230"/>
      <c r="C937" s="231"/>
      <c r="D937" s="230"/>
      <c r="E937" s="232"/>
      <c r="F937" s="152"/>
    </row>
    <row r="938" spans="1:6" s="229" customFormat="1" ht="13.5" customHeight="1">
      <c r="A938" s="230"/>
      <c r="B938" s="230"/>
      <c r="C938" s="231"/>
      <c r="D938" s="230"/>
      <c r="E938" s="232"/>
      <c r="F938" s="152"/>
    </row>
    <row r="939" spans="1:6" s="229" customFormat="1" ht="13.5" customHeight="1">
      <c r="A939" s="230"/>
      <c r="B939" s="230"/>
      <c r="C939" s="231"/>
      <c r="D939" s="230"/>
      <c r="E939" s="232"/>
      <c r="F939" s="152"/>
    </row>
    <row r="940" spans="1:6" s="229" customFormat="1" ht="13.5" customHeight="1">
      <c r="A940" s="230"/>
      <c r="B940" s="230"/>
      <c r="C940" s="231"/>
      <c r="D940" s="230"/>
      <c r="E940" s="232"/>
      <c r="F940" s="152"/>
    </row>
    <row r="941" spans="1:6" s="229" customFormat="1" ht="13.5" customHeight="1">
      <c r="A941" s="230"/>
      <c r="B941" s="230"/>
      <c r="C941" s="231"/>
      <c r="D941" s="230"/>
      <c r="E941" s="232"/>
      <c r="F941" s="152"/>
    </row>
    <row r="942" spans="1:6" s="229" customFormat="1" ht="13.5" customHeight="1">
      <c r="A942" s="230"/>
      <c r="B942" s="230"/>
      <c r="C942" s="231"/>
      <c r="D942" s="230"/>
      <c r="E942" s="232"/>
      <c r="F942" s="152"/>
    </row>
    <row r="943" spans="1:6" s="229" customFormat="1" ht="13.5" customHeight="1">
      <c r="A943" s="230"/>
      <c r="B943" s="230"/>
      <c r="C943" s="231"/>
      <c r="D943" s="230"/>
      <c r="E943" s="232"/>
      <c r="F943" s="152"/>
    </row>
    <row r="944" spans="1:6" s="229" customFormat="1" ht="13.5" customHeight="1">
      <c r="A944" s="230"/>
      <c r="B944" s="230"/>
      <c r="C944" s="231"/>
      <c r="D944" s="230"/>
      <c r="E944" s="232"/>
      <c r="F944" s="152"/>
    </row>
    <row r="945" spans="1:6" s="229" customFormat="1" ht="13.5" customHeight="1">
      <c r="A945" s="230"/>
      <c r="B945" s="230"/>
      <c r="C945" s="231"/>
      <c r="D945" s="230"/>
      <c r="E945" s="232"/>
      <c r="F945" s="152"/>
    </row>
    <row r="946" spans="1:6" s="229" customFormat="1" ht="13.5" customHeight="1">
      <c r="A946" s="230"/>
      <c r="B946" s="230"/>
      <c r="C946" s="231"/>
      <c r="D946" s="230"/>
      <c r="E946" s="232"/>
      <c r="F946" s="152"/>
    </row>
    <row r="947" spans="1:6" s="229" customFormat="1" ht="13.5" customHeight="1">
      <c r="A947" s="230"/>
      <c r="B947" s="230"/>
      <c r="C947" s="231"/>
      <c r="D947" s="230"/>
      <c r="E947" s="232"/>
      <c r="F947" s="152"/>
    </row>
    <row r="948" spans="1:6" s="229" customFormat="1" ht="13.5" customHeight="1">
      <c r="A948" s="230"/>
      <c r="B948" s="230"/>
      <c r="C948" s="231"/>
      <c r="D948" s="230"/>
      <c r="E948" s="232"/>
      <c r="F948" s="152"/>
    </row>
    <row r="949" spans="1:6" s="229" customFormat="1" ht="13.5" customHeight="1">
      <c r="A949" s="230"/>
      <c r="B949" s="230"/>
      <c r="C949" s="231"/>
      <c r="D949" s="230"/>
      <c r="E949" s="232"/>
      <c r="F949" s="152"/>
    </row>
    <row r="950" spans="1:6" s="229" customFormat="1" ht="13.5" customHeight="1">
      <c r="A950" s="230"/>
      <c r="B950" s="230"/>
      <c r="C950" s="231"/>
      <c r="D950" s="230"/>
      <c r="E950" s="232"/>
      <c r="F950" s="152"/>
    </row>
    <row r="951" spans="1:6" s="229" customFormat="1" ht="13.5" customHeight="1">
      <c r="A951" s="230"/>
      <c r="B951" s="230"/>
      <c r="C951" s="231"/>
      <c r="D951" s="230"/>
      <c r="E951" s="232"/>
      <c r="F951" s="152"/>
    </row>
    <row r="952" spans="1:6" s="229" customFormat="1" ht="13.5" customHeight="1">
      <c r="A952" s="230"/>
      <c r="B952" s="230"/>
      <c r="C952" s="231"/>
      <c r="D952" s="230"/>
      <c r="E952" s="232"/>
      <c r="F952" s="152"/>
    </row>
    <row r="953" spans="1:6" s="229" customFormat="1" ht="13.5" customHeight="1">
      <c r="A953" s="230"/>
      <c r="B953" s="230"/>
      <c r="C953" s="231"/>
      <c r="D953" s="230"/>
      <c r="E953" s="232"/>
      <c r="F953" s="152"/>
    </row>
    <row r="954" spans="1:6" s="229" customFormat="1" ht="13.5" customHeight="1">
      <c r="A954" s="230"/>
      <c r="B954" s="230"/>
      <c r="C954" s="231"/>
      <c r="D954" s="230"/>
      <c r="E954" s="232"/>
      <c r="F954" s="152"/>
    </row>
    <row r="955" spans="1:6" s="229" customFormat="1" ht="13.5" customHeight="1">
      <c r="A955" s="230"/>
      <c r="B955" s="230"/>
      <c r="C955" s="231"/>
      <c r="D955" s="230"/>
      <c r="E955" s="232"/>
      <c r="F955" s="152"/>
    </row>
    <row r="956" spans="1:6" s="229" customFormat="1" ht="13.5" customHeight="1">
      <c r="A956" s="230"/>
      <c r="B956" s="230"/>
      <c r="C956" s="231"/>
      <c r="D956" s="230"/>
      <c r="E956" s="232"/>
      <c r="F956" s="152"/>
    </row>
    <row r="957" spans="1:6" s="229" customFormat="1" ht="13.5" customHeight="1">
      <c r="A957" s="230"/>
      <c r="B957" s="230"/>
      <c r="C957" s="231"/>
      <c r="D957" s="230"/>
      <c r="E957" s="232"/>
      <c r="F957" s="152"/>
    </row>
    <row r="958" spans="1:6" s="229" customFormat="1" ht="13.5" customHeight="1">
      <c r="A958" s="230"/>
      <c r="B958" s="230"/>
      <c r="C958" s="231"/>
      <c r="D958" s="230"/>
      <c r="E958" s="232"/>
      <c r="F958" s="152"/>
    </row>
    <row r="959" spans="1:6" s="229" customFormat="1" ht="13.5" customHeight="1">
      <c r="A959" s="230"/>
      <c r="B959" s="230"/>
      <c r="C959" s="231"/>
      <c r="D959" s="230"/>
      <c r="E959" s="232"/>
      <c r="F959" s="152"/>
    </row>
    <row r="960" spans="1:6" s="229" customFormat="1" ht="13.5" customHeight="1">
      <c r="A960" s="230"/>
      <c r="B960" s="230"/>
      <c r="C960" s="231"/>
      <c r="D960" s="230"/>
      <c r="E960" s="232"/>
      <c r="F960" s="152"/>
    </row>
    <row r="961" spans="1:6" s="229" customFormat="1" ht="13.5" customHeight="1">
      <c r="A961" s="230"/>
      <c r="B961" s="230"/>
      <c r="C961" s="231"/>
      <c r="D961" s="230"/>
      <c r="E961" s="232"/>
      <c r="F961" s="152"/>
    </row>
    <row r="962" spans="1:6" s="229" customFormat="1" ht="13.5" customHeight="1">
      <c r="A962" s="230"/>
      <c r="B962" s="230"/>
      <c r="C962" s="231"/>
      <c r="D962" s="230"/>
      <c r="E962" s="232"/>
      <c r="F962" s="152"/>
    </row>
    <row r="963" spans="1:6" s="229" customFormat="1" ht="13.5" customHeight="1">
      <c r="A963" s="230"/>
      <c r="B963" s="230"/>
      <c r="C963" s="231"/>
      <c r="D963" s="230"/>
      <c r="E963" s="232"/>
      <c r="F963" s="152"/>
    </row>
    <row r="964" spans="1:6" s="229" customFormat="1" ht="13.5" customHeight="1">
      <c r="A964" s="230"/>
      <c r="B964" s="230"/>
      <c r="C964" s="231"/>
      <c r="D964" s="230"/>
      <c r="E964" s="232"/>
      <c r="F964" s="152"/>
    </row>
    <row r="965" spans="1:6" s="229" customFormat="1" ht="13.5" customHeight="1">
      <c r="A965" s="230"/>
      <c r="B965" s="230"/>
      <c r="C965" s="231"/>
      <c r="D965" s="230"/>
      <c r="E965" s="232"/>
      <c r="F965" s="152"/>
    </row>
    <row r="966" spans="1:6" s="229" customFormat="1" ht="13.5" customHeight="1">
      <c r="A966" s="230"/>
      <c r="B966" s="230"/>
      <c r="C966" s="231"/>
      <c r="D966" s="230"/>
      <c r="E966" s="232"/>
      <c r="F966" s="152"/>
    </row>
    <row r="967" spans="1:6" s="229" customFormat="1" ht="13.5" customHeight="1">
      <c r="A967" s="230"/>
      <c r="B967" s="230"/>
      <c r="C967" s="231"/>
      <c r="D967" s="230"/>
      <c r="E967" s="232"/>
      <c r="F967" s="152"/>
    </row>
    <row r="968" spans="1:6" s="229" customFormat="1" ht="13.5" customHeight="1">
      <c r="A968" s="230"/>
      <c r="B968" s="230"/>
      <c r="C968" s="231"/>
      <c r="D968" s="230"/>
      <c r="E968" s="232"/>
      <c r="F968" s="152"/>
    </row>
    <row r="969" spans="1:6" s="229" customFormat="1" ht="13.5" customHeight="1">
      <c r="A969" s="230"/>
      <c r="B969" s="230"/>
      <c r="C969" s="231"/>
      <c r="D969" s="230"/>
      <c r="E969" s="232"/>
      <c r="F969" s="152"/>
    </row>
    <row r="970" spans="1:6" s="229" customFormat="1" ht="13.5" customHeight="1">
      <c r="A970" s="230"/>
      <c r="B970" s="230"/>
      <c r="C970" s="231"/>
      <c r="D970" s="230"/>
      <c r="E970" s="232"/>
      <c r="F970" s="152"/>
    </row>
    <row r="971" spans="1:6" s="229" customFormat="1" ht="13.5" customHeight="1">
      <c r="A971" s="230"/>
      <c r="B971" s="230"/>
      <c r="C971" s="231"/>
      <c r="D971" s="230"/>
      <c r="E971" s="232"/>
      <c r="F971" s="152"/>
    </row>
    <row r="972" spans="1:6" s="229" customFormat="1" ht="13.5" customHeight="1">
      <c r="A972" s="230"/>
      <c r="B972" s="230"/>
      <c r="C972" s="231"/>
      <c r="D972" s="230"/>
      <c r="E972" s="232"/>
      <c r="F972" s="152"/>
    </row>
    <row r="973" spans="1:6" s="229" customFormat="1" ht="13.5" customHeight="1">
      <c r="A973" s="230"/>
      <c r="B973" s="230"/>
      <c r="C973" s="231"/>
      <c r="D973" s="230"/>
      <c r="E973" s="232"/>
      <c r="F973" s="152"/>
    </row>
    <row r="974" spans="1:6" s="229" customFormat="1" ht="13.5" customHeight="1">
      <c r="A974" s="230"/>
      <c r="B974" s="230"/>
      <c r="C974" s="231"/>
      <c r="D974" s="230"/>
      <c r="E974" s="232"/>
      <c r="F974" s="152"/>
    </row>
    <row r="975" spans="1:6" s="229" customFormat="1" ht="13.5" customHeight="1">
      <c r="A975" s="230"/>
      <c r="B975" s="230"/>
      <c r="C975" s="231"/>
      <c r="D975" s="230"/>
      <c r="E975" s="232"/>
      <c r="F975" s="152"/>
    </row>
    <row r="976" spans="1:6" s="229" customFormat="1" ht="13.5" customHeight="1">
      <c r="A976" s="230"/>
      <c r="B976" s="230"/>
      <c r="C976" s="231"/>
      <c r="D976" s="230"/>
      <c r="E976" s="232"/>
      <c r="F976" s="152"/>
    </row>
    <row r="977" spans="1:6" s="229" customFormat="1" ht="13.5" customHeight="1">
      <c r="A977" s="230"/>
      <c r="B977" s="230"/>
      <c r="C977" s="231"/>
      <c r="D977" s="230"/>
      <c r="E977" s="232"/>
      <c r="F977" s="152"/>
    </row>
    <row r="978" spans="1:6" s="229" customFormat="1" ht="13.5" customHeight="1">
      <c r="A978" s="230"/>
      <c r="B978" s="230"/>
      <c r="C978" s="231"/>
      <c r="D978" s="230"/>
      <c r="E978" s="232"/>
      <c r="F978" s="152"/>
    </row>
    <row r="979" spans="1:6" s="229" customFormat="1" ht="13.5" customHeight="1">
      <c r="A979" s="230"/>
      <c r="B979" s="230"/>
      <c r="C979" s="231"/>
      <c r="D979" s="230"/>
      <c r="E979" s="232"/>
      <c r="F979" s="152"/>
    </row>
    <row r="980" spans="1:6" s="229" customFormat="1" ht="13.5" customHeight="1">
      <c r="A980" s="230"/>
      <c r="B980" s="230"/>
      <c r="C980" s="231"/>
      <c r="D980" s="230"/>
      <c r="E980" s="232"/>
      <c r="F980" s="152"/>
    </row>
    <row r="981" spans="1:6" s="229" customFormat="1" ht="13.5" customHeight="1">
      <c r="A981" s="230"/>
      <c r="B981" s="230"/>
      <c r="C981" s="231"/>
      <c r="D981" s="230"/>
      <c r="E981" s="232"/>
      <c r="F981" s="152"/>
    </row>
    <row r="982" spans="1:6" s="229" customFormat="1" ht="13.5" customHeight="1">
      <c r="A982" s="230"/>
      <c r="B982" s="230"/>
      <c r="C982" s="231"/>
      <c r="D982" s="230"/>
      <c r="E982" s="232"/>
      <c r="F982" s="152"/>
    </row>
    <row r="983" spans="1:6" s="229" customFormat="1" ht="13.5" customHeight="1">
      <c r="A983" s="230"/>
      <c r="B983" s="230"/>
      <c r="C983" s="231"/>
      <c r="D983" s="230"/>
      <c r="E983" s="232"/>
      <c r="F983" s="152"/>
    </row>
    <row r="984" spans="1:6" s="229" customFormat="1" ht="13.5" customHeight="1">
      <c r="A984" s="230"/>
      <c r="B984" s="230"/>
      <c r="C984" s="231"/>
      <c r="D984" s="230"/>
      <c r="E984" s="232"/>
      <c r="F984" s="152"/>
    </row>
    <row r="985" spans="1:6" s="229" customFormat="1" ht="13.5" customHeight="1">
      <c r="A985" s="230"/>
      <c r="B985" s="230"/>
      <c r="C985" s="231"/>
      <c r="D985" s="230"/>
      <c r="E985" s="232"/>
      <c r="F985" s="152"/>
    </row>
    <row r="986" spans="1:6" s="229" customFormat="1" ht="13.5" customHeight="1">
      <c r="A986" s="230"/>
      <c r="B986" s="230"/>
      <c r="C986" s="231"/>
      <c r="D986" s="230"/>
      <c r="E986" s="232"/>
      <c r="F986" s="152"/>
    </row>
    <row r="987" spans="1:6" s="229" customFormat="1" ht="13.5" customHeight="1">
      <c r="A987" s="230"/>
      <c r="B987" s="230"/>
      <c r="C987" s="231"/>
      <c r="D987" s="230"/>
      <c r="E987" s="232"/>
      <c r="F987" s="152"/>
    </row>
    <row r="988" spans="1:6" s="229" customFormat="1" ht="13.5" customHeight="1">
      <c r="A988" s="230"/>
      <c r="B988" s="230"/>
      <c r="C988" s="231"/>
      <c r="D988" s="230"/>
      <c r="E988" s="232"/>
      <c r="F988" s="152"/>
    </row>
    <row r="989" spans="1:6" s="229" customFormat="1" ht="13.5" customHeight="1">
      <c r="A989" s="230"/>
      <c r="B989" s="230"/>
      <c r="C989" s="231"/>
      <c r="D989" s="230"/>
      <c r="E989" s="232"/>
      <c r="F989" s="152"/>
    </row>
    <row r="990" spans="1:6" s="229" customFormat="1" ht="13.5" customHeight="1">
      <c r="A990" s="230"/>
      <c r="B990" s="230"/>
      <c r="C990" s="231"/>
      <c r="D990" s="230"/>
      <c r="E990" s="232"/>
      <c r="F990" s="152"/>
    </row>
    <row r="991" spans="1:6" s="229" customFormat="1" ht="13.5" customHeight="1">
      <c r="A991" s="230"/>
      <c r="B991" s="230"/>
      <c r="C991" s="231"/>
      <c r="D991" s="230"/>
      <c r="E991" s="232"/>
      <c r="F991" s="152"/>
    </row>
    <row r="992" spans="1:6" s="229" customFormat="1" ht="13.5" customHeight="1">
      <c r="A992" s="230"/>
      <c r="B992" s="230"/>
      <c r="C992" s="231"/>
      <c r="D992" s="230"/>
      <c r="E992" s="232"/>
      <c r="F992" s="152"/>
    </row>
    <row r="993" spans="1:6" s="229" customFormat="1" ht="13.5" customHeight="1">
      <c r="A993" s="230"/>
      <c r="B993" s="230"/>
      <c r="C993" s="231"/>
      <c r="D993" s="230"/>
      <c r="E993" s="232"/>
      <c r="F993" s="152"/>
    </row>
    <row r="994" spans="1:6" s="229" customFormat="1" ht="13.5" customHeight="1">
      <c r="A994" s="230"/>
      <c r="B994" s="230"/>
      <c r="C994" s="231"/>
      <c r="D994" s="230"/>
      <c r="E994" s="232"/>
      <c r="F994" s="152"/>
    </row>
    <row r="995" spans="1:6" s="229" customFormat="1" ht="13.5" customHeight="1">
      <c r="A995" s="230"/>
      <c r="B995" s="230"/>
      <c r="C995" s="231"/>
      <c r="D995" s="230"/>
      <c r="E995" s="232"/>
      <c r="F995" s="152"/>
    </row>
    <row r="996" spans="1:6" s="229" customFormat="1" ht="13.5" customHeight="1">
      <c r="A996" s="230"/>
      <c r="B996" s="230"/>
      <c r="C996" s="231"/>
      <c r="D996" s="230"/>
      <c r="E996" s="232"/>
      <c r="F996" s="152"/>
    </row>
    <row r="997" spans="1:6" s="229" customFormat="1" ht="13.5" customHeight="1">
      <c r="A997" s="230"/>
      <c r="B997" s="230"/>
      <c r="C997" s="231"/>
      <c r="D997" s="230"/>
      <c r="E997" s="232"/>
      <c r="F997" s="152"/>
    </row>
    <row r="998" spans="1:6" s="229" customFormat="1" ht="13.5" customHeight="1">
      <c r="A998" s="230"/>
      <c r="B998" s="230"/>
      <c r="C998" s="231"/>
      <c r="D998" s="230"/>
      <c r="E998" s="232"/>
      <c r="F998" s="152"/>
    </row>
    <row r="999" spans="1:6" s="229" customFormat="1" ht="13.5" customHeight="1">
      <c r="A999" s="230"/>
      <c r="B999" s="230"/>
      <c r="C999" s="231"/>
      <c r="D999" s="230"/>
      <c r="E999" s="232"/>
      <c r="F999" s="152"/>
    </row>
    <row r="1000" spans="1:6" s="229" customFormat="1" ht="13.5" customHeight="1">
      <c r="A1000" s="230"/>
      <c r="B1000" s="230"/>
      <c r="C1000" s="231"/>
      <c r="D1000" s="230"/>
      <c r="E1000" s="232"/>
      <c r="F1000" s="152"/>
    </row>
    <row r="1001" spans="1:6" s="229" customFormat="1" ht="13.5" customHeight="1">
      <c r="A1001" s="230"/>
      <c r="B1001" s="230"/>
      <c r="C1001" s="231"/>
      <c r="D1001" s="230"/>
      <c r="E1001" s="232"/>
      <c r="F1001" s="152"/>
    </row>
    <row r="1002" spans="1:6" s="229" customFormat="1" ht="13.5" customHeight="1">
      <c r="A1002" s="230"/>
      <c r="B1002" s="230"/>
      <c r="C1002" s="231"/>
      <c r="D1002" s="230"/>
      <c r="E1002" s="232"/>
      <c r="F1002" s="152"/>
    </row>
    <row r="1003" spans="1:6" s="229" customFormat="1" ht="13.5" customHeight="1">
      <c r="A1003" s="230"/>
      <c r="B1003" s="230"/>
      <c r="C1003" s="231"/>
      <c r="D1003" s="230"/>
      <c r="E1003" s="232"/>
      <c r="F1003" s="152"/>
    </row>
    <row r="1004" spans="1:6" s="229" customFormat="1" ht="13.5" customHeight="1">
      <c r="A1004" s="230"/>
      <c r="B1004" s="230"/>
      <c r="C1004" s="231"/>
      <c r="D1004" s="230"/>
      <c r="E1004" s="232"/>
      <c r="F1004" s="152"/>
    </row>
    <row r="1005" spans="1:6" s="229" customFormat="1" ht="13.5" customHeight="1">
      <c r="A1005" s="230"/>
      <c r="B1005" s="230"/>
      <c r="C1005" s="231"/>
      <c r="D1005" s="230"/>
      <c r="E1005" s="232"/>
      <c r="F1005" s="152"/>
    </row>
    <row r="1006" spans="1:6" s="229" customFormat="1" ht="13.5" customHeight="1">
      <c r="A1006" s="230"/>
      <c r="B1006" s="230"/>
      <c r="C1006" s="231"/>
      <c r="D1006" s="230"/>
      <c r="E1006" s="232"/>
      <c r="F1006" s="152"/>
    </row>
    <row r="1007" spans="1:6" s="229" customFormat="1" ht="13.5" customHeight="1">
      <c r="A1007" s="230"/>
      <c r="B1007" s="230"/>
      <c r="C1007" s="231"/>
      <c r="D1007" s="230"/>
      <c r="E1007" s="232"/>
      <c r="F1007" s="152"/>
    </row>
    <row r="1008" spans="1:6" s="229" customFormat="1" ht="13.5" customHeight="1">
      <c r="A1008" s="230"/>
      <c r="B1008" s="230"/>
      <c r="C1008" s="231"/>
      <c r="D1008" s="230"/>
      <c r="E1008" s="232"/>
      <c r="F1008" s="152"/>
    </row>
    <row r="1009" spans="1:6" s="229" customFormat="1" ht="13.5" customHeight="1">
      <c r="A1009" s="230"/>
      <c r="B1009" s="230"/>
      <c r="C1009" s="231"/>
      <c r="D1009" s="230"/>
      <c r="E1009" s="232"/>
      <c r="F1009" s="152"/>
    </row>
    <row r="1010" spans="1:6" s="229" customFormat="1" ht="13.5" customHeight="1">
      <c r="A1010" s="230"/>
      <c r="B1010" s="230"/>
      <c r="C1010" s="231"/>
      <c r="D1010" s="230"/>
      <c r="E1010" s="232"/>
      <c r="F1010" s="152"/>
    </row>
    <row r="1011" spans="1:6" s="229" customFormat="1" ht="13.5" customHeight="1">
      <c r="A1011" s="230"/>
      <c r="B1011" s="230"/>
      <c r="C1011" s="231"/>
      <c r="D1011" s="230"/>
      <c r="E1011" s="232"/>
      <c r="F1011" s="152"/>
    </row>
    <row r="1012" spans="1:6" s="229" customFormat="1" ht="13.5" customHeight="1">
      <c r="A1012" s="230"/>
      <c r="B1012" s="230"/>
      <c r="C1012" s="231"/>
      <c r="D1012" s="230"/>
      <c r="E1012" s="232"/>
      <c r="F1012" s="152"/>
    </row>
    <row r="1013" spans="1:6" s="229" customFormat="1" ht="13.5" customHeight="1">
      <c r="A1013" s="230"/>
      <c r="B1013" s="230"/>
      <c r="C1013" s="231"/>
      <c r="D1013" s="230"/>
      <c r="E1013" s="232"/>
      <c r="F1013" s="152"/>
    </row>
    <row r="1014" spans="1:6" s="229" customFormat="1" ht="13.5" customHeight="1">
      <c r="A1014" s="230"/>
      <c r="B1014" s="230"/>
      <c r="C1014" s="231"/>
      <c r="D1014" s="230"/>
      <c r="E1014" s="232"/>
      <c r="F1014" s="152"/>
    </row>
    <row r="1015" spans="1:6" s="229" customFormat="1" ht="13.5" customHeight="1">
      <c r="A1015" s="230"/>
      <c r="B1015" s="230"/>
      <c r="C1015" s="231"/>
      <c r="D1015" s="230"/>
      <c r="E1015" s="232"/>
      <c r="F1015" s="152"/>
    </row>
    <row r="1016" spans="1:6" s="229" customFormat="1" ht="13.5" customHeight="1">
      <c r="A1016" s="230"/>
      <c r="B1016" s="230"/>
      <c r="C1016" s="231"/>
      <c r="D1016" s="230"/>
      <c r="E1016" s="232"/>
      <c r="F1016" s="152"/>
    </row>
    <row r="1017" spans="1:6" s="229" customFormat="1" ht="13.5" customHeight="1">
      <c r="A1017" s="230"/>
      <c r="B1017" s="230"/>
      <c r="C1017" s="231"/>
      <c r="D1017" s="230"/>
      <c r="E1017" s="232"/>
      <c r="F1017" s="152"/>
    </row>
    <row r="1018" spans="1:6" s="229" customFormat="1" ht="13.5" customHeight="1">
      <c r="A1018" s="230"/>
      <c r="B1018" s="230"/>
      <c r="C1018" s="231"/>
      <c r="D1018" s="230"/>
      <c r="E1018" s="232"/>
      <c r="F1018" s="152"/>
    </row>
    <row r="1019" spans="1:6" s="229" customFormat="1" ht="13.5" customHeight="1">
      <c r="A1019" s="230"/>
      <c r="B1019" s="230"/>
      <c r="C1019" s="231"/>
      <c r="D1019" s="230"/>
      <c r="E1019" s="232"/>
      <c r="F1019" s="152"/>
    </row>
    <row r="1020" spans="1:6" s="229" customFormat="1" ht="13.5" customHeight="1">
      <c r="A1020" s="230"/>
      <c r="B1020" s="230"/>
      <c r="C1020" s="231"/>
      <c r="D1020" s="230"/>
      <c r="E1020" s="232"/>
      <c r="F1020" s="152"/>
    </row>
    <row r="1021" spans="1:6" s="229" customFormat="1" ht="13.5" customHeight="1">
      <c r="A1021" s="230"/>
      <c r="B1021" s="230"/>
      <c r="C1021" s="231"/>
      <c r="D1021" s="230"/>
      <c r="E1021" s="232"/>
      <c r="F1021" s="152"/>
    </row>
    <row r="1022" spans="1:6" s="229" customFormat="1" ht="13.5" customHeight="1">
      <c r="A1022" s="230"/>
      <c r="B1022" s="230"/>
      <c r="C1022" s="231"/>
      <c r="D1022" s="230"/>
      <c r="E1022" s="232"/>
      <c r="F1022" s="152"/>
    </row>
    <row r="1023" spans="1:6" s="229" customFormat="1" ht="13.5" customHeight="1">
      <c r="A1023" s="230"/>
      <c r="B1023" s="230"/>
      <c r="C1023" s="231"/>
      <c r="D1023" s="230"/>
      <c r="E1023" s="232"/>
      <c r="F1023" s="152"/>
    </row>
    <row r="1024" spans="1:6" s="229" customFormat="1" ht="13.5" customHeight="1">
      <c r="A1024" s="230"/>
      <c r="B1024" s="230"/>
      <c r="C1024" s="231"/>
      <c r="D1024" s="230"/>
      <c r="E1024" s="232"/>
      <c r="F1024" s="152"/>
    </row>
    <row r="1025" spans="1:6" s="229" customFormat="1" ht="13.5" customHeight="1">
      <c r="A1025" s="230"/>
      <c r="B1025" s="230"/>
      <c r="C1025" s="231"/>
      <c r="D1025" s="230"/>
      <c r="E1025" s="232"/>
      <c r="F1025" s="152"/>
    </row>
    <row r="1026" spans="1:6" s="229" customFormat="1" ht="13.5" customHeight="1">
      <c r="A1026" s="230"/>
      <c r="B1026" s="230"/>
      <c r="C1026" s="231"/>
      <c r="D1026" s="230"/>
      <c r="E1026" s="232"/>
      <c r="F1026" s="152"/>
    </row>
    <row r="1027" spans="1:6" s="229" customFormat="1" ht="13.5" customHeight="1">
      <c r="A1027" s="230"/>
      <c r="B1027" s="230"/>
      <c r="C1027" s="231"/>
      <c r="D1027" s="230"/>
      <c r="E1027" s="232"/>
      <c r="F1027" s="152"/>
    </row>
    <row r="1028" spans="1:6" s="229" customFormat="1" ht="13.5" customHeight="1">
      <c r="A1028" s="230"/>
      <c r="B1028" s="230"/>
      <c r="C1028" s="231"/>
      <c r="D1028" s="230"/>
      <c r="E1028" s="232"/>
      <c r="F1028" s="152"/>
    </row>
    <row r="1029" spans="1:6" s="229" customFormat="1" ht="13.5" customHeight="1">
      <c r="A1029" s="230"/>
      <c r="B1029" s="230"/>
      <c r="C1029" s="231"/>
      <c r="D1029" s="230"/>
      <c r="E1029" s="232"/>
      <c r="F1029" s="152"/>
    </row>
    <row r="1030" spans="1:6" s="229" customFormat="1" ht="13.5" customHeight="1">
      <c r="A1030" s="230"/>
      <c r="B1030" s="230"/>
      <c r="C1030" s="231"/>
      <c r="D1030" s="230"/>
      <c r="E1030" s="232"/>
      <c r="F1030" s="152"/>
    </row>
    <row r="1031" spans="1:6" s="229" customFormat="1" ht="13.5" customHeight="1">
      <c r="A1031" s="230"/>
      <c r="B1031" s="230"/>
      <c r="C1031" s="231"/>
      <c r="D1031" s="230"/>
      <c r="E1031" s="232"/>
      <c r="F1031" s="152"/>
    </row>
    <row r="1032" spans="1:6" s="229" customFormat="1" ht="13.5" customHeight="1">
      <c r="A1032" s="230"/>
      <c r="B1032" s="230"/>
      <c r="C1032" s="231"/>
      <c r="D1032" s="230"/>
      <c r="E1032" s="232"/>
      <c r="F1032" s="152"/>
    </row>
    <row r="1033" spans="1:6" s="229" customFormat="1" ht="13.5" customHeight="1">
      <c r="A1033" s="230"/>
      <c r="B1033" s="230"/>
      <c r="C1033" s="231"/>
      <c r="D1033" s="230"/>
      <c r="E1033" s="232"/>
      <c r="F1033" s="152"/>
    </row>
    <row r="1034" spans="1:6" s="229" customFormat="1" ht="13.5" customHeight="1">
      <c r="A1034" s="230"/>
      <c r="B1034" s="230"/>
      <c r="C1034" s="231"/>
      <c r="D1034" s="230"/>
      <c r="E1034" s="232"/>
      <c r="F1034" s="152"/>
    </row>
    <row r="1035" spans="1:6" s="229" customFormat="1" ht="13.5" customHeight="1">
      <c r="A1035" s="230"/>
      <c r="B1035" s="230"/>
      <c r="C1035" s="231"/>
      <c r="D1035" s="230"/>
      <c r="E1035" s="232"/>
      <c r="F1035" s="152"/>
    </row>
    <row r="1036" spans="1:6" s="229" customFormat="1" ht="13.5" customHeight="1">
      <c r="A1036" s="230"/>
      <c r="B1036" s="230"/>
      <c r="C1036" s="231"/>
      <c r="D1036" s="230"/>
      <c r="E1036" s="232"/>
      <c r="F1036" s="152"/>
    </row>
    <row r="1037" spans="1:6" s="229" customFormat="1" ht="13.5" customHeight="1">
      <c r="A1037" s="230"/>
      <c r="B1037" s="230"/>
      <c r="C1037" s="231"/>
      <c r="D1037" s="230"/>
      <c r="E1037" s="232"/>
      <c r="F1037" s="152"/>
    </row>
    <row r="1038" spans="1:11" s="234" customFormat="1" ht="13.5" customHeight="1">
      <c r="A1038" s="230"/>
      <c r="B1038" s="230"/>
      <c r="C1038" s="231"/>
      <c r="D1038" s="230"/>
      <c r="E1038" s="232"/>
      <c r="F1038" s="152"/>
      <c r="G1038" s="233"/>
      <c r="H1038" s="233"/>
      <c r="I1038" s="233"/>
      <c r="J1038" s="233"/>
      <c r="K1038" s="233"/>
    </row>
    <row r="1039" spans="1:11" s="234" customFormat="1" ht="13.5" customHeight="1">
      <c r="A1039" s="230"/>
      <c r="B1039" s="230"/>
      <c r="C1039" s="231"/>
      <c r="D1039" s="230"/>
      <c r="E1039" s="232"/>
      <c r="F1039" s="152"/>
      <c r="G1039" s="233"/>
      <c r="H1039" s="233"/>
      <c r="I1039" s="233"/>
      <c r="J1039" s="233"/>
      <c r="K1039" s="233"/>
    </row>
    <row r="1040" spans="1:11" s="234" customFormat="1" ht="13.5" customHeight="1">
      <c r="A1040" s="230"/>
      <c r="B1040" s="230"/>
      <c r="C1040" s="231"/>
      <c r="D1040" s="230"/>
      <c r="E1040" s="232"/>
      <c r="F1040" s="152"/>
      <c r="G1040" s="233"/>
      <c r="H1040" s="233"/>
      <c r="I1040" s="233"/>
      <c r="J1040" s="233"/>
      <c r="K1040" s="233"/>
    </row>
    <row r="1041" spans="1:11" s="234" customFormat="1" ht="13.5" customHeight="1">
      <c r="A1041" s="230"/>
      <c r="B1041" s="230"/>
      <c r="C1041" s="231"/>
      <c r="D1041" s="230"/>
      <c r="E1041" s="232"/>
      <c r="F1041" s="152"/>
      <c r="G1041" s="233"/>
      <c r="H1041" s="233"/>
      <c r="I1041" s="233"/>
      <c r="J1041" s="233"/>
      <c r="K1041" s="233"/>
    </row>
    <row r="1042" spans="1:11" s="234" customFormat="1" ht="13.5" customHeight="1">
      <c r="A1042" s="230"/>
      <c r="B1042" s="230"/>
      <c r="C1042" s="231"/>
      <c r="D1042" s="230"/>
      <c r="E1042" s="232"/>
      <c r="F1042" s="152"/>
      <c r="G1042" s="233"/>
      <c r="H1042" s="233"/>
      <c r="I1042" s="233"/>
      <c r="J1042" s="233"/>
      <c r="K1042" s="233"/>
    </row>
    <row r="1043" spans="1:11" s="234" customFormat="1" ht="13.5" customHeight="1">
      <c r="A1043" s="230"/>
      <c r="B1043" s="230"/>
      <c r="C1043" s="231"/>
      <c r="D1043" s="230"/>
      <c r="E1043" s="232"/>
      <c r="F1043" s="152"/>
      <c r="G1043" s="233"/>
      <c r="H1043" s="233"/>
      <c r="I1043" s="233"/>
      <c r="J1043" s="233"/>
      <c r="K1043" s="233"/>
    </row>
    <row r="1044" spans="1:11" s="234" customFormat="1" ht="13.5" customHeight="1">
      <c r="A1044" s="230"/>
      <c r="B1044" s="230"/>
      <c r="C1044" s="231"/>
      <c r="D1044" s="230"/>
      <c r="E1044" s="232"/>
      <c r="F1044" s="152"/>
      <c r="G1044" s="233"/>
      <c r="H1044" s="233"/>
      <c r="I1044" s="233"/>
      <c r="J1044" s="233"/>
      <c r="K1044" s="233"/>
    </row>
    <row r="1045" spans="1:11" s="234" customFormat="1" ht="13.5" customHeight="1">
      <c r="A1045" s="230"/>
      <c r="B1045" s="230"/>
      <c r="C1045" s="231"/>
      <c r="D1045" s="230"/>
      <c r="E1045" s="232"/>
      <c r="F1045" s="152"/>
      <c r="G1045" s="233"/>
      <c r="H1045" s="233"/>
      <c r="I1045" s="233"/>
      <c r="J1045" s="233"/>
      <c r="K1045" s="233"/>
    </row>
    <row r="1046" spans="1:11" s="234" customFormat="1" ht="13.5" customHeight="1">
      <c r="A1046" s="230"/>
      <c r="B1046" s="230"/>
      <c r="C1046" s="231"/>
      <c r="D1046" s="230"/>
      <c r="E1046" s="232"/>
      <c r="F1046" s="152"/>
      <c r="G1046" s="233"/>
      <c r="H1046" s="233"/>
      <c r="I1046" s="233"/>
      <c r="J1046" s="233"/>
      <c r="K1046" s="233"/>
    </row>
    <row r="1047" spans="1:11" s="234" customFormat="1" ht="13.5" customHeight="1">
      <c r="A1047" s="230"/>
      <c r="B1047" s="230"/>
      <c r="C1047" s="231"/>
      <c r="D1047" s="230"/>
      <c r="E1047" s="232"/>
      <c r="F1047" s="152"/>
      <c r="G1047" s="233"/>
      <c r="H1047" s="233"/>
      <c r="I1047" s="233"/>
      <c r="J1047" s="233"/>
      <c r="K1047" s="233"/>
    </row>
    <row r="1048" spans="1:11" s="234" customFormat="1" ht="13.5" customHeight="1">
      <c r="A1048" s="230"/>
      <c r="B1048" s="230"/>
      <c r="C1048" s="231"/>
      <c r="D1048" s="230"/>
      <c r="E1048" s="232"/>
      <c r="F1048" s="152"/>
      <c r="G1048" s="233"/>
      <c r="H1048" s="233"/>
      <c r="I1048" s="233"/>
      <c r="J1048" s="233"/>
      <c r="K1048" s="233"/>
    </row>
    <row r="1049" spans="1:11" s="234" customFormat="1" ht="13.5" customHeight="1">
      <c r="A1049" s="230"/>
      <c r="B1049" s="230"/>
      <c r="C1049" s="231"/>
      <c r="D1049" s="230"/>
      <c r="E1049" s="232"/>
      <c r="F1049" s="152"/>
      <c r="G1049" s="233"/>
      <c r="H1049" s="233"/>
      <c r="I1049" s="233"/>
      <c r="J1049" s="233"/>
      <c r="K1049" s="233"/>
    </row>
    <row r="1050" spans="1:11" s="234" customFormat="1" ht="13.5" customHeight="1">
      <c r="A1050" s="230"/>
      <c r="B1050" s="230"/>
      <c r="C1050" s="231"/>
      <c r="D1050" s="230"/>
      <c r="E1050" s="232"/>
      <c r="F1050" s="152"/>
      <c r="G1050" s="233"/>
      <c r="H1050" s="233"/>
      <c r="I1050" s="233"/>
      <c r="J1050" s="233"/>
      <c r="K1050" s="233"/>
    </row>
    <row r="1051" spans="1:11" s="234" customFormat="1" ht="13.5" customHeight="1">
      <c r="A1051" s="230"/>
      <c r="B1051" s="230"/>
      <c r="C1051" s="231"/>
      <c r="D1051" s="230"/>
      <c r="E1051" s="232"/>
      <c r="F1051" s="152"/>
      <c r="G1051" s="233"/>
      <c r="H1051" s="233"/>
      <c r="I1051" s="233"/>
      <c r="J1051" s="233"/>
      <c r="K1051" s="233"/>
    </row>
    <row r="1052" spans="1:11" s="234" customFormat="1" ht="13.5" customHeight="1">
      <c r="A1052" s="230"/>
      <c r="B1052" s="230"/>
      <c r="C1052" s="231"/>
      <c r="D1052" s="230"/>
      <c r="E1052" s="232"/>
      <c r="F1052" s="152"/>
      <c r="G1052" s="233"/>
      <c r="H1052" s="233"/>
      <c r="I1052" s="233"/>
      <c r="J1052" s="233"/>
      <c r="K1052" s="233"/>
    </row>
    <row r="1053" spans="1:11" s="234" customFormat="1" ht="13.5" customHeight="1">
      <c r="A1053" s="230"/>
      <c r="B1053" s="230"/>
      <c r="C1053" s="231"/>
      <c r="D1053" s="230"/>
      <c r="E1053" s="232"/>
      <c r="F1053" s="152"/>
      <c r="G1053" s="233"/>
      <c r="H1053" s="233"/>
      <c r="I1053" s="233"/>
      <c r="J1053" s="233"/>
      <c r="K1053" s="233"/>
    </row>
    <row r="1054" spans="1:11" s="234" customFormat="1" ht="13.5" customHeight="1">
      <c r="A1054" s="230"/>
      <c r="B1054" s="230"/>
      <c r="C1054" s="231"/>
      <c r="D1054" s="230"/>
      <c r="E1054" s="232"/>
      <c r="F1054" s="152"/>
      <c r="G1054" s="233"/>
      <c r="H1054" s="233"/>
      <c r="I1054" s="233"/>
      <c r="J1054" s="233"/>
      <c r="K1054" s="233"/>
    </row>
    <row r="1055" spans="1:11" s="234" customFormat="1" ht="13.5" customHeight="1">
      <c r="A1055" s="230"/>
      <c r="B1055" s="230"/>
      <c r="C1055" s="231"/>
      <c r="D1055" s="230"/>
      <c r="E1055" s="232"/>
      <c r="F1055" s="152"/>
      <c r="G1055" s="233"/>
      <c r="H1055" s="233"/>
      <c r="I1055" s="233"/>
      <c r="J1055" s="233"/>
      <c r="K1055" s="233"/>
    </row>
    <row r="1056" spans="1:11" s="234" customFormat="1" ht="13.5" customHeight="1">
      <c r="A1056" s="230"/>
      <c r="B1056" s="230"/>
      <c r="C1056" s="231"/>
      <c r="D1056" s="230"/>
      <c r="E1056" s="232"/>
      <c r="F1056" s="152"/>
      <c r="G1056" s="233"/>
      <c r="H1056" s="233"/>
      <c r="I1056" s="233"/>
      <c r="J1056" s="233"/>
      <c r="K1056" s="233"/>
    </row>
    <row r="1057" spans="1:11" s="234" customFormat="1" ht="13.5" customHeight="1">
      <c r="A1057" s="230"/>
      <c r="B1057" s="230"/>
      <c r="C1057" s="231"/>
      <c r="D1057" s="230"/>
      <c r="E1057" s="232"/>
      <c r="F1057" s="152"/>
      <c r="G1057" s="233"/>
      <c r="H1057" s="233"/>
      <c r="I1057" s="233"/>
      <c r="J1057" s="233"/>
      <c r="K1057" s="233"/>
    </row>
    <row r="1058" spans="1:11" s="234" customFormat="1" ht="13.5" customHeight="1">
      <c r="A1058" s="230"/>
      <c r="B1058" s="230"/>
      <c r="C1058" s="231"/>
      <c r="D1058" s="230"/>
      <c r="E1058" s="232"/>
      <c r="F1058" s="152"/>
      <c r="G1058" s="233"/>
      <c r="H1058" s="233"/>
      <c r="I1058" s="233"/>
      <c r="J1058" s="233"/>
      <c r="K1058" s="233"/>
    </row>
    <row r="1059" spans="1:11" s="234" customFormat="1" ht="13.5" customHeight="1">
      <c r="A1059" s="230"/>
      <c r="B1059" s="230"/>
      <c r="C1059" s="231"/>
      <c r="D1059" s="230"/>
      <c r="E1059" s="232"/>
      <c r="F1059" s="152"/>
      <c r="G1059" s="233"/>
      <c r="H1059" s="233"/>
      <c r="I1059" s="233"/>
      <c r="J1059" s="233"/>
      <c r="K1059" s="233"/>
    </row>
    <row r="1060" spans="1:11" s="234" customFormat="1" ht="13.5" customHeight="1">
      <c r="A1060" s="230"/>
      <c r="B1060" s="230"/>
      <c r="C1060" s="231"/>
      <c r="D1060" s="230"/>
      <c r="E1060" s="232"/>
      <c r="F1060" s="152"/>
      <c r="G1060" s="233"/>
      <c r="H1060" s="233"/>
      <c r="I1060" s="233"/>
      <c r="J1060" s="233"/>
      <c r="K1060" s="233"/>
    </row>
    <row r="1061" spans="1:11" s="234" customFormat="1" ht="13.5" customHeight="1">
      <c r="A1061" s="230"/>
      <c r="B1061" s="230"/>
      <c r="C1061" s="231"/>
      <c r="D1061" s="230"/>
      <c r="E1061" s="232"/>
      <c r="F1061" s="152"/>
      <c r="G1061" s="233"/>
      <c r="H1061" s="233"/>
      <c r="I1061" s="233"/>
      <c r="J1061" s="233"/>
      <c r="K1061" s="233"/>
    </row>
    <row r="1062" spans="1:11" s="234" customFormat="1" ht="13.5" customHeight="1">
      <c r="A1062" s="230"/>
      <c r="B1062" s="230"/>
      <c r="C1062" s="231"/>
      <c r="D1062" s="230"/>
      <c r="E1062" s="232"/>
      <c r="F1062" s="152"/>
      <c r="G1062" s="233"/>
      <c r="H1062" s="233"/>
      <c r="I1062" s="233"/>
      <c r="J1062" s="233"/>
      <c r="K1062" s="233"/>
    </row>
    <row r="1063" spans="1:11" s="234" customFormat="1" ht="13.5" customHeight="1">
      <c r="A1063" s="230"/>
      <c r="B1063" s="230"/>
      <c r="C1063" s="231"/>
      <c r="D1063" s="230"/>
      <c r="E1063" s="232"/>
      <c r="F1063" s="152"/>
      <c r="G1063" s="233"/>
      <c r="H1063" s="233"/>
      <c r="I1063" s="233"/>
      <c r="J1063" s="233"/>
      <c r="K1063" s="233"/>
    </row>
    <row r="1064" spans="1:11" s="234" customFormat="1" ht="13.5" customHeight="1">
      <c r="A1064" s="230"/>
      <c r="B1064" s="230"/>
      <c r="C1064" s="231"/>
      <c r="D1064" s="230"/>
      <c r="E1064" s="232"/>
      <c r="F1064" s="152"/>
      <c r="G1064" s="233"/>
      <c r="H1064" s="233"/>
      <c r="I1064" s="233"/>
      <c r="J1064" s="233"/>
      <c r="K1064" s="233"/>
    </row>
    <row r="1065" spans="1:11" s="234" customFormat="1" ht="13.5" customHeight="1">
      <c r="A1065" s="230"/>
      <c r="B1065" s="230"/>
      <c r="C1065" s="231"/>
      <c r="D1065" s="230"/>
      <c r="E1065" s="232"/>
      <c r="F1065" s="152"/>
      <c r="G1065" s="233"/>
      <c r="H1065" s="233"/>
      <c r="I1065" s="233"/>
      <c r="J1065" s="233"/>
      <c r="K1065" s="233"/>
    </row>
    <row r="1066" spans="1:11" s="234" customFormat="1" ht="13.5" customHeight="1">
      <c r="A1066" s="230"/>
      <c r="B1066" s="230"/>
      <c r="C1066" s="231"/>
      <c r="D1066" s="230"/>
      <c r="E1066" s="232"/>
      <c r="F1066" s="152"/>
      <c r="G1066" s="233"/>
      <c r="H1066" s="233"/>
      <c r="I1066" s="233"/>
      <c r="J1066" s="233"/>
      <c r="K1066" s="233"/>
    </row>
    <row r="1067" spans="1:11" s="234" customFormat="1" ht="13.5" customHeight="1">
      <c r="A1067" s="230"/>
      <c r="B1067" s="230"/>
      <c r="C1067" s="231"/>
      <c r="D1067" s="230"/>
      <c r="E1067" s="232"/>
      <c r="F1067" s="152"/>
      <c r="G1067" s="233"/>
      <c r="H1067" s="233"/>
      <c r="I1067" s="233"/>
      <c r="J1067" s="233"/>
      <c r="K1067" s="233"/>
    </row>
    <row r="1068" spans="1:11" s="234" customFormat="1" ht="13.5" customHeight="1">
      <c r="A1068" s="230"/>
      <c r="B1068" s="230"/>
      <c r="C1068" s="231"/>
      <c r="D1068" s="230"/>
      <c r="E1068" s="232"/>
      <c r="F1068" s="152"/>
      <c r="G1068" s="233"/>
      <c r="H1068" s="233"/>
      <c r="I1068" s="233"/>
      <c r="J1068" s="233"/>
      <c r="K1068" s="233"/>
    </row>
    <row r="1069" spans="1:11" s="234" customFormat="1" ht="13.5" customHeight="1">
      <c r="A1069" s="230"/>
      <c r="B1069" s="230"/>
      <c r="C1069" s="231"/>
      <c r="D1069" s="230"/>
      <c r="E1069" s="232"/>
      <c r="F1069" s="152"/>
      <c r="G1069" s="233"/>
      <c r="H1069" s="233"/>
      <c r="I1069" s="233"/>
      <c r="J1069" s="233"/>
      <c r="K1069" s="233"/>
    </row>
    <row r="1070" spans="1:11" s="234" customFormat="1" ht="13.5" customHeight="1">
      <c r="A1070" s="230"/>
      <c r="B1070" s="230"/>
      <c r="C1070" s="231"/>
      <c r="D1070" s="230"/>
      <c r="E1070" s="232"/>
      <c r="F1070" s="152"/>
      <c r="G1070" s="233"/>
      <c r="H1070" s="233"/>
      <c r="I1070" s="233"/>
      <c r="J1070" s="233"/>
      <c r="K1070" s="233"/>
    </row>
    <row r="1071" spans="1:11" s="234" customFormat="1" ht="13.5" customHeight="1">
      <c r="A1071" s="230"/>
      <c r="B1071" s="230"/>
      <c r="C1071" s="231"/>
      <c r="D1071" s="230"/>
      <c r="E1071" s="232"/>
      <c r="F1071" s="152"/>
      <c r="G1071" s="233"/>
      <c r="H1071" s="233"/>
      <c r="I1071" s="233"/>
      <c r="J1071" s="233"/>
      <c r="K1071" s="233"/>
    </row>
    <row r="1072" spans="1:11" s="234" customFormat="1" ht="13.5" customHeight="1">
      <c r="A1072" s="235"/>
      <c r="B1072" s="235"/>
      <c r="C1072" s="236"/>
      <c r="D1072" s="235"/>
      <c r="E1072" s="237"/>
      <c r="F1072" s="152"/>
      <c r="G1072" s="233"/>
      <c r="H1072" s="233"/>
      <c r="I1072" s="233"/>
      <c r="J1072" s="233"/>
      <c r="K1072" s="233"/>
    </row>
    <row r="1073" spans="1:11" s="234" customFormat="1" ht="13.5" customHeight="1">
      <c r="A1073" s="235"/>
      <c r="B1073" s="235"/>
      <c r="C1073" s="236"/>
      <c r="D1073" s="235"/>
      <c r="E1073" s="237"/>
      <c r="F1073" s="152"/>
      <c r="G1073" s="233"/>
      <c r="H1073" s="233"/>
      <c r="I1073" s="233"/>
      <c r="J1073" s="233"/>
      <c r="K1073" s="233"/>
    </row>
    <row r="1074" spans="1:11" s="234" customFormat="1" ht="13.5" customHeight="1">
      <c r="A1074" s="235"/>
      <c r="B1074" s="235"/>
      <c r="C1074" s="236"/>
      <c r="D1074" s="235"/>
      <c r="E1074" s="237"/>
      <c r="F1074" s="152"/>
      <c r="G1074" s="233"/>
      <c r="H1074" s="233"/>
      <c r="I1074" s="233"/>
      <c r="J1074" s="233"/>
      <c r="K1074" s="233"/>
    </row>
    <row r="1075" spans="1:11" s="234" customFormat="1" ht="13.5" customHeight="1">
      <c r="A1075" s="235"/>
      <c r="B1075" s="235"/>
      <c r="C1075" s="236"/>
      <c r="D1075" s="235"/>
      <c r="E1075" s="237"/>
      <c r="F1075" s="152"/>
      <c r="G1075" s="233"/>
      <c r="H1075" s="233"/>
      <c r="I1075" s="233"/>
      <c r="J1075" s="233"/>
      <c r="K1075" s="233"/>
    </row>
    <row r="1076" spans="1:11" s="234" customFormat="1" ht="13.5" customHeight="1">
      <c r="A1076" s="235"/>
      <c r="B1076" s="235"/>
      <c r="C1076" s="236"/>
      <c r="D1076" s="235"/>
      <c r="E1076" s="237"/>
      <c r="F1076" s="152"/>
      <c r="G1076" s="233"/>
      <c r="H1076" s="233"/>
      <c r="I1076" s="233"/>
      <c r="J1076" s="233"/>
      <c r="K1076" s="233"/>
    </row>
    <row r="1077" spans="1:11" s="234" customFormat="1" ht="13.5" customHeight="1">
      <c r="A1077" s="235"/>
      <c r="B1077" s="235"/>
      <c r="C1077" s="236"/>
      <c r="D1077" s="235"/>
      <c r="E1077" s="237"/>
      <c r="F1077" s="152"/>
      <c r="G1077" s="233"/>
      <c r="H1077" s="233"/>
      <c r="I1077" s="233"/>
      <c r="J1077" s="233"/>
      <c r="K1077" s="233"/>
    </row>
    <row r="1078" spans="1:11" s="234" customFormat="1" ht="13.5" customHeight="1">
      <c r="A1078" s="235"/>
      <c r="B1078" s="235"/>
      <c r="C1078" s="236"/>
      <c r="D1078" s="235"/>
      <c r="E1078" s="237"/>
      <c r="F1078" s="152"/>
      <c r="G1078" s="233"/>
      <c r="H1078" s="233"/>
      <c r="I1078" s="233"/>
      <c r="J1078" s="233"/>
      <c r="K1078" s="233"/>
    </row>
    <row r="1079" spans="1:11" s="234" customFormat="1" ht="13.5" customHeight="1">
      <c r="A1079" s="235"/>
      <c r="B1079" s="235"/>
      <c r="C1079" s="236"/>
      <c r="D1079" s="235"/>
      <c r="E1079" s="237"/>
      <c r="F1079" s="152"/>
      <c r="G1079" s="233"/>
      <c r="H1079" s="233"/>
      <c r="I1079" s="233"/>
      <c r="J1079" s="233"/>
      <c r="K1079" s="233"/>
    </row>
    <row r="1080" spans="1:11" s="234" customFormat="1" ht="13.5" customHeight="1">
      <c r="A1080" s="235"/>
      <c r="B1080" s="235"/>
      <c r="C1080" s="236"/>
      <c r="D1080" s="235"/>
      <c r="E1080" s="237"/>
      <c r="F1080" s="152"/>
      <c r="G1080" s="233"/>
      <c r="H1080" s="233"/>
      <c r="I1080" s="233"/>
      <c r="J1080" s="233"/>
      <c r="K1080" s="233"/>
    </row>
    <row r="1081" spans="1:11" s="234" customFormat="1" ht="13.5" customHeight="1">
      <c r="A1081" s="235"/>
      <c r="B1081" s="235"/>
      <c r="C1081" s="236"/>
      <c r="D1081" s="235"/>
      <c r="E1081" s="237"/>
      <c r="F1081" s="152"/>
      <c r="G1081" s="233"/>
      <c r="H1081" s="233"/>
      <c r="I1081" s="233"/>
      <c r="J1081" s="233"/>
      <c r="K1081" s="233"/>
    </row>
    <row r="1082" spans="1:11" s="234" customFormat="1" ht="13.5" customHeight="1">
      <c r="A1082" s="235"/>
      <c r="B1082" s="235"/>
      <c r="C1082" s="236"/>
      <c r="D1082" s="235"/>
      <c r="E1082" s="237"/>
      <c r="F1082" s="152"/>
      <c r="G1082" s="233"/>
      <c r="H1082" s="233"/>
      <c r="I1082" s="233"/>
      <c r="J1082" s="233"/>
      <c r="K1082" s="233"/>
    </row>
    <row r="1083" spans="1:11" s="234" customFormat="1" ht="13.5" customHeight="1">
      <c r="A1083" s="235"/>
      <c r="B1083" s="235"/>
      <c r="C1083" s="236"/>
      <c r="D1083" s="235"/>
      <c r="E1083" s="237"/>
      <c r="F1083" s="152"/>
      <c r="G1083" s="233"/>
      <c r="H1083" s="233"/>
      <c r="I1083" s="233"/>
      <c r="J1083" s="233"/>
      <c r="K1083" s="233"/>
    </row>
    <row r="1084" spans="1:11" s="234" customFormat="1" ht="13.5" customHeight="1">
      <c r="A1084" s="235"/>
      <c r="B1084" s="235"/>
      <c r="C1084" s="236"/>
      <c r="D1084" s="235"/>
      <c r="E1084" s="237"/>
      <c r="F1084" s="152"/>
      <c r="G1084" s="233"/>
      <c r="H1084" s="233"/>
      <c r="I1084" s="233"/>
      <c r="J1084" s="233"/>
      <c r="K1084" s="233"/>
    </row>
    <row r="1085" spans="1:11" s="234" customFormat="1" ht="13.5" customHeight="1">
      <c r="A1085" s="235"/>
      <c r="B1085" s="235"/>
      <c r="C1085" s="236"/>
      <c r="D1085" s="235"/>
      <c r="E1085" s="237"/>
      <c r="F1085" s="152"/>
      <c r="G1085" s="233"/>
      <c r="H1085" s="233"/>
      <c r="I1085" s="233"/>
      <c r="J1085" s="233"/>
      <c r="K1085" s="233"/>
    </row>
    <row r="1086" spans="1:11" s="234" customFormat="1" ht="13.5" customHeight="1">
      <c r="A1086" s="235"/>
      <c r="B1086" s="235"/>
      <c r="C1086" s="236"/>
      <c r="D1086" s="235"/>
      <c r="E1086" s="237"/>
      <c r="F1086" s="152"/>
      <c r="G1086" s="233"/>
      <c r="H1086" s="233"/>
      <c r="I1086" s="233"/>
      <c r="J1086" s="233"/>
      <c r="K1086" s="233"/>
    </row>
    <row r="1087" spans="1:11" s="234" customFormat="1" ht="13.5" customHeight="1">
      <c r="A1087" s="235"/>
      <c r="B1087" s="235"/>
      <c r="C1087" s="236"/>
      <c r="D1087" s="235"/>
      <c r="E1087" s="237"/>
      <c r="F1087" s="152"/>
      <c r="G1087" s="233"/>
      <c r="H1087" s="233"/>
      <c r="I1087" s="233"/>
      <c r="J1087" s="233"/>
      <c r="K1087" s="233"/>
    </row>
    <row r="1088" spans="1:11" s="234" customFormat="1" ht="13.5" customHeight="1">
      <c r="A1088" s="235"/>
      <c r="B1088" s="235"/>
      <c r="C1088" s="236"/>
      <c r="D1088" s="235"/>
      <c r="E1088" s="237"/>
      <c r="F1088" s="152"/>
      <c r="G1088" s="233"/>
      <c r="H1088" s="233"/>
      <c r="I1088" s="233"/>
      <c r="J1088" s="233"/>
      <c r="K1088" s="233"/>
    </row>
    <row r="1089" spans="1:11" s="234" customFormat="1" ht="13.5" customHeight="1">
      <c r="A1089" s="235"/>
      <c r="B1089" s="235"/>
      <c r="C1089" s="236"/>
      <c r="D1089" s="235"/>
      <c r="E1089" s="237"/>
      <c r="F1089" s="152"/>
      <c r="G1089" s="233"/>
      <c r="H1089" s="233"/>
      <c r="I1089" s="233"/>
      <c r="J1089" s="233"/>
      <c r="K1089" s="233"/>
    </row>
    <row r="1090" spans="1:11" s="234" customFormat="1" ht="13.5" customHeight="1">
      <c r="A1090" s="235"/>
      <c r="B1090" s="235"/>
      <c r="C1090" s="236"/>
      <c r="D1090" s="235"/>
      <c r="E1090" s="237"/>
      <c r="F1090" s="152"/>
      <c r="G1090" s="233"/>
      <c r="H1090" s="233"/>
      <c r="I1090" s="233"/>
      <c r="J1090" s="233"/>
      <c r="K1090" s="233"/>
    </row>
    <row r="1091" spans="1:11" s="234" customFormat="1" ht="13.5" customHeight="1">
      <c r="A1091" s="235"/>
      <c r="B1091" s="235"/>
      <c r="C1091" s="236"/>
      <c r="D1091" s="235"/>
      <c r="E1091" s="237"/>
      <c r="F1091" s="152"/>
      <c r="G1091" s="233"/>
      <c r="H1091" s="233"/>
      <c r="I1091" s="233"/>
      <c r="J1091" s="233"/>
      <c r="K1091" s="233"/>
    </row>
    <row r="1092" spans="1:11" s="234" customFormat="1" ht="13.5" customHeight="1">
      <c r="A1092" s="235"/>
      <c r="B1092" s="235"/>
      <c r="C1092" s="236"/>
      <c r="D1092" s="235"/>
      <c r="E1092" s="237"/>
      <c r="F1092" s="152"/>
      <c r="G1092" s="233"/>
      <c r="H1092" s="233"/>
      <c r="I1092" s="233"/>
      <c r="J1092" s="233"/>
      <c r="K1092" s="233"/>
    </row>
    <row r="1093" spans="1:11" s="234" customFormat="1" ht="13.5" customHeight="1">
      <c r="A1093" s="235"/>
      <c r="B1093" s="235"/>
      <c r="C1093" s="236"/>
      <c r="D1093" s="235"/>
      <c r="E1093" s="237"/>
      <c r="F1093" s="152"/>
      <c r="G1093" s="233"/>
      <c r="H1093" s="233"/>
      <c r="I1093" s="233"/>
      <c r="J1093" s="233"/>
      <c r="K1093" s="233"/>
    </row>
    <row r="1094" spans="1:11" s="234" customFormat="1" ht="13.5" customHeight="1">
      <c r="A1094" s="235"/>
      <c r="B1094" s="235"/>
      <c r="C1094" s="236"/>
      <c r="D1094" s="235"/>
      <c r="E1094" s="237"/>
      <c r="F1094" s="152"/>
      <c r="G1094" s="233"/>
      <c r="H1094" s="233"/>
      <c r="I1094" s="233"/>
      <c r="J1094" s="233"/>
      <c r="K1094" s="233"/>
    </row>
    <row r="1095" spans="1:11" s="234" customFormat="1" ht="13.5" customHeight="1">
      <c r="A1095" s="235"/>
      <c r="B1095" s="235"/>
      <c r="C1095" s="236"/>
      <c r="D1095" s="235"/>
      <c r="E1095" s="237"/>
      <c r="F1095" s="152"/>
      <c r="G1095" s="233"/>
      <c r="H1095" s="233"/>
      <c r="I1095" s="233"/>
      <c r="J1095" s="233"/>
      <c r="K1095" s="233"/>
    </row>
    <row r="1096" spans="1:11" s="234" customFormat="1" ht="13.5" customHeight="1">
      <c r="A1096" s="235"/>
      <c r="B1096" s="235"/>
      <c r="C1096" s="236"/>
      <c r="D1096" s="235"/>
      <c r="E1096" s="237"/>
      <c r="F1096" s="152"/>
      <c r="G1096" s="233"/>
      <c r="H1096" s="233"/>
      <c r="I1096" s="233"/>
      <c r="J1096" s="233"/>
      <c r="K1096" s="233"/>
    </row>
    <row r="1097" spans="1:11" s="234" customFormat="1" ht="13.5" customHeight="1">
      <c r="A1097" s="235"/>
      <c r="B1097" s="235"/>
      <c r="C1097" s="236"/>
      <c r="D1097" s="235"/>
      <c r="E1097" s="237"/>
      <c r="F1097" s="152"/>
      <c r="G1097" s="233"/>
      <c r="H1097" s="233"/>
      <c r="I1097" s="233"/>
      <c r="J1097" s="233"/>
      <c r="K1097" s="233"/>
    </row>
    <row r="1098" spans="1:11" s="234" customFormat="1" ht="13.5" customHeight="1">
      <c r="A1098" s="235"/>
      <c r="B1098" s="235"/>
      <c r="C1098" s="236"/>
      <c r="D1098" s="235"/>
      <c r="E1098" s="237"/>
      <c r="F1098" s="152"/>
      <c r="G1098" s="233"/>
      <c r="H1098" s="233"/>
      <c r="I1098" s="233"/>
      <c r="J1098" s="233"/>
      <c r="K1098" s="233"/>
    </row>
    <row r="1099" spans="1:11" s="234" customFormat="1" ht="13.5" customHeight="1">
      <c r="A1099" s="235"/>
      <c r="B1099" s="235"/>
      <c r="C1099" s="236"/>
      <c r="D1099" s="235"/>
      <c r="E1099" s="237"/>
      <c r="F1099" s="152"/>
      <c r="G1099" s="233"/>
      <c r="H1099" s="233"/>
      <c r="I1099" s="233"/>
      <c r="J1099" s="233"/>
      <c r="K1099" s="233"/>
    </row>
    <row r="1100" spans="1:11" s="234" customFormat="1" ht="13.5" customHeight="1">
      <c r="A1100" s="235"/>
      <c r="B1100" s="235"/>
      <c r="C1100" s="236"/>
      <c r="D1100" s="235"/>
      <c r="E1100" s="237"/>
      <c r="F1100" s="152"/>
      <c r="G1100" s="233"/>
      <c r="H1100" s="233"/>
      <c r="I1100" s="233"/>
      <c r="J1100" s="233"/>
      <c r="K1100" s="233"/>
    </row>
    <row r="1101" spans="1:11" s="234" customFormat="1" ht="13.5" customHeight="1">
      <c r="A1101" s="235"/>
      <c r="B1101" s="235"/>
      <c r="C1101" s="236"/>
      <c r="D1101" s="235"/>
      <c r="E1101" s="237"/>
      <c r="F1101" s="152"/>
      <c r="G1101" s="233"/>
      <c r="H1101" s="233"/>
      <c r="I1101" s="233"/>
      <c r="J1101" s="233"/>
      <c r="K1101" s="233"/>
    </row>
    <row r="1102" spans="1:11" s="234" customFormat="1" ht="13.5" customHeight="1">
      <c r="A1102" s="235"/>
      <c r="B1102" s="235"/>
      <c r="C1102" s="236"/>
      <c r="D1102" s="235"/>
      <c r="E1102" s="237"/>
      <c r="F1102" s="152"/>
      <c r="G1102" s="233"/>
      <c r="H1102" s="233"/>
      <c r="I1102" s="233"/>
      <c r="J1102" s="233"/>
      <c r="K1102" s="233"/>
    </row>
    <row r="1103" spans="1:11" s="234" customFormat="1" ht="13.5" customHeight="1">
      <c r="A1103" s="235"/>
      <c r="B1103" s="235"/>
      <c r="C1103" s="236"/>
      <c r="D1103" s="235"/>
      <c r="E1103" s="237"/>
      <c r="F1103" s="152"/>
      <c r="G1103" s="233"/>
      <c r="H1103" s="233"/>
      <c r="I1103" s="233"/>
      <c r="J1103" s="233"/>
      <c r="K1103" s="233"/>
    </row>
    <row r="1104" spans="1:11" s="234" customFormat="1" ht="13.5" customHeight="1">
      <c r="A1104" s="235"/>
      <c r="B1104" s="235"/>
      <c r="C1104" s="236"/>
      <c r="D1104" s="235"/>
      <c r="E1104" s="237"/>
      <c r="F1104" s="152"/>
      <c r="G1104" s="233"/>
      <c r="H1104" s="233"/>
      <c r="I1104" s="233"/>
      <c r="J1104" s="233"/>
      <c r="K1104" s="233"/>
    </row>
    <row r="1105" spans="1:11" s="234" customFormat="1" ht="13.5" customHeight="1">
      <c r="A1105" s="235"/>
      <c r="B1105" s="235"/>
      <c r="C1105" s="236"/>
      <c r="D1105" s="235"/>
      <c r="E1105" s="237"/>
      <c r="F1105" s="152"/>
      <c r="G1105" s="233"/>
      <c r="H1105" s="233"/>
      <c r="I1105" s="233"/>
      <c r="J1105" s="233"/>
      <c r="K1105" s="233"/>
    </row>
    <row r="1106" spans="1:11" s="234" customFormat="1" ht="13.5" customHeight="1">
      <c r="A1106" s="235"/>
      <c r="B1106" s="235"/>
      <c r="C1106" s="236"/>
      <c r="D1106" s="235"/>
      <c r="E1106" s="237"/>
      <c r="F1106" s="152"/>
      <c r="G1106" s="233"/>
      <c r="H1106" s="233"/>
      <c r="I1106" s="233"/>
      <c r="J1106" s="233"/>
      <c r="K1106" s="233"/>
    </row>
    <row r="1107" spans="1:11" s="234" customFormat="1" ht="13.5" customHeight="1">
      <c r="A1107" s="235"/>
      <c r="B1107" s="235"/>
      <c r="C1107" s="236"/>
      <c r="D1107" s="235"/>
      <c r="E1107" s="237"/>
      <c r="F1107" s="152"/>
      <c r="G1107" s="233"/>
      <c r="H1107" s="233"/>
      <c r="I1107" s="233"/>
      <c r="J1107" s="233"/>
      <c r="K1107" s="233"/>
    </row>
    <row r="1108" spans="1:11" s="234" customFormat="1" ht="13.5" customHeight="1">
      <c r="A1108" s="235"/>
      <c r="B1108" s="235"/>
      <c r="C1108" s="236"/>
      <c r="D1108" s="235"/>
      <c r="E1108" s="237"/>
      <c r="F1108" s="152"/>
      <c r="G1108" s="233"/>
      <c r="H1108" s="233"/>
      <c r="I1108" s="233"/>
      <c r="J1108" s="233"/>
      <c r="K1108" s="233"/>
    </row>
    <row r="1109" spans="1:11" s="234" customFormat="1" ht="13.5" customHeight="1">
      <c r="A1109" s="235"/>
      <c r="B1109" s="235"/>
      <c r="C1109" s="236"/>
      <c r="D1109" s="235"/>
      <c r="E1109" s="237"/>
      <c r="F1109" s="152"/>
      <c r="G1109" s="233"/>
      <c r="H1109" s="233"/>
      <c r="I1109" s="233"/>
      <c r="J1109" s="233"/>
      <c r="K1109" s="233"/>
    </row>
    <row r="1110" spans="1:11" s="234" customFormat="1" ht="13.5" customHeight="1">
      <c r="A1110" s="235"/>
      <c r="B1110" s="235"/>
      <c r="C1110" s="236"/>
      <c r="D1110" s="235"/>
      <c r="E1110" s="237"/>
      <c r="F1110" s="152"/>
      <c r="G1110" s="233"/>
      <c r="H1110" s="233"/>
      <c r="I1110" s="233"/>
      <c r="J1110" s="233"/>
      <c r="K1110" s="233"/>
    </row>
    <row r="1111" spans="1:11" s="234" customFormat="1" ht="13.5" customHeight="1">
      <c r="A1111" s="235"/>
      <c r="B1111" s="235"/>
      <c r="C1111" s="236"/>
      <c r="D1111" s="235"/>
      <c r="E1111" s="237"/>
      <c r="F1111" s="152"/>
      <c r="G1111" s="233"/>
      <c r="H1111" s="233"/>
      <c r="I1111" s="233"/>
      <c r="J1111" s="233"/>
      <c r="K1111" s="233"/>
    </row>
    <row r="1112" spans="1:11" s="234" customFormat="1" ht="13.5" customHeight="1">
      <c r="A1112" s="235"/>
      <c r="B1112" s="235"/>
      <c r="C1112" s="236"/>
      <c r="D1112" s="235"/>
      <c r="E1112" s="237"/>
      <c r="F1112" s="152"/>
      <c r="G1112" s="233"/>
      <c r="H1112" s="233"/>
      <c r="I1112" s="233"/>
      <c r="J1112" s="233"/>
      <c r="K1112" s="233"/>
    </row>
    <row r="1113" spans="1:11" s="234" customFormat="1" ht="13.5" customHeight="1">
      <c r="A1113" s="235"/>
      <c r="B1113" s="235"/>
      <c r="C1113" s="236"/>
      <c r="D1113" s="235"/>
      <c r="E1113" s="237"/>
      <c r="F1113" s="152"/>
      <c r="G1113" s="233"/>
      <c r="H1113" s="233"/>
      <c r="I1113" s="233"/>
      <c r="J1113" s="233"/>
      <c r="K1113" s="233"/>
    </row>
    <row r="1114" spans="1:11" s="234" customFormat="1" ht="13.5" customHeight="1">
      <c r="A1114" s="235"/>
      <c r="B1114" s="235"/>
      <c r="C1114" s="236"/>
      <c r="D1114" s="235"/>
      <c r="E1114" s="237"/>
      <c r="F1114" s="152"/>
      <c r="G1114" s="233"/>
      <c r="H1114" s="233"/>
      <c r="I1114" s="233"/>
      <c r="J1114" s="233"/>
      <c r="K1114" s="233"/>
    </row>
    <row r="1115" spans="1:11" s="234" customFormat="1" ht="13.5" customHeight="1">
      <c r="A1115" s="235"/>
      <c r="B1115" s="235"/>
      <c r="C1115" s="236"/>
      <c r="D1115" s="235"/>
      <c r="E1115" s="237"/>
      <c r="F1115" s="152"/>
      <c r="G1115" s="233"/>
      <c r="H1115" s="233"/>
      <c r="I1115" s="233"/>
      <c r="J1115" s="233"/>
      <c r="K1115" s="233"/>
    </row>
    <row r="1116" spans="1:11" s="234" customFormat="1" ht="13.5" customHeight="1">
      <c r="A1116" s="235"/>
      <c r="B1116" s="235"/>
      <c r="C1116" s="236"/>
      <c r="D1116" s="235"/>
      <c r="E1116" s="237"/>
      <c r="F1116" s="152"/>
      <c r="G1116" s="233"/>
      <c r="H1116" s="233"/>
      <c r="I1116" s="233"/>
      <c r="J1116" s="233"/>
      <c r="K1116" s="233"/>
    </row>
    <row r="1117" spans="1:11" s="234" customFormat="1" ht="13.5" customHeight="1">
      <c r="A1117" s="235"/>
      <c r="B1117" s="235"/>
      <c r="C1117" s="236"/>
      <c r="D1117" s="235"/>
      <c r="E1117" s="237"/>
      <c r="F1117" s="152"/>
      <c r="G1117" s="233"/>
      <c r="H1117" s="233"/>
      <c r="I1117" s="233"/>
      <c r="J1117" s="233"/>
      <c r="K1117" s="233"/>
    </row>
    <row r="1118" spans="1:11" s="234" customFormat="1" ht="13.5" customHeight="1">
      <c r="A1118" s="235"/>
      <c r="B1118" s="235"/>
      <c r="C1118" s="236"/>
      <c r="D1118" s="235"/>
      <c r="E1118" s="237"/>
      <c r="F1118" s="152"/>
      <c r="G1118" s="233"/>
      <c r="H1118" s="233"/>
      <c r="I1118" s="233"/>
      <c r="J1118" s="233"/>
      <c r="K1118" s="233"/>
    </row>
    <row r="1119" spans="1:11" s="234" customFormat="1" ht="13.5" customHeight="1">
      <c r="A1119" s="235"/>
      <c r="B1119" s="235"/>
      <c r="C1119" s="236"/>
      <c r="D1119" s="235"/>
      <c r="E1119" s="237"/>
      <c r="F1119" s="152"/>
      <c r="G1119" s="233"/>
      <c r="H1119" s="233"/>
      <c r="I1119" s="233"/>
      <c r="J1119" s="233"/>
      <c r="K1119" s="233"/>
    </row>
    <row r="1120" spans="1:11" s="234" customFormat="1" ht="13.5" customHeight="1">
      <c r="A1120" s="235"/>
      <c r="B1120" s="235"/>
      <c r="C1120" s="236"/>
      <c r="D1120" s="235"/>
      <c r="E1120" s="237"/>
      <c r="F1120" s="152"/>
      <c r="G1120" s="233"/>
      <c r="H1120" s="233"/>
      <c r="I1120" s="233"/>
      <c r="J1120" s="233"/>
      <c r="K1120" s="233"/>
    </row>
    <row r="1121" spans="1:11" s="234" customFormat="1" ht="13.5" customHeight="1">
      <c r="A1121" s="235"/>
      <c r="B1121" s="235"/>
      <c r="C1121" s="236"/>
      <c r="D1121" s="235"/>
      <c r="E1121" s="237"/>
      <c r="F1121" s="152"/>
      <c r="G1121" s="233"/>
      <c r="H1121" s="233"/>
      <c r="I1121" s="233"/>
      <c r="J1121" s="233"/>
      <c r="K1121" s="233"/>
    </row>
    <row r="1122" spans="1:11" s="234" customFormat="1" ht="13.5" customHeight="1">
      <c r="A1122" s="235"/>
      <c r="B1122" s="235"/>
      <c r="C1122" s="236"/>
      <c r="D1122" s="235"/>
      <c r="E1122" s="237"/>
      <c r="F1122" s="152"/>
      <c r="G1122" s="233"/>
      <c r="H1122" s="233"/>
      <c r="I1122" s="233"/>
      <c r="J1122" s="233"/>
      <c r="K1122" s="233"/>
    </row>
    <row r="1123" spans="1:11" s="234" customFormat="1" ht="13.5" customHeight="1">
      <c r="A1123" s="235"/>
      <c r="B1123" s="235"/>
      <c r="C1123" s="236"/>
      <c r="D1123" s="235"/>
      <c r="E1123" s="237"/>
      <c r="F1123" s="152"/>
      <c r="G1123" s="233"/>
      <c r="H1123" s="233"/>
      <c r="I1123" s="233"/>
      <c r="J1123" s="233"/>
      <c r="K1123" s="233"/>
    </row>
    <row r="1124" spans="1:11" s="234" customFormat="1" ht="13.5" customHeight="1">
      <c r="A1124" s="235"/>
      <c r="B1124" s="235"/>
      <c r="C1124" s="236"/>
      <c r="D1124" s="235"/>
      <c r="E1124" s="237"/>
      <c r="F1124" s="152"/>
      <c r="G1124" s="233"/>
      <c r="H1124" s="233"/>
      <c r="I1124" s="233"/>
      <c r="J1124" s="233"/>
      <c r="K1124" s="233"/>
    </row>
    <row r="1125" spans="1:11" s="234" customFormat="1" ht="13.5" customHeight="1">
      <c r="A1125" s="235"/>
      <c r="B1125" s="235"/>
      <c r="C1125" s="236"/>
      <c r="D1125" s="235"/>
      <c r="E1125" s="237"/>
      <c r="F1125" s="152"/>
      <c r="G1125" s="233"/>
      <c r="H1125" s="233"/>
      <c r="I1125" s="233"/>
      <c r="J1125" s="233"/>
      <c r="K1125" s="233"/>
    </row>
    <row r="1126" spans="1:11" s="234" customFormat="1" ht="13.5" customHeight="1">
      <c r="A1126" s="235"/>
      <c r="B1126" s="235"/>
      <c r="C1126" s="236"/>
      <c r="D1126" s="235"/>
      <c r="E1126" s="237"/>
      <c r="F1126" s="152"/>
      <c r="G1126" s="233"/>
      <c r="H1126" s="233"/>
      <c r="I1126" s="233"/>
      <c r="J1126" s="233"/>
      <c r="K1126" s="233"/>
    </row>
    <row r="1127" spans="1:11" s="234" customFormat="1" ht="13.5" customHeight="1">
      <c r="A1127" s="235"/>
      <c r="B1127" s="235"/>
      <c r="C1127" s="236"/>
      <c r="D1127" s="235"/>
      <c r="E1127" s="237"/>
      <c r="F1127" s="152"/>
      <c r="G1127" s="233"/>
      <c r="H1127" s="233"/>
      <c r="I1127" s="233"/>
      <c r="J1127" s="233"/>
      <c r="K1127" s="233"/>
    </row>
    <row r="1128" spans="1:11" s="234" customFormat="1" ht="13.5" customHeight="1">
      <c r="A1128" s="235"/>
      <c r="B1128" s="235"/>
      <c r="C1128" s="236"/>
      <c r="D1128" s="235"/>
      <c r="E1128" s="237"/>
      <c r="F1128" s="152"/>
      <c r="G1128" s="233"/>
      <c r="H1128" s="233"/>
      <c r="I1128" s="233"/>
      <c r="J1128" s="233"/>
      <c r="K1128" s="233"/>
    </row>
    <row r="1129" spans="1:11" s="234" customFormat="1" ht="13.5" customHeight="1">
      <c r="A1129" s="235"/>
      <c r="B1129" s="235"/>
      <c r="C1129" s="236"/>
      <c r="D1129" s="235"/>
      <c r="E1129" s="237"/>
      <c r="F1129" s="152"/>
      <c r="G1129" s="233"/>
      <c r="H1129" s="233"/>
      <c r="I1129" s="233"/>
      <c r="J1129" s="233"/>
      <c r="K1129" s="233"/>
    </row>
    <row r="1130" spans="1:11" s="234" customFormat="1" ht="13.5" customHeight="1">
      <c r="A1130" s="235"/>
      <c r="B1130" s="235"/>
      <c r="C1130" s="236"/>
      <c r="D1130" s="235"/>
      <c r="E1130" s="237"/>
      <c r="F1130" s="152"/>
      <c r="G1130" s="233"/>
      <c r="H1130" s="233"/>
      <c r="I1130" s="233"/>
      <c r="J1130" s="233"/>
      <c r="K1130" s="233"/>
    </row>
    <row r="1131" spans="1:11" s="234" customFormat="1" ht="13.5" customHeight="1">
      <c r="A1131" s="235"/>
      <c r="B1131" s="235"/>
      <c r="C1131" s="236"/>
      <c r="D1131" s="235"/>
      <c r="E1131" s="237"/>
      <c r="F1131" s="152"/>
      <c r="G1131" s="233"/>
      <c r="H1131" s="233"/>
      <c r="I1131" s="233"/>
      <c r="J1131" s="233"/>
      <c r="K1131" s="233"/>
    </row>
    <row r="1132" spans="1:11" s="234" customFormat="1" ht="13.5" customHeight="1">
      <c r="A1132" s="235"/>
      <c r="B1132" s="235"/>
      <c r="C1132" s="236"/>
      <c r="D1132" s="235"/>
      <c r="E1132" s="237"/>
      <c r="F1132" s="152"/>
      <c r="G1132" s="233"/>
      <c r="H1132" s="233"/>
      <c r="I1132" s="233"/>
      <c r="J1132" s="233"/>
      <c r="K1132" s="233"/>
    </row>
    <row r="1133" spans="1:11" s="234" customFormat="1" ht="13.5" customHeight="1">
      <c r="A1133" s="235"/>
      <c r="B1133" s="235"/>
      <c r="C1133" s="236"/>
      <c r="D1133" s="235"/>
      <c r="E1133" s="237"/>
      <c r="F1133" s="152"/>
      <c r="G1133" s="233"/>
      <c r="H1133" s="233"/>
      <c r="I1133" s="233"/>
      <c r="J1133" s="233"/>
      <c r="K1133" s="233"/>
    </row>
    <row r="1134" spans="1:11" s="234" customFormat="1" ht="13.5" customHeight="1">
      <c r="A1134" s="235"/>
      <c r="B1134" s="235"/>
      <c r="C1134" s="236"/>
      <c r="D1134" s="235"/>
      <c r="E1134" s="237"/>
      <c r="F1134" s="152"/>
      <c r="G1134" s="233"/>
      <c r="H1134" s="233"/>
      <c r="I1134" s="233"/>
      <c r="J1134" s="233"/>
      <c r="K1134" s="233"/>
    </row>
    <row r="1135" spans="1:11" s="234" customFormat="1" ht="13.5" customHeight="1">
      <c r="A1135" s="235"/>
      <c r="B1135" s="235"/>
      <c r="C1135" s="236"/>
      <c r="D1135" s="235"/>
      <c r="E1135" s="237"/>
      <c r="F1135" s="152"/>
      <c r="G1135" s="233"/>
      <c r="H1135" s="233"/>
      <c r="I1135" s="233"/>
      <c r="J1135" s="233"/>
      <c r="K1135" s="233"/>
    </row>
    <row r="1136" spans="1:11" s="234" customFormat="1" ht="13.5" customHeight="1">
      <c r="A1136" s="235"/>
      <c r="B1136" s="235"/>
      <c r="C1136" s="236"/>
      <c r="D1136" s="235"/>
      <c r="E1136" s="237"/>
      <c r="F1136" s="152"/>
      <c r="G1136" s="233"/>
      <c r="H1136" s="233"/>
      <c r="I1136" s="233"/>
      <c r="J1136" s="233"/>
      <c r="K1136" s="233"/>
    </row>
    <row r="1137" spans="1:11" s="234" customFormat="1" ht="13.5" customHeight="1">
      <c r="A1137" s="235"/>
      <c r="B1137" s="235"/>
      <c r="C1137" s="236"/>
      <c r="D1137" s="235"/>
      <c r="E1137" s="237"/>
      <c r="F1137" s="152"/>
      <c r="G1137" s="233"/>
      <c r="H1137" s="233"/>
      <c r="I1137" s="233"/>
      <c r="J1137" s="233"/>
      <c r="K1137" s="233"/>
    </row>
    <row r="1138" spans="1:11" s="234" customFormat="1" ht="13.5" customHeight="1">
      <c r="A1138" s="235"/>
      <c r="B1138" s="235"/>
      <c r="C1138" s="236"/>
      <c r="D1138" s="235"/>
      <c r="E1138" s="237"/>
      <c r="F1138" s="152"/>
      <c r="G1138" s="233"/>
      <c r="H1138" s="233"/>
      <c r="I1138" s="233"/>
      <c r="J1138" s="233"/>
      <c r="K1138" s="233"/>
    </row>
    <row r="1139" spans="1:11" s="234" customFormat="1" ht="13.5" customHeight="1">
      <c r="A1139" s="235"/>
      <c r="B1139" s="235"/>
      <c r="C1139" s="236"/>
      <c r="D1139" s="235"/>
      <c r="E1139" s="237"/>
      <c r="F1139" s="152"/>
      <c r="G1139" s="233"/>
      <c r="H1139" s="233"/>
      <c r="I1139" s="233"/>
      <c r="J1139" s="233"/>
      <c r="K1139" s="233"/>
    </row>
    <row r="1140" spans="1:11" s="234" customFormat="1" ht="13.5" customHeight="1">
      <c r="A1140" s="235"/>
      <c r="B1140" s="235"/>
      <c r="C1140" s="236"/>
      <c r="D1140" s="235"/>
      <c r="E1140" s="237"/>
      <c r="F1140" s="152"/>
      <c r="G1140" s="233"/>
      <c r="H1140" s="233"/>
      <c r="I1140" s="233"/>
      <c r="J1140" s="233"/>
      <c r="K1140" s="233"/>
    </row>
    <row r="1141" spans="1:11" s="234" customFormat="1" ht="13.5" customHeight="1">
      <c r="A1141" s="235"/>
      <c r="B1141" s="235"/>
      <c r="C1141" s="236"/>
      <c r="D1141" s="235"/>
      <c r="E1141" s="237"/>
      <c r="F1141" s="152"/>
      <c r="G1141" s="233"/>
      <c r="H1141" s="233"/>
      <c r="I1141" s="233"/>
      <c r="J1141" s="233"/>
      <c r="K1141" s="233"/>
    </row>
    <row r="1142" spans="1:11" s="234" customFormat="1" ht="13.5" customHeight="1">
      <c r="A1142" s="235"/>
      <c r="B1142" s="235"/>
      <c r="C1142" s="236"/>
      <c r="D1142" s="235"/>
      <c r="E1142" s="237"/>
      <c r="F1142" s="152"/>
      <c r="G1142" s="233"/>
      <c r="H1142" s="233"/>
      <c r="I1142" s="233"/>
      <c r="J1142" s="233"/>
      <c r="K1142" s="233"/>
    </row>
    <row r="1143" spans="1:11" s="234" customFormat="1" ht="13.5" customHeight="1">
      <c r="A1143" s="235"/>
      <c r="B1143" s="235"/>
      <c r="C1143" s="236"/>
      <c r="D1143" s="235"/>
      <c r="E1143" s="237"/>
      <c r="F1143" s="152"/>
      <c r="G1143" s="233"/>
      <c r="H1143" s="233"/>
      <c r="I1143" s="233"/>
      <c r="J1143" s="233"/>
      <c r="K1143" s="233"/>
    </row>
    <row r="1144" spans="1:11" s="234" customFormat="1" ht="13.5" customHeight="1">
      <c r="A1144" s="235"/>
      <c r="B1144" s="235"/>
      <c r="C1144" s="236"/>
      <c r="D1144" s="235"/>
      <c r="E1144" s="237"/>
      <c r="F1144" s="152"/>
      <c r="G1144" s="233"/>
      <c r="H1144" s="233"/>
      <c r="I1144" s="233"/>
      <c r="J1144" s="233"/>
      <c r="K1144" s="233"/>
    </row>
    <row r="1145" spans="1:11" s="234" customFormat="1" ht="13.5" customHeight="1">
      <c r="A1145" s="235"/>
      <c r="B1145" s="235"/>
      <c r="C1145" s="236"/>
      <c r="D1145" s="235"/>
      <c r="E1145" s="237"/>
      <c r="F1145" s="152"/>
      <c r="G1145" s="233"/>
      <c r="H1145" s="233"/>
      <c r="I1145" s="233"/>
      <c r="J1145" s="233"/>
      <c r="K1145" s="233"/>
    </row>
    <row r="1146" spans="1:11" s="234" customFormat="1" ht="13.5" customHeight="1">
      <c r="A1146" s="235"/>
      <c r="B1146" s="235"/>
      <c r="C1146" s="236"/>
      <c r="D1146" s="235"/>
      <c r="E1146" s="237"/>
      <c r="F1146" s="152"/>
      <c r="G1146" s="233"/>
      <c r="H1146" s="233"/>
      <c r="I1146" s="233"/>
      <c r="J1146" s="233"/>
      <c r="K1146" s="233"/>
    </row>
    <row r="1147" spans="1:11" s="234" customFormat="1" ht="13.5" customHeight="1">
      <c r="A1147" s="235"/>
      <c r="B1147" s="235"/>
      <c r="C1147" s="236"/>
      <c r="D1147" s="235"/>
      <c r="E1147" s="237"/>
      <c r="F1147" s="152"/>
      <c r="G1147" s="233"/>
      <c r="H1147" s="233"/>
      <c r="I1147" s="233"/>
      <c r="J1147" s="233"/>
      <c r="K1147" s="233"/>
    </row>
    <row r="1148" spans="1:11" s="234" customFormat="1" ht="13.5" customHeight="1">
      <c r="A1148" s="235"/>
      <c r="B1148" s="235"/>
      <c r="C1148" s="236"/>
      <c r="D1148" s="235"/>
      <c r="E1148" s="237"/>
      <c r="F1148" s="152"/>
      <c r="G1148" s="233"/>
      <c r="H1148" s="233"/>
      <c r="I1148" s="233"/>
      <c r="J1148" s="233"/>
      <c r="K1148" s="233"/>
    </row>
    <row r="1149" spans="1:11" s="234" customFormat="1" ht="13.5" customHeight="1">
      <c r="A1149" s="235"/>
      <c r="B1149" s="235"/>
      <c r="C1149" s="236"/>
      <c r="D1149" s="235"/>
      <c r="E1149" s="237"/>
      <c r="F1149" s="152"/>
      <c r="G1149" s="233"/>
      <c r="H1149" s="233"/>
      <c r="I1149" s="233"/>
      <c r="J1149" s="233"/>
      <c r="K1149" s="233"/>
    </row>
    <row r="1150" spans="1:11" s="234" customFormat="1" ht="13.5" customHeight="1">
      <c r="A1150" s="235"/>
      <c r="B1150" s="235"/>
      <c r="C1150" s="236"/>
      <c r="D1150" s="235"/>
      <c r="E1150" s="237"/>
      <c r="F1150" s="152"/>
      <c r="G1150" s="233"/>
      <c r="H1150" s="233"/>
      <c r="I1150" s="233"/>
      <c r="J1150" s="233"/>
      <c r="K1150" s="233"/>
    </row>
    <row r="1151" spans="1:11" s="234" customFormat="1" ht="13.5" customHeight="1">
      <c r="A1151" s="235"/>
      <c r="B1151" s="235"/>
      <c r="C1151" s="236"/>
      <c r="D1151" s="235"/>
      <c r="E1151" s="237"/>
      <c r="F1151" s="152"/>
      <c r="G1151" s="233"/>
      <c r="H1151" s="233"/>
      <c r="I1151" s="233"/>
      <c r="J1151" s="233"/>
      <c r="K1151" s="233"/>
    </row>
    <row r="1152" spans="1:11" s="234" customFormat="1" ht="13.5" customHeight="1">
      <c r="A1152" s="235"/>
      <c r="B1152" s="235"/>
      <c r="C1152" s="236"/>
      <c r="D1152" s="235"/>
      <c r="E1152" s="237"/>
      <c r="F1152" s="152"/>
      <c r="G1152" s="233"/>
      <c r="H1152" s="233"/>
      <c r="I1152" s="233"/>
      <c r="J1152" s="233"/>
      <c r="K1152" s="233"/>
    </row>
    <row r="1153" spans="1:11" s="234" customFormat="1" ht="13.5" customHeight="1">
      <c r="A1153" s="235"/>
      <c r="B1153" s="235"/>
      <c r="C1153" s="236"/>
      <c r="D1153" s="235"/>
      <c r="E1153" s="237"/>
      <c r="F1153" s="152"/>
      <c r="G1153" s="233"/>
      <c r="H1153" s="233"/>
      <c r="I1153" s="233"/>
      <c r="J1153" s="233"/>
      <c r="K1153" s="233"/>
    </row>
    <row r="1154" spans="1:11" s="234" customFormat="1" ht="13.5" customHeight="1">
      <c r="A1154" s="235"/>
      <c r="B1154" s="235"/>
      <c r="C1154" s="236"/>
      <c r="D1154" s="235"/>
      <c r="E1154" s="237"/>
      <c r="F1154" s="152"/>
      <c r="G1154" s="233"/>
      <c r="H1154" s="233"/>
      <c r="I1154" s="233"/>
      <c r="J1154" s="233"/>
      <c r="K1154" s="233"/>
    </row>
    <row r="1155" spans="1:11" s="234" customFormat="1" ht="13.5" customHeight="1">
      <c r="A1155" s="235"/>
      <c r="B1155" s="235"/>
      <c r="C1155" s="236"/>
      <c r="D1155" s="235"/>
      <c r="E1155" s="237"/>
      <c r="F1155" s="152"/>
      <c r="G1155" s="233"/>
      <c r="H1155" s="233"/>
      <c r="I1155" s="233"/>
      <c r="J1155" s="233"/>
      <c r="K1155" s="233"/>
    </row>
    <row r="1156" spans="1:11" s="234" customFormat="1" ht="13.5" customHeight="1">
      <c r="A1156" s="235"/>
      <c r="B1156" s="235"/>
      <c r="C1156" s="236"/>
      <c r="D1156" s="235"/>
      <c r="E1156" s="237"/>
      <c r="F1156" s="152"/>
      <c r="G1156" s="233"/>
      <c r="H1156" s="233"/>
      <c r="I1156" s="233"/>
      <c r="J1156" s="233"/>
      <c r="K1156" s="233"/>
    </row>
    <row r="1157" spans="1:11" s="234" customFormat="1" ht="13.5" customHeight="1">
      <c r="A1157" s="235"/>
      <c r="B1157" s="235"/>
      <c r="C1157" s="236"/>
      <c r="D1157" s="235"/>
      <c r="E1157" s="237"/>
      <c r="F1157" s="152"/>
      <c r="G1157" s="233"/>
      <c r="H1157" s="233"/>
      <c r="I1157" s="233"/>
      <c r="J1157" s="233"/>
      <c r="K1157" s="233"/>
    </row>
    <row r="1158" spans="1:11" s="234" customFormat="1" ht="13.5" customHeight="1">
      <c r="A1158" s="235"/>
      <c r="B1158" s="235"/>
      <c r="C1158" s="236"/>
      <c r="D1158" s="235"/>
      <c r="E1158" s="237"/>
      <c r="F1158" s="152"/>
      <c r="G1158" s="233"/>
      <c r="H1158" s="233"/>
      <c r="I1158" s="233"/>
      <c r="J1158" s="233"/>
      <c r="K1158" s="233"/>
    </row>
    <row r="1159" spans="1:11" s="234" customFormat="1" ht="13.5" customHeight="1">
      <c r="A1159" s="235"/>
      <c r="B1159" s="235"/>
      <c r="C1159" s="236"/>
      <c r="D1159" s="235"/>
      <c r="E1159" s="237"/>
      <c r="F1159" s="152"/>
      <c r="G1159" s="233"/>
      <c r="H1159" s="233"/>
      <c r="I1159" s="233"/>
      <c r="J1159" s="233"/>
      <c r="K1159" s="233"/>
    </row>
    <row r="1160" spans="1:11" s="234" customFormat="1" ht="13.5" customHeight="1">
      <c r="A1160" s="235"/>
      <c r="B1160" s="235"/>
      <c r="C1160" s="236"/>
      <c r="D1160" s="235"/>
      <c r="E1160" s="237"/>
      <c r="F1160" s="152"/>
      <c r="G1160" s="233"/>
      <c r="H1160" s="233"/>
      <c r="I1160" s="233"/>
      <c r="J1160" s="233"/>
      <c r="K1160" s="233"/>
    </row>
    <row r="1161" spans="1:11" s="234" customFormat="1" ht="13.5" customHeight="1">
      <c r="A1161" s="235"/>
      <c r="B1161" s="235"/>
      <c r="C1161" s="236"/>
      <c r="D1161" s="235"/>
      <c r="E1161" s="237"/>
      <c r="F1161" s="152"/>
      <c r="G1161" s="233"/>
      <c r="H1161" s="233"/>
      <c r="I1161" s="233"/>
      <c r="J1161" s="233"/>
      <c r="K1161" s="233"/>
    </row>
    <row r="1162" spans="1:11" s="234" customFormat="1" ht="13.5" customHeight="1">
      <c r="A1162" s="235"/>
      <c r="B1162" s="235"/>
      <c r="C1162" s="236"/>
      <c r="D1162" s="235"/>
      <c r="E1162" s="237"/>
      <c r="F1162" s="152"/>
      <c r="G1162" s="233"/>
      <c r="H1162" s="233"/>
      <c r="I1162" s="233"/>
      <c r="J1162" s="233"/>
      <c r="K1162" s="233"/>
    </row>
    <row r="1163" spans="1:11" s="234" customFormat="1" ht="13.5" customHeight="1">
      <c r="A1163" s="235"/>
      <c r="B1163" s="235"/>
      <c r="C1163" s="236"/>
      <c r="D1163" s="235"/>
      <c r="E1163" s="237"/>
      <c r="F1163" s="152"/>
      <c r="G1163" s="233"/>
      <c r="H1163" s="233"/>
      <c r="I1163" s="233"/>
      <c r="J1163" s="233"/>
      <c r="K1163" s="233"/>
    </row>
    <row r="1164" spans="1:11" s="234" customFormat="1" ht="13.5" customHeight="1">
      <c r="A1164" s="235"/>
      <c r="B1164" s="235"/>
      <c r="C1164" s="236"/>
      <c r="D1164" s="235"/>
      <c r="E1164" s="237"/>
      <c r="F1164" s="152"/>
      <c r="G1164" s="233"/>
      <c r="H1164" s="233"/>
      <c r="I1164" s="233"/>
      <c r="J1164" s="233"/>
      <c r="K1164" s="233"/>
    </row>
    <row r="1165" spans="1:11" s="234" customFormat="1" ht="13.5" customHeight="1">
      <c r="A1165" s="235"/>
      <c r="B1165" s="235"/>
      <c r="C1165" s="236"/>
      <c r="D1165" s="235"/>
      <c r="E1165" s="237"/>
      <c r="F1165" s="152"/>
      <c r="G1165" s="233"/>
      <c r="H1165" s="233"/>
      <c r="I1165" s="233"/>
      <c r="J1165" s="233"/>
      <c r="K1165" s="233"/>
    </row>
    <row r="1166" spans="1:11" s="234" customFormat="1" ht="13.5" customHeight="1">
      <c r="A1166" s="235"/>
      <c r="B1166" s="235"/>
      <c r="C1166" s="236"/>
      <c r="D1166" s="235"/>
      <c r="E1166" s="237"/>
      <c r="F1166" s="152"/>
      <c r="G1166" s="233"/>
      <c r="H1166" s="233"/>
      <c r="I1166" s="233"/>
      <c r="J1166" s="233"/>
      <c r="K1166" s="233"/>
    </row>
    <row r="1167" spans="1:11" s="234" customFormat="1" ht="13.5" customHeight="1">
      <c r="A1167" s="235"/>
      <c r="B1167" s="235"/>
      <c r="C1167" s="236"/>
      <c r="D1167" s="235"/>
      <c r="E1167" s="237"/>
      <c r="F1167" s="152"/>
      <c r="G1167" s="233"/>
      <c r="H1167" s="233"/>
      <c r="I1167" s="233"/>
      <c r="J1167" s="233"/>
      <c r="K1167" s="233"/>
    </row>
    <row r="1168" spans="1:11" s="234" customFormat="1" ht="13.5" customHeight="1">
      <c r="A1168" s="235"/>
      <c r="B1168" s="235"/>
      <c r="C1168" s="236"/>
      <c r="D1168" s="235"/>
      <c r="E1168" s="237"/>
      <c r="F1168" s="152"/>
      <c r="G1168" s="233"/>
      <c r="H1168" s="233"/>
      <c r="I1168" s="233"/>
      <c r="J1168" s="233"/>
      <c r="K1168" s="233"/>
    </row>
    <row r="1169" spans="1:11" s="234" customFormat="1" ht="13.5" customHeight="1">
      <c r="A1169" s="235"/>
      <c r="B1169" s="235"/>
      <c r="C1169" s="236"/>
      <c r="D1169" s="235"/>
      <c r="E1169" s="237"/>
      <c r="F1169" s="152"/>
      <c r="G1169" s="233"/>
      <c r="H1169" s="233"/>
      <c r="I1169" s="233"/>
      <c r="J1169" s="233"/>
      <c r="K1169" s="233"/>
    </row>
    <row r="1170" spans="1:11" s="234" customFormat="1" ht="13.5" customHeight="1">
      <c r="A1170" s="235"/>
      <c r="B1170" s="235"/>
      <c r="C1170" s="236"/>
      <c r="D1170" s="235"/>
      <c r="E1170" s="237"/>
      <c r="F1170" s="152"/>
      <c r="G1170" s="233"/>
      <c r="H1170" s="233"/>
      <c r="I1170" s="233"/>
      <c r="J1170" s="233"/>
      <c r="K1170" s="233"/>
    </row>
    <row r="1171" spans="1:11" s="234" customFormat="1" ht="13.5" customHeight="1">
      <c r="A1171" s="235"/>
      <c r="B1171" s="235"/>
      <c r="C1171" s="236"/>
      <c r="D1171" s="235"/>
      <c r="E1171" s="237"/>
      <c r="F1171" s="152"/>
      <c r="G1171" s="233"/>
      <c r="H1171" s="233"/>
      <c r="I1171" s="233"/>
      <c r="J1171" s="233"/>
      <c r="K1171" s="233"/>
    </row>
    <row r="1172" spans="1:11" s="234" customFormat="1" ht="13.5" customHeight="1">
      <c r="A1172" s="235"/>
      <c r="B1172" s="235"/>
      <c r="C1172" s="236"/>
      <c r="D1172" s="235"/>
      <c r="E1172" s="237"/>
      <c r="F1172" s="152"/>
      <c r="G1172" s="233"/>
      <c r="H1172" s="233"/>
      <c r="I1172" s="233"/>
      <c r="J1172" s="233"/>
      <c r="K1172" s="233"/>
    </row>
    <row r="1173" spans="1:11" s="234" customFormat="1" ht="13.5" customHeight="1">
      <c r="A1173" s="235"/>
      <c r="B1173" s="235"/>
      <c r="C1173" s="236"/>
      <c r="D1173" s="235"/>
      <c r="E1173" s="237"/>
      <c r="F1173" s="152"/>
      <c r="G1173" s="233"/>
      <c r="H1173" s="233"/>
      <c r="I1173" s="233"/>
      <c r="J1173" s="233"/>
      <c r="K1173" s="233"/>
    </row>
    <row r="1174" spans="1:11" s="234" customFormat="1" ht="13.5" customHeight="1">
      <c r="A1174" s="235"/>
      <c r="B1174" s="235"/>
      <c r="C1174" s="236"/>
      <c r="D1174" s="235"/>
      <c r="E1174" s="237"/>
      <c r="F1174" s="152"/>
      <c r="G1174" s="233"/>
      <c r="H1174" s="233"/>
      <c r="I1174" s="233"/>
      <c r="J1174" s="233"/>
      <c r="K1174" s="233"/>
    </row>
    <row r="1175" spans="1:11" s="234" customFormat="1" ht="13.5" customHeight="1">
      <c r="A1175" s="235"/>
      <c r="B1175" s="235"/>
      <c r="C1175" s="236"/>
      <c r="D1175" s="235"/>
      <c r="E1175" s="237"/>
      <c r="F1175" s="152"/>
      <c r="G1175" s="233"/>
      <c r="H1175" s="233"/>
      <c r="I1175" s="233"/>
      <c r="J1175" s="233"/>
      <c r="K1175" s="233"/>
    </row>
    <row r="1176" spans="1:11" s="234" customFormat="1" ht="13.5" customHeight="1">
      <c r="A1176" s="235"/>
      <c r="B1176" s="235"/>
      <c r="C1176" s="236"/>
      <c r="D1176" s="235"/>
      <c r="E1176" s="237"/>
      <c r="F1176" s="152"/>
      <c r="G1176" s="233"/>
      <c r="H1176" s="233"/>
      <c r="I1176" s="233"/>
      <c r="J1176" s="233"/>
      <c r="K1176" s="233"/>
    </row>
    <row r="1177" spans="1:11" s="234" customFormat="1" ht="13.5" customHeight="1">
      <c r="A1177" s="235"/>
      <c r="B1177" s="235"/>
      <c r="C1177" s="236"/>
      <c r="D1177" s="235"/>
      <c r="E1177" s="237"/>
      <c r="F1177" s="152"/>
      <c r="G1177" s="233"/>
      <c r="H1177" s="233"/>
      <c r="I1177" s="233"/>
      <c r="J1177" s="233"/>
      <c r="K1177" s="233"/>
    </row>
    <row r="1178" spans="1:11" s="234" customFormat="1" ht="13.5" customHeight="1">
      <c r="A1178" s="235"/>
      <c r="B1178" s="235"/>
      <c r="C1178" s="236"/>
      <c r="D1178" s="235"/>
      <c r="E1178" s="237"/>
      <c r="F1178" s="152"/>
      <c r="G1178" s="233"/>
      <c r="H1178" s="233"/>
      <c r="I1178" s="233"/>
      <c r="J1178" s="233"/>
      <c r="K1178" s="233"/>
    </row>
    <row r="1179" spans="1:11" s="234" customFormat="1" ht="13.5" customHeight="1">
      <c r="A1179" s="235"/>
      <c r="B1179" s="235"/>
      <c r="C1179" s="236"/>
      <c r="D1179" s="235"/>
      <c r="E1179" s="237"/>
      <c r="F1179" s="152"/>
      <c r="G1179" s="233"/>
      <c r="H1179" s="233"/>
      <c r="I1179" s="233"/>
      <c r="J1179" s="233"/>
      <c r="K1179" s="233"/>
    </row>
    <row r="1180" spans="1:11" s="234" customFormat="1" ht="13.5" customHeight="1">
      <c r="A1180" s="235"/>
      <c r="B1180" s="235"/>
      <c r="C1180" s="236"/>
      <c r="D1180" s="235"/>
      <c r="E1180" s="237"/>
      <c r="F1180" s="152"/>
      <c r="G1180" s="233"/>
      <c r="H1180" s="233"/>
      <c r="I1180" s="233"/>
      <c r="J1180" s="233"/>
      <c r="K1180" s="233"/>
    </row>
    <row r="1181" spans="1:11" s="234" customFormat="1" ht="13.5" customHeight="1">
      <c r="A1181" s="235"/>
      <c r="B1181" s="235"/>
      <c r="C1181" s="236"/>
      <c r="D1181" s="235"/>
      <c r="E1181" s="237"/>
      <c r="F1181" s="152"/>
      <c r="G1181" s="233"/>
      <c r="H1181" s="233"/>
      <c r="I1181" s="233"/>
      <c r="J1181" s="233"/>
      <c r="K1181" s="233"/>
    </row>
    <row r="1182" spans="1:11" s="234" customFormat="1" ht="13.5" customHeight="1">
      <c r="A1182" s="235"/>
      <c r="B1182" s="235"/>
      <c r="C1182" s="236"/>
      <c r="D1182" s="235"/>
      <c r="E1182" s="237"/>
      <c r="F1182" s="152"/>
      <c r="G1182" s="233"/>
      <c r="H1182" s="233"/>
      <c r="I1182" s="233"/>
      <c r="J1182" s="233"/>
      <c r="K1182" s="233"/>
    </row>
    <row r="1183" spans="1:11" s="234" customFormat="1" ht="13.5" customHeight="1">
      <c r="A1183" s="235"/>
      <c r="B1183" s="235"/>
      <c r="C1183" s="236"/>
      <c r="D1183" s="235"/>
      <c r="E1183" s="237"/>
      <c r="F1183" s="152"/>
      <c r="G1183" s="233"/>
      <c r="H1183" s="233"/>
      <c r="I1183" s="233"/>
      <c r="J1183" s="233"/>
      <c r="K1183" s="233"/>
    </row>
    <row r="1184" spans="1:11" s="234" customFormat="1" ht="13.5" customHeight="1">
      <c r="A1184" s="235"/>
      <c r="B1184" s="235"/>
      <c r="C1184" s="236"/>
      <c r="D1184" s="235"/>
      <c r="E1184" s="237"/>
      <c r="F1184" s="152"/>
      <c r="G1184" s="233"/>
      <c r="H1184" s="233"/>
      <c r="I1184" s="233"/>
      <c r="J1184" s="233"/>
      <c r="K1184" s="233"/>
    </row>
    <row r="1185" spans="1:11" s="234" customFormat="1" ht="13.5" customHeight="1">
      <c r="A1185" s="235"/>
      <c r="B1185" s="235"/>
      <c r="C1185" s="236"/>
      <c r="D1185" s="235"/>
      <c r="E1185" s="237"/>
      <c r="F1185" s="152"/>
      <c r="G1185" s="233"/>
      <c r="H1185" s="233"/>
      <c r="I1185" s="233"/>
      <c r="J1185" s="233"/>
      <c r="K1185" s="233"/>
    </row>
    <row r="1186" spans="1:11" s="234" customFormat="1" ht="13.5" customHeight="1">
      <c r="A1186" s="235"/>
      <c r="B1186" s="235"/>
      <c r="C1186" s="236"/>
      <c r="D1186" s="235"/>
      <c r="E1186" s="237"/>
      <c r="F1186" s="152"/>
      <c r="G1186" s="233"/>
      <c r="H1186" s="233"/>
      <c r="I1186" s="233"/>
      <c r="J1186" s="233"/>
      <c r="K1186" s="233"/>
    </row>
    <row r="1187" spans="1:11" s="234" customFormat="1" ht="13.5" customHeight="1">
      <c r="A1187" s="235"/>
      <c r="B1187" s="235"/>
      <c r="C1187" s="236"/>
      <c r="D1187" s="235"/>
      <c r="E1187" s="237"/>
      <c r="F1187" s="152"/>
      <c r="G1187" s="233"/>
      <c r="H1187" s="233"/>
      <c r="I1187" s="233"/>
      <c r="J1187" s="233"/>
      <c r="K1187" s="233"/>
    </row>
    <row r="1188" spans="1:11" s="234" customFormat="1" ht="13.5" customHeight="1">
      <c r="A1188" s="235"/>
      <c r="B1188" s="235"/>
      <c r="C1188" s="236"/>
      <c r="D1188" s="235"/>
      <c r="E1188" s="237"/>
      <c r="F1188" s="152"/>
      <c r="G1188" s="233"/>
      <c r="H1188" s="233"/>
      <c r="I1188" s="233"/>
      <c r="J1188" s="233"/>
      <c r="K1188" s="233"/>
    </row>
    <row r="1189" spans="1:11" s="234" customFormat="1" ht="13.5" customHeight="1">
      <c r="A1189" s="235"/>
      <c r="B1189" s="235"/>
      <c r="C1189" s="236"/>
      <c r="D1189" s="235"/>
      <c r="E1189" s="237"/>
      <c r="F1189" s="152"/>
      <c r="G1189" s="233"/>
      <c r="H1189" s="233"/>
      <c r="I1189" s="233"/>
      <c r="J1189" s="233"/>
      <c r="K1189" s="233"/>
    </row>
    <row r="1190" spans="1:11" s="234" customFormat="1" ht="13.5" customHeight="1">
      <c r="A1190" s="235"/>
      <c r="B1190" s="235"/>
      <c r="C1190" s="236"/>
      <c r="D1190" s="235"/>
      <c r="E1190" s="237"/>
      <c r="F1190" s="152"/>
      <c r="G1190" s="233"/>
      <c r="H1190" s="233"/>
      <c r="I1190" s="233"/>
      <c r="J1190" s="233"/>
      <c r="K1190" s="233"/>
    </row>
    <row r="1191" spans="1:11" s="234" customFormat="1" ht="13.5" customHeight="1">
      <c r="A1191" s="235"/>
      <c r="B1191" s="235"/>
      <c r="C1191" s="236"/>
      <c r="D1191" s="235"/>
      <c r="E1191" s="237"/>
      <c r="F1191" s="152"/>
      <c r="G1191" s="233"/>
      <c r="H1191" s="233"/>
      <c r="I1191" s="233"/>
      <c r="J1191" s="233"/>
      <c r="K1191" s="233"/>
    </row>
    <row r="1192" spans="1:11" s="234" customFormat="1" ht="13.5" customHeight="1">
      <c r="A1192" s="235"/>
      <c r="B1192" s="235"/>
      <c r="C1192" s="236"/>
      <c r="D1192" s="235"/>
      <c r="E1192" s="237"/>
      <c r="F1192" s="152"/>
      <c r="G1192" s="233"/>
      <c r="H1192" s="233"/>
      <c r="I1192" s="233"/>
      <c r="J1192" s="233"/>
      <c r="K1192" s="233"/>
    </row>
    <row r="1193" spans="1:11" s="234" customFormat="1" ht="13.5" customHeight="1">
      <c r="A1193" s="235"/>
      <c r="B1193" s="235"/>
      <c r="C1193" s="236"/>
      <c r="D1193" s="235"/>
      <c r="E1193" s="237"/>
      <c r="F1193" s="152"/>
      <c r="G1193" s="233"/>
      <c r="H1193" s="233"/>
      <c r="I1193" s="233"/>
      <c r="J1193" s="233"/>
      <c r="K1193" s="233"/>
    </row>
    <row r="1194" spans="1:11" s="234" customFormat="1" ht="13.5" customHeight="1">
      <c r="A1194" s="235"/>
      <c r="B1194" s="235"/>
      <c r="C1194" s="236"/>
      <c r="D1194" s="235"/>
      <c r="E1194" s="237"/>
      <c r="F1194" s="152"/>
      <c r="G1194" s="233"/>
      <c r="H1194" s="233"/>
      <c r="I1194" s="233"/>
      <c r="J1194" s="233"/>
      <c r="K1194" s="233"/>
    </row>
    <row r="1195" spans="1:11" s="234" customFormat="1" ht="13.5" customHeight="1">
      <c r="A1195" s="235"/>
      <c r="B1195" s="235"/>
      <c r="C1195" s="236"/>
      <c r="D1195" s="235"/>
      <c r="E1195" s="237"/>
      <c r="F1195" s="152"/>
      <c r="G1195" s="233"/>
      <c r="H1195" s="233"/>
      <c r="I1195" s="233"/>
      <c r="J1195" s="233"/>
      <c r="K1195" s="233"/>
    </row>
    <row r="1196" spans="1:11" s="234" customFormat="1" ht="13.5" customHeight="1">
      <c r="A1196" s="235"/>
      <c r="B1196" s="235"/>
      <c r="C1196" s="236"/>
      <c r="D1196" s="235"/>
      <c r="E1196" s="237"/>
      <c r="F1196" s="152"/>
      <c r="G1196" s="233"/>
      <c r="H1196" s="233"/>
      <c r="I1196" s="233"/>
      <c r="J1196" s="233"/>
      <c r="K1196" s="233"/>
    </row>
    <row r="1197" spans="1:11" s="234" customFormat="1" ht="13.5" customHeight="1">
      <c r="A1197" s="235"/>
      <c r="B1197" s="235"/>
      <c r="C1197" s="236"/>
      <c r="D1197" s="235"/>
      <c r="E1197" s="237"/>
      <c r="F1197" s="152"/>
      <c r="G1197" s="233"/>
      <c r="H1197" s="233"/>
      <c r="I1197" s="233"/>
      <c r="J1197" s="233"/>
      <c r="K1197" s="233"/>
    </row>
    <row r="1198" spans="1:11" s="234" customFormat="1" ht="13.5" customHeight="1">
      <c r="A1198" s="235"/>
      <c r="B1198" s="235"/>
      <c r="C1198" s="236"/>
      <c r="D1198" s="235"/>
      <c r="E1198" s="237"/>
      <c r="F1198" s="152"/>
      <c r="G1198" s="233"/>
      <c r="H1198" s="233"/>
      <c r="I1198" s="233"/>
      <c r="J1198" s="233"/>
      <c r="K1198" s="233"/>
    </row>
    <row r="1199" spans="1:11" s="234" customFormat="1" ht="13.5" customHeight="1">
      <c r="A1199" s="235"/>
      <c r="B1199" s="235"/>
      <c r="C1199" s="236"/>
      <c r="D1199" s="235"/>
      <c r="E1199" s="237"/>
      <c r="F1199" s="152"/>
      <c r="G1199" s="233"/>
      <c r="H1199" s="233"/>
      <c r="I1199" s="233"/>
      <c r="J1199" s="233"/>
      <c r="K1199" s="233"/>
    </row>
    <row r="1200" spans="1:11" s="234" customFormat="1" ht="13.5" customHeight="1">
      <c r="A1200" s="235"/>
      <c r="B1200" s="235"/>
      <c r="C1200" s="236"/>
      <c r="D1200" s="235"/>
      <c r="E1200" s="237"/>
      <c r="F1200" s="152"/>
      <c r="G1200" s="233"/>
      <c r="H1200" s="233"/>
      <c r="I1200" s="233"/>
      <c r="J1200" s="233"/>
      <c r="K1200" s="233"/>
    </row>
    <row r="1201" spans="1:11" s="234" customFormat="1" ht="13.5" customHeight="1">
      <c r="A1201" s="235"/>
      <c r="B1201" s="235"/>
      <c r="C1201" s="236"/>
      <c r="D1201" s="235"/>
      <c r="E1201" s="237"/>
      <c r="F1201" s="152"/>
      <c r="G1201" s="233"/>
      <c r="H1201" s="233"/>
      <c r="I1201" s="233"/>
      <c r="J1201" s="233"/>
      <c r="K1201" s="233"/>
    </row>
    <row r="1202" spans="1:11" s="234" customFormat="1" ht="13.5" customHeight="1">
      <c r="A1202" s="235"/>
      <c r="B1202" s="235"/>
      <c r="C1202" s="236"/>
      <c r="D1202" s="235"/>
      <c r="E1202" s="237"/>
      <c r="F1202" s="152"/>
      <c r="G1202" s="233"/>
      <c r="H1202" s="233"/>
      <c r="I1202" s="233"/>
      <c r="J1202" s="233"/>
      <c r="K1202" s="233"/>
    </row>
    <row r="1203" spans="1:11" s="234" customFormat="1" ht="13.5" customHeight="1">
      <c r="A1203" s="235"/>
      <c r="B1203" s="235"/>
      <c r="C1203" s="236"/>
      <c r="D1203" s="235"/>
      <c r="E1203" s="237"/>
      <c r="F1203" s="152"/>
      <c r="G1203" s="233"/>
      <c r="H1203" s="233"/>
      <c r="I1203" s="233"/>
      <c r="J1203" s="233"/>
      <c r="K1203" s="233"/>
    </row>
    <row r="1204" spans="1:11" s="234" customFormat="1" ht="13.5" customHeight="1">
      <c r="A1204" s="235"/>
      <c r="B1204" s="235"/>
      <c r="C1204" s="236"/>
      <c r="D1204" s="235"/>
      <c r="E1204" s="237"/>
      <c r="F1204" s="152"/>
      <c r="G1204" s="233"/>
      <c r="H1204" s="233"/>
      <c r="I1204" s="233"/>
      <c r="J1204" s="233"/>
      <c r="K1204" s="233"/>
    </row>
    <row r="1205" spans="1:11" s="234" customFormat="1" ht="13.5" customHeight="1">
      <c r="A1205" s="235"/>
      <c r="B1205" s="235"/>
      <c r="C1205" s="236"/>
      <c r="D1205" s="235"/>
      <c r="E1205" s="237"/>
      <c r="F1205" s="152"/>
      <c r="G1205" s="233"/>
      <c r="H1205" s="233"/>
      <c r="I1205" s="233"/>
      <c r="J1205" s="233"/>
      <c r="K1205" s="233"/>
    </row>
    <row r="1206" spans="1:11" s="234" customFormat="1" ht="13.5" customHeight="1">
      <c r="A1206" s="235"/>
      <c r="B1206" s="235"/>
      <c r="C1206" s="236"/>
      <c r="D1206" s="235"/>
      <c r="E1206" s="237"/>
      <c r="F1206" s="152"/>
      <c r="G1206" s="233"/>
      <c r="H1206" s="233"/>
      <c r="I1206" s="233"/>
      <c r="J1206" s="233"/>
      <c r="K1206" s="233"/>
    </row>
    <row r="1207" spans="1:11" s="234" customFormat="1" ht="13.5" customHeight="1">
      <c r="A1207" s="235"/>
      <c r="B1207" s="235"/>
      <c r="C1207" s="236"/>
      <c r="D1207" s="235"/>
      <c r="E1207" s="237"/>
      <c r="F1207" s="152"/>
      <c r="G1207" s="233"/>
      <c r="H1207" s="233"/>
      <c r="I1207" s="233"/>
      <c r="J1207" s="233"/>
      <c r="K1207" s="233"/>
    </row>
    <row r="1208" spans="1:11" s="234" customFormat="1" ht="13.5" customHeight="1">
      <c r="A1208" s="235"/>
      <c r="B1208" s="235"/>
      <c r="C1208" s="236"/>
      <c r="D1208" s="235"/>
      <c r="E1208" s="237"/>
      <c r="F1208" s="152"/>
      <c r="G1208" s="233"/>
      <c r="H1208" s="233"/>
      <c r="I1208" s="233"/>
      <c r="J1208" s="233"/>
      <c r="K1208" s="233"/>
    </row>
    <row r="1209" spans="1:11" s="234" customFormat="1" ht="13.5" customHeight="1">
      <c r="A1209" s="235"/>
      <c r="B1209" s="235"/>
      <c r="C1209" s="236"/>
      <c r="D1209" s="235"/>
      <c r="E1209" s="237"/>
      <c r="F1209" s="152"/>
      <c r="G1209" s="233"/>
      <c r="H1209" s="233"/>
      <c r="I1209" s="233"/>
      <c r="J1209" s="233"/>
      <c r="K1209" s="233"/>
    </row>
    <row r="1210" spans="1:11" s="234" customFormat="1" ht="13.5" customHeight="1">
      <c r="A1210" s="235"/>
      <c r="B1210" s="235"/>
      <c r="C1210" s="236"/>
      <c r="D1210" s="235"/>
      <c r="E1210" s="237"/>
      <c r="F1210" s="152"/>
      <c r="G1210" s="233"/>
      <c r="H1210" s="233"/>
      <c r="I1210" s="233"/>
      <c r="J1210" s="233"/>
      <c r="K1210" s="233"/>
    </row>
    <row r="1211" spans="1:11" s="234" customFormat="1" ht="13.5" customHeight="1">
      <c r="A1211" s="235"/>
      <c r="B1211" s="235"/>
      <c r="C1211" s="236"/>
      <c r="D1211" s="235"/>
      <c r="E1211" s="237"/>
      <c r="F1211" s="152"/>
      <c r="G1211" s="233"/>
      <c r="H1211" s="233"/>
      <c r="I1211" s="233"/>
      <c r="J1211" s="233"/>
      <c r="K1211" s="233"/>
    </row>
    <row r="1212" spans="1:11" s="234" customFormat="1" ht="13.5" customHeight="1">
      <c r="A1212" s="235"/>
      <c r="B1212" s="235"/>
      <c r="C1212" s="236"/>
      <c r="D1212" s="235"/>
      <c r="E1212" s="237"/>
      <c r="F1212" s="152"/>
      <c r="G1212" s="233"/>
      <c r="H1212" s="233"/>
      <c r="I1212" s="233"/>
      <c r="J1212" s="233"/>
      <c r="K1212" s="233"/>
    </row>
    <row r="1213" spans="1:11" s="234" customFormat="1" ht="13.5" customHeight="1">
      <c r="A1213" s="235"/>
      <c r="B1213" s="235"/>
      <c r="C1213" s="236"/>
      <c r="D1213" s="235"/>
      <c r="E1213" s="237"/>
      <c r="F1213" s="152"/>
      <c r="G1213" s="233"/>
      <c r="H1213" s="233"/>
      <c r="I1213" s="233"/>
      <c r="J1213" s="233"/>
      <c r="K1213" s="233"/>
    </row>
    <row r="1214" spans="1:11" s="234" customFormat="1" ht="13.5" customHeight="1">
      <c r="A1214" s="235"/>
      <c r="B1214" s="235"/>
      <c r="C1214" s="236"/>
      <c r="D1214" s="235"/>
      <c r="E1214" s="237"/>
      <c r="F1214" s="152"/>
      <c r="G1214" s="233"/>
      <c r="H1214" s="233"/>
      <c r="I1214" s="233"/>
      <c r="J1214" s="233"/>
      <c r="K1214" s="233"/>
    </row>
    <row r="1215" spans="1:11" s="234" customFormat="1" ht="13.5" customHeight="1">
      <c r="A1215" s="235"/>
      <c r="B1215" s="235"/>
      <c r="C1215" s="236"/>
      <c r="D1215" s="235"/>
      <c r="E1215" s="237"/>
      <c r="F1215" s="152"/>
      <c r="G1215" s="233"/>
      <c r="H1215" s="233"/>
      <c r="I1215" s="233"/>
      <c r="J1215" s="233"/>
      <c r="K1215" s="233"/>
    </row>
    <row r="1216" spans="1:11" s="234" customFormat="1" ht="13.5" customHeight="1">
      <c r="A1216" s="235"/>
      <c r="B1216" s="235"/>
      <c r="C1216" s="236"/>
      <c r="D1216" s="235"/>
      <c r="E1216" s="237"/>
      <c r="F1216" s="152"/>
      <c r="G1216" s="233"/>
      <c r="H1216" s="233"/>
      <c r="I1216" s="233"/>
      <c r="J1216" s="233"/>
      <c r="K1216" s="233"/>
    </row>
    <row r="1217" spans="1:11" s="234" customFormat="1" ht="13.5" customHeight="1">
      <c r="A1217" s="235"/>
      <c r="B1217" s="235"/>
      <c r="C1217" s="236"/>
      <c r="D1217" s="235"/>
      <c r="E1217" s="237"/>
      <c r="F1217" s="152"/>
      <c r="G1217" s="233"/>
      <c r="H1217" s="233"/>
      <c r="I1217" s="233"/>
      <c r="J1217" s="233"/>
      <c r="K1217" s="233"/>
    </row>
    <row r="1218" spans="1:11" s="234" customFormat="1" ht="13.5" customHeight="1">
      <c r="A1218" s="235"/>
      <c r="B1218" s="235"/>
      <c r="C1218" s="236"/>
      <c r="D1218" s="235"/>
      <c r="E1218" s="237"/>
      <c r="F1218" s="152"/>
      <c r="G1218" s="233"/>
      <c r="H1218" s="233"/>
      <c r="I1218" s="233"/>
      <c r="J1218" s="233"/>
      <c r="K1218" s="233"/>
    </row>
    <row r="1219" spans="1:11" s="234" customFormat="1" ht="13.5" customHeight="1">
      <c r="A1219" s="235"/>
      <c r="B1219" s="235"/>
      <c r="C1219" s="236"/>
      <c r="D1219" s="235"/>
      <c r="E1219" s="237"/>
      <c r="F1219" s="152"/>
      <c r="G1219" s="233"/>
      <c r="H1219" s="233"/>
      <c r="I1219" s="233"/>
      <c r="J1219" s="233"/>
      <c r="K1219" s="233"/>
    </row>
    <row r="1220" spans="1:11" s="234" customFormat="1" ht="13.5" customHeight="1">
      <c r="A1220" s="235"/>
      <c r="B1220" s="235"/>
      <c r="C1220" s="236"/>
      <c r="D1220" s="235"/>
      <c r="E1220" s="237"/>
      <c r="F1220" s="152"/>
      <c r="G1220" s="233"/>
      <c r="H1220" s="233"/>
      <c r="I1220" s="233"/>
      <c r="J1220" s="233"/>
      <c r="K1220" s="233"/>
    </row>
    <row r="1221" spans="1:11" s="234" customFormat="1" ht="13.5" customHeight="1">
      <c r="A1221" s="235"/>
      <c r="B1221" s="235"/>
      <c r="C1221" s="236"/>
      <c r="D1221" s="235"/>
      <c r="E1221" s="237"/>
      <c r="F1221" s="152"/>
      <c r="G1221" s="233"/>
      <c r="H1221" s="233"/>
      <c r="I1221" s="233"/>
      <c r="J1221" s="233"/>
      <c r="K1221" s="233"/>
    </row>
    <row r="1222" spans="1:11" s="234" customFormat="1" ht="13.5" customHeight="1">
      <c r="A1222" s="235"/>
      <c r="B1222" s="235"/>
      <c r="C1222" s="236"/>
      <c r="D1222" s="235"/>
      <c r="E1222" s="237"/>
      <c r="F1222" s="152"/>
      <c r="G1222" s="233"/>
      <c r="H1222" s="233"/>
      <c r="I1222" s="233"/>
      <c r="J1222" s="233"/>
      <c r="K1222" s="233"/>
    </row>
    <row r="1223" spans="1:11" s="234" customFormat="1" ht="13.5" customHeight="1">
      <c r="A1223" s="235"/>
      <c r="B1223" s="235"/>
      <c r="C1223" s="236"/>
      <c r="D1223" s="235"/>
      <c r="E1223" s="237"/>
      <c r="F1223" s="152"/>
      <c r="G1223" s="233"/>
      <c r="H1223" s="233"/>
      <c r="I1223" s="233"/>
      <c r="J1223" s="233"/>
      <c r="K1223" s="233"/>
    </row>
    <row r="1224" spans="1:11" s="234" customFormat="1" ht="13.5" customHeight="1">
      <c r="A1224" s="235"/>
      <c r="B1224" s="235"/>
      <c r="C1224" s="236"/>
      <c r="D1224" s="235"/>
      <c r="E1224" s="237"/>
      <c r="F1224" s="152"/>
      <c r="G1224" s="233"/>
      <c r="H1224" s="233"/>
      <c r="I1224" s="233"/>
      <c r="J1224" s="233"/>
      <c r="K1224" s="233"/>
    </row>
    <row r="1225" spans="1:11" s="234" customFormat="1" ht="13.5" customHeight="1">
      <c r="A1225" s="235"/>
      <c r="B1225" s="235"/>
      <c r="C1225" s="236"/>
      <c r="D1225" s="235"/>
      <c r="E1225" s="237"/>
      <c r="F1225" s="152"/>
      <c r="G1225" s="233"/>
      <c r="H1225" s="233"/>
      <c r="I1225" s="233"/>
      <c r="J1225" s="233"/>
      <c r="K1225" s="233"/>
    </row>
    <row r="1226" spans="1:11" s="234" customFormat="1" ht="13.5" customHeight="1">
      <c r="A1226" s="235"/>
      <c r="B1226" s="235"/>
      <c r="C1226" s="236"/>
      <c r="D1226" s="235"/>
      <c r="E1226" s="237"/>
      <c r="F1226" s="152"/>
      <c r="G1226" s="233"/>
      <c r="H1226" s="233"/>
      <c r="I1226" s="233"/>
      <c r="J1226" s="233"/>
      <c r="K1226" s="233"/>
    </row>
    <row r="1227" spans="1:11" s="234" customFormat="1" ht="13.5" customHeight="1">
      <c r="A1227" s="235"/>
      <c r="B1227" s="235"/>
      <c r="C1227" s="236"/>
      <c r="D1227" s="235"/>
      <c r="E1227" s="237"/>
      <c r="F1227" s="152"/>
      <c r="G1227" s="233"/>
      <c r="H1227" s="233"/>
      <c r="I1227" s="233"/>
      <c r="J1227" s="233"/>
      <c r="K1227" s="233"/>
    </row>
    <row r="1228" spans="1:11" s="234" customFormat="1" ht="13.5" customHeight="1">
      <c r="A1228" s="235"/>
      <c r="B1228" s="235"/>
      <c r="C1228" s="236"/>
      <c r="D1228" s="235"/>
      <c r="E1228" s="237"/>
      <c r="F1228" s="152"/>
      <c r="G1228" s="233"/>
      <c r="H1228" s="233"/>
      <c r="I1228" s="233"/>
      <c r="J1228" s="233"/>
      <c r="K1228" s="233"/>
    </row>
    <row r="1229" spans="1:11" s="234" customFormat="1" ht="13.5" customHeight="1">
      <c r="A1229" s="235"/>
      <c r="B1229" s="235"/>
      <c r="C1229" s="236"/>
      <c r="D1229" s="235"/>
      <c r="E1229" s="237"/>
      <c r="F1229" s="152"/>
      <c r="G1229" s="233"/>
      <c r="H1229" s="233"/>
      <c r="I1229" s="233"/>
      <c r="J1229" s="233"/>
      <c r="K1229" s="233"/>
    </row>
    <row r="1230" spans="1:11" s="234" customFormat="1" ht="13.5" customHeight="1">
      <c r="A1230" s="235"/>
      <c r="B1230" s="235"/>
      <c r="C1230" s="236"/>
      <c r="D1230" s="235"/>
      <c r="E1230" s="237"/>
      <c r="F1230" s="152"/>
      <c r="G1230" s="233"/>
      <c r="H1230" s="233"/>
      <c r="I1230" s="233"/>
      <c r="J1230" s="233"/>
      <c r="K1230" s="233"/>
    </row>
    <row r="1231" spans="1:11" s="234" customFormat="1" ht="13.5" customHeight="1">
      <c r="A1231" s="235"/>
      <c r="B1231" s="235"/>
      <c r="C1231" s="236"/>
      <c r="D1231" s="235"/>
      <c r="E1231" s="237"/>
      <c r="F1231" s="152"/>
      <c r="G1231" s="233"/>
      <c r="H1231" s="233"/>
      <c r="I1231" s="233"/>
      <c r="J1231" s="233"/>
      <c r="K1231" s="233"/>
    </row>
    <row r="1232" spans="1:11" s="234" customFormat="1" ht="13.5" customHeight="1">
      <c r="A1232" s="235"/>
      <c r="B1232" s="235"/>
      <c r="C1232" s="236"/>
      <c r="D1232" s="235"/>
      <c r="E1232" s="237"/>
      <c r="F1232" s="152"/>
      <c r="G1232" s="233"/>
      <c r="H1232" s="233"/>
      <c r="I1232" s="233"/>
      <c r="J1232" s="233"/>
      <c r="K1232" s="233"/>
    </row>
    <row r="1233" spans="1:11" s="234" customFormat="1" ht="13.5" customHeight="1">
      <c r="A1233" s="235"/>
      <c r="B1233" s="235"/>
      <c r="C1233" s="236"/>
      <c r="D1233" s="235"/>
      <c r="E1233" s="237"/>
      <c r="F1233" s="152"/>
      <c r="G1233" s="233"/>
      <c r="H1233" s="233"/>
      <c r="I1233" s="233"/>
      <c r="J1233" s="233"/>
      <c r="K1233" s="233"/>
    </row>
    <row r="1234" spans="1:11" s="234" customFormat="1" ht="13.5" customHeight="1">
      <c r="A1234" s="235"/>
      <c r="B1234" s="235"/>
      <c r="C1234" s="236"/>
      <c r="D1234" s="235"/>
      <c r="E1234" s="237"/>
      <c r="F1234" s="152"/>
      <c r="G1234" s="233"/>
      <c r="H1234" s="233"/>
      <c r="I1234" s="233"/>
      <c r="J1234" s="233"/>
      <c r="K1234" s="233"/>
    </row>
    <row r="1235" spans="1:11" s="234" customFormat="1" ht="13.5" customHeight="1">
      <c r="A1235" s="235"/>
      <c r="B1235" s="235"/>
      <c r="C1235" s="236"/>
      <c r="D1235" s="235"/>
      <c r="E1235" s="237"/>
      <c r="F1235" s="152"/>
      <c r="G1235" s="233"/>
      <c r="H1235" s="233"/>
      <c r="I1235" s="233"/>
      <c r="J1235" s="233"/>
      <c r="K1235" s="233"/>
    </row>
    <row r="1236" spans="1:11" s="234" customFormat="1" ht="13.5" customHeight="1">
      <c r="A1236" s="235"/>
      <c r="B1236" s="235"/>
      <c r="C1236" s="236"/>
      <c r="D1236" s="235"/>
      <c r="E1236" s="237"/>
      <c r="F1236" s="152"/>
      <c r="G1236" s="233"/>
      <c r="H1236" s="233"/>
      <c r="I1236" s="233"/>
      <c r="J1236" s="233"/>
      <c r="K1236" s="233"/>
    </row>
    <row r="1237" spans="1:11" s="234" customFormat="1" ht="13.5" customHeight="1">
      <c r="A1237" s="235"/>
      <c r="B1237" s="235"/>
      <c r="C1237" s="236"/>
      <c r="D1237" s="235"/>
      <c r="E1237" s="237"/>
      <c r="F1237" s="152"/>
      <c r="G1237" s="233"/>
      <c r="H1237" s="233"/>
      <c r="I1237" s="233"/>
      <c r="J1237" s="233"/>
      <c r="K1237" s="233"/>
    </row>
    <row r="1238" spans="1:11" s="234" customFormat="1" ht="13.5" customHeight="1">
      <c r="A1238" s="235"/>
      <c r="B1238" s="235"/>
      <c r="C1238" s="236"/>
      <c r="D1238" s="235"/>
      <c r="E1238" s="237"/>
      <c r="F1238" s="152"/>
      <c r="G1238" s="233"/>
      <c r="H1238" s="233"/>
      <c r="I1238" s="233"/>
      <c r="J1238" s="233"/>
      <c r="K1238" s="233"/>
    </row>
    <row r="1239" spans="1:11" s="234" customFormat="1" ht="13.5" customHeight="1">
      <c r="A1239" s="235"/>
      <c r="B1239" s="235"/>
      <c r="C1239" s="236"/>
      <c r="D1239" s="235"/>
      <c r="E1239" s="237"/>
      <c r="F1239" s="152"/>
      <c r="G1239" s="233"/>
      <c r="H1239" s="233"/>
      <c r="I1239" s="233"/>
      <c r="J1239" s="233"/>
      <c r="K1239" s="233"/>
    </row>
    <row r="1240" spans="1:11" s="234" customFormat="1" ht="13.5" customHeight="1">
      <c r="A1240" s="235"/>
      <c r="B1240" s="235"/>
      <c r="C1240" s="236"/>
      <c r="D1240" s="235"/>
      <c r="E1240" s="237"/>
      <c r="F1240" s="152"/>
      <c r="G1240" s="233"/>
      <c r="H1240" s="233"/>
      <c r="I1240" s="233"/>
      <c r="J1240" s="233"/>
      <c r="K1240" s="233"/>
    </row>
    <row r="1241" spans="1:11" s="234" customFormat="1" ht="13.5" customHeight="1">
      <c r="A1241" s="235"/>
      <c r="B1241" s="235"/>
      <c r="C1241" s="236"/>
      <c r="D1241" s="235"/>
      <c r="E1241" s="237"/>
      <c r="F1241" s="152"/>
      <c r="G1241" s="233"/>
      <c r="H1241" s="233"/>
      <c r="I1241" s="233"/>
      <c r="J1241" s="233"/>
      <c r="K1241" s="233"/>
    </row>
    <row r="1242" spans="1:11" s="234" customFormat="1" ht="13.5" customHeight="1">
      <c r="A1242" s="235"/>
      <c r="B1242" s="235"/>
      <c r="C1242" s="236"/>
      <c r="D1242" s="235"/>
      <c r="E1242" s="237"/>
      <c r="F1242" s="152"/>
      <c r="G1242" s="233"/>
      <c r="H1242" s="233"/>
      <c r="I1242" s="233"/>
      <c r="J1242" s="233"/>
      <c r="K1242" s="233"/>
    </row>
    <row r="1243" spans="1:11" s="234" customFormat="1" ht="13.5" customHeight="1">
      <c r="A1243" s="235"/>
      <c r="B1243" s="235"/>
      <c r="C1243" s="236"/>
      <c r="D1243" s="235"/>
      <c r="E1243" s="237"/>
      <c r="F1243" s="152"/>
      <c r="G1243" s="233"/>
      <c r="H1243" s="233"/>
      <c r="I1243" s="233"/>
      <c r="J1243" s="233"/>
      <c r="K1243" s="233"/>
    </row>
    <row r="1244" spans="1:11" s="234" customFormat="1" ht="13.5" customHeight="1">
      <c r="A1244" s="235"/>
      <c r="B1244" s="235"/>
      <c r="C1244" s="236"/>
      <c r="D1244" s="235"/>
      <c r="E1244" s="237"/>
      <c r="F1244" s="152"/>
      <c r="G1244" s="233"/>
      <c r="H1244" s="233"/>
      <c r="I1244" s="233"/>
      <c r="J1244" s="233"/>
      <c r="K1244" s="233"/>
    </row>
    <row r="1245" spans="1:11" s="234" customFormat="1" ht="13.5" customHeight="1">
      <c r="A1245" s="235"/>
      <c r="B1245" s="235"/>
      <c r="C1245" s="236"/>
      <c r="D1245" s="235"/>
      <c r="E1245" s="237"/>
      <c r="F1245" s="152"/>
      <c r="G1245" s="233"/>
      <c r="H1245" s="233"/>
      <c r="I1245" s="233"/>
      <c r="J1245" s="233"/>
      <c r="K1245" s="233"/>
    </row>
    <row r="1246" spans="1:11" s="234" customFormat="1" ht="13.5" customHeight="1">
      <c r="A1246" s="235"/>
      <c r="B1246" s="235"/>
      <c r="C1246" s="236"/>
      <c r="D1246" s="235"/>
      <c r="E1246" s="237"/>
      <c r="F1246" s="152"/>
      <c r="G1246" s="233"/>
      <c r="H1246" s="233"/>
      <c r="I1246" s="233"/>
      <c r="J1246" s="233"/>
      <c r="K1246" s="233"/>
    </row>
    <row r="1247" spans="1:11" s="234" customFormat="1" ht="13.5" customHeight="1">
      <c r="A1247" s="235"/>
      <c r="B1247" s="235"/>
      <c r="C1247" s="236"/>
      <c r="D1247" s="235"/>
      <c r="E1247" s="237"/>
      <c r="F1247" s="152"/>
      <c r="G1247" s="233"/>
      <c r="H1247" s="233"/>
      <c r="I1247" s="233"/>
      <c r="J1247" s="233"/>
      <c r="K1247" s="233"/>
    </row>
    <row r="1248" spans="1:11" s="234" customFormat="1" ht="13.5" customHeight="1">
      <c r="A1248" s="235"/>
      <c r="B1248" s="235"/>
      <c r="C1248" s="236"/>
      <c r="D1248" s="235"/>
      <c r="E1248" s="237"/>
      <c r="F1248" s="152"/>
      <c r="G1248" s="233"/>
      <c r="H1248" s="233"/>
      <c r="I1248" s="233"/>
      <c r="J1248" s="233"/>
      <c r="K1248" s="233"/>
    </row>
    <row r="1249" spans="1:11" s="234" customFormat="1" ht="13.5" customHeight="1">
      <c r="A1249" s="235"/>
      <c r="B1249" s="235"/>
      <c r="C1249" s="236"/>
      <c r="D1249" s="235"/>
      <c r="E1249" s="237"/>
      <c r="F1249" s="152"/>
      <c r="G1249" s="233"/>
      <c r="H1249" s="233"/>
      <c r="I1249" s="233"/>
      <c r="J1249" s="233"/>
      <c r="K1249" s="233"/>
    </row>
    <row r="1250" spans="1:11" s="234" customFormat="1" ht="13.5" customHeight="1">
      <c r="A1250" s="235"/>
      <c r="B1250" s="235"/>
      <c r="C1250" s="236"/>
      <c r="D1250" s="235"/>
      <c r="E1250" s="237"/>
      <c r="F1250" s="152"/>
      <c r="G1250" s="233"/>
      <c r="H1250" s="233"/>
      <c r="I1250" s="233"/>
      <c r="J1250" s="233"/>
      <c r="K1250" s="233"/>
    </row>
    <row r="1251" spans="1:11" s="234" customFormat="1" ht="13.5" customHeight="1">
      <c r="A1251" s="235"/>
      <c r="B1251" s="235"/>
      <c r="C1251" s="236"/>
      <c r="D1251" s="235"/>
      <c r="E1251" s="237"/>
      <c r="F1251" s="152"/>
      <c r="G1251" s="233"/>
      <c r="H1251" s="233"/>
      <c r="I1251" s="233"/>
      <c r="J1251" s="233"/>
      <c r="K1251" s="233"/>
    </row>
    <row r="1252" spans="1:11" s="234" customFormat="1" ht="13.5" customHeight="1">
      <c r="A1252" s="235"/>
      <c r="B1252" s="235"/>
      <c r="C1252" s="236"/>
      <c r="D1252" s="235"/>
      <c r="E1252" s="237"/>
      <c r="F1252" s="152"/>
      <c r="G1252" s="233"/>
      <c r="H1252" s="233"/>
      <c r="I1252" s="233"/>
      <c r="J1252" s="233"/>
      <c r="K1252" s="233"/>
    </row>
    <row r="1253" spans="1:11" s="234" customFormat="1" ht="13.5" customHeight="1">
      <c r="A1253" s="235"/>
      <c r="B1253" s="235"/>
      <c r="C1253" s="236"/>
      <c r="D1253" s="235"/>
      <c r="E1253" s="237"/>
      <c r="F1253" s="152"/>
      <c r="G1253" s="233"/>
      <c r="H1253" s="233"/>
      <c r="I1253" s="233"/>
      <c r="J1253" s="233"/>
      <c r="K1253" s="233"/>
    </row>
    <row r="1254" spans="1:11" s="234" customFormat="1" ht="13.5" customHeight="1">
      <c r="A1254" s="235"/>
      <c r="B1254" s="235"/>
      <c r="C1254" s="236"/>
      <c r="D1254" s="235"/>
      <c r="E1254" s="237"/>
      <c r="F1254" s="152"/>
      <c r="G1254" s="233"/>
      <c r="H1254" s="233"/>
      <c r="I1254" s="233"/>
      <c r="J1254" s="233"/>
      <c r="K1254" s="233"/>
    </row>
    <row r="1255" spans="1:11" s="234" customFormat="1" ht="13.5" customHeight="1">
      <c r="A1255" s="235"/>
      <c r="B1255" s="235"/>
      <c r="C1255" s="236"/>
      <c r="D1255" s="235"/>
      <c r="E1255" s="237"/>
      <c r="F1255" s="152"/>
      <c r="G1255" s="233"/>
      <c r="H1255" s="233"/>
      <c r="I1255" s="233"/>
      <c r="J1255" s="233"/>
      <c r="K1255" s="233"/>
    </row>
    <row r="1256" spans="1:11" s="234" customFormat="1" ht="13.5" customHeight="1">
      <c r="A1256" s="235"/>
      <c r="B1256" s="235"/>
      <c r="C1256" s="236"/>
      <c r="D1256" s="235"/>
      <c r="E1256" s="237"/>
      <c r="F1256" s="152"/>
      <c r="G1256" s="233"/>
      <c r="H1256" s="233"/>
      <c r="I1256" s="233"/>
      <c r="J1256" s="233"/>
      <c r="K1256" s="233"/>
    </row>
    <row r="1257" spans="1:11" s="234" customFormat="1" ht="13.5" customHeight="1">
      <c r="A1257" s="235"/>
      <c r="B1257" s="235"/>
      <c r="C1257" s="236"/>
      <c r="D1257" s="235"/>
      <c r="E1257" s="237"/>
      <c r="F1257" s="152"/>
      <c r="G1257" s="233"/>
      <c r="H1257" s="233"/>
      <c r="I1257" s="233"/>
      <c r="J1257" s="233"/>
      <c r="K1257" s="233"/>
    </row>
    <row r="1258" spans="1:11" s="234" customFormat="1" ht="13.5" customHeight="1">
      <c r="A1258" s="235"/>
      <c r="B1258" s="235"/>
      <c r="C1258" s="236"/>
      <c r="D1258" s="235"/>
      <c r="E1258" s="237"/>
      <c r="F1258" s="152"/>
      <c r="G1258" s="233"/>
      <c r="H1258" s="233"/>
      <c r="I1258" s="233"/>
      <c r="J1258" s="233"/>
      <c r="K1258" s="233"/>
    </row>
    <row r="1259" spans="1:11" s="234" customFormat="1" ht="13.5" customHeight="1">
      <c r="A1259" s="235"/>
      <c r="B1259" s="235"/>
      <c r="C1259" s="236"/>
      <c r="D1259" s="235"/>
      <c r="E1259" s="237"/>
      <c r="F1259" s="152"/>
      <c r="G1259" s="233"/>
      <c r="H1259" s="233"/>
      <c r="I1259" s="233"/>
      <c r="J1259" s="233"/>
      <c r="K1259" s="233"/>
    </row>
    <row r="1260" spans="1:11" s="234" customFormat="1" ht="13.5" customHeight="1">
      <c r="A1260" s="235"/>
      <c r="B1260" s="235"/>
      <c r="C1260" s="236"/>
      <c r="D1260" s="235"/>
      <c r="E1260" s="237"/>
      <c r="F1260" s="152"/>
      <c r="G1260" s="233"/>
      <c r="H1260" s="233"/>
      <c r="I1260" s="233"/>
      <c r="J1260" s="233"/>
      <c r="K1260" s="233"/>
    </row>
    <row r="1261" spans="1:11" s="234" customFormat="1" ht="13.5" customHeight="1">
      <c r="A1261" s="235"/>
      <c r="B1261" s="235"/>
      <c r="C1261" s="236"/>
      <c r="D1261" s="235"/>
      <c r="E1261" s="237"/>
      <c r="F1261" s="152"/>
      <c r="G1261" s="233"/>
      <c r="H1261" s="233"/>
      <c r="I1261" s="233"/>
      <c r="J1261" s="233"/>
      <c r="K1261" s="233"/>
    </row>
    <row r="1262" spans="1:11" s="234" customFormat="1" ht="13.5" customHeight="1">
      <c r="A1262" s="235"/>
      <c r="B1262" s="235"/>
      <c r="C1262" s="236"/>
      <c r="D1262" s="235"/>
      <c r="E1262" s="237"/>
      <c r="F1262" s="152"/>
      <c r="G1262" s="233"/>
      <c r="H1262" s="233"/>
      <c r="I1262" s="233"/>
      <c r="J1262" s="233"/>
      <c r="K1262" s="233"/>
    </row>
    <row r="1263" spans="1:11" s="234" customFormat="1" ht="13.5" customHeight="1">
      <c r="A1263" s="235"/>
      <c r="B1263" s="235"/>
      <c r="C1263" s="236"/>
      <c r="D1263" s="235"/>
      <c r="E1263" s="237"/>
      <c r="F1263" s="152"/>
      <c r="G1263" s="233"/>
      <c r="H1263" s="233"/>
      <c r="I1263" s="233"/>
      <c r="J1263" s="233"/>
      <c r="K1263" s="233"/>
    </row>
    <row r="1264" spans="1:11" s="234" customFormat="1" ht="13.5" customHeight="1">
      <c r="A1264" s="235"/>
      <c r="B1264" s="235"/>
      <c r="C1264" s="236"/>
      <c r="D1264" s="235"/>
      <c r="E1264" s="237"/>
      <c r="F1264" s="152"/>
      <c r="G1264" s="233"/>
      <c r="H1264" s="233"/>
      <c r="I1264" s="233"/>
      <c r="J1264" s="233"/>
      <c r="K1264" s="233"/>
    </row>
    <row r="1265" spans="1:11" s="234" customFormat="1" ht="13.5" customHeight="1">
      <c r="A1265" s="235"/>
      <c r="B1265" s="235"/>
      <c r="C1265" s="236"/>
      <c r="D1265" s="235"/>
      <c r="E1265" s="237"/>
      <c r="F1265" s="152"/>
      <c r="G1265" s="233"/>
      <c r="H1265" s="233"/>
      <c r="I1265" s="233"/>
      <c r="J1265" s="233"/>
      <c r="K1265" s="233"/>
    </row>
    <row r="1266" spans="1:11" s="234" customFormat="1" ht="13.5" customHeight="1">
      <c r="A1266" s="235"/>
      <c r="B1266" s="235"/>
      <c r="C1266" s="236"/>
      <c r="D1266" s="235"/>
      <c r="E1266" s="237"/>
      <c r="F1266" s="152"/>
      <c r="G1266" s="233"/>
      <c r="H1266" s="233"/>
      <c r="I1266" s="233"/>
      <c r="J1266" s="233"/>
      <c r="K1266" s="233"/>
    </row>
    <row r="1267" spans="1:11" s="234" customFormat="1" ht="13.5" customHeight="1">
      <c r="A1267" s="235"/>
      <c r="B1267" s="235"/>
      <c r="C1267" s="236"/>
      <c r="D1267" s="235"/>
      <c r="E1267" s="237"/>
      <c r="F1267" s="152"/>
      <c r="G1267" s="233"/>
      <c r="H1267" s="233"/>
      <c r="I1267" s="233"/>
      <c r="J1267" s="233"/>
      <c r="K1267" s="233"/>
    </row>
    <row r="1268" spans="1:11" s="234" customFormat="1" ht="13.5" customHeight="1">
      <c r="A1268" s="235"/>
      <c r="B1268" s="235"/>
      <c r="C1268" s="236"/>
      <c r="D1268" s="235"/>
      <c r="E1268" s="237"/>
      <c r="F1268" s="152"/>
      <c r="G1268" s="233"/>
      <c r="H1268" s="233"/>
      <c r="I1268" s="233"/>
      <c r="J1268" s="233"/>
      <c r="K1268" s="233"/>
    </row>
    <row r="1269" spans="1:11" s="234" customFormat="1" ht="13.5" customHeight="1">
      <c r="A1269" s="235"/>
      <c r="B1269" s="235"/>
      <c r="C1269" s="236"/>
      <c r="D1269" s="235"/>
      <c r="E1269" s="237"/>
      <c r="F1269" s="152"/>
      <c r="G1269" s="233"/>
      <c r="H1269" s="233"/>
      <c r="I1269" s="233"/>
      <c r="J1269" s="233"/>
      <c r="K1269" s="233"/>
    </row>
    <row r="1270" spans="1:11" s="234" customFormat="1" ht="13.5" customHeight="1">
      <c r="A1270" s="235"/>
      <c r="B1270" s="235"/>
      <c r="C1270" s="236"/>
      <c r="D1270" s="235"/>
      <c r="E1270" s="237"/>
      <c r="F1270" s="152"/>
      <c r="G1270" s="233"/>
      <c r="H1270" s="233"/>
      <c r="I1270" s="233"/>
      <c r="J1270" s="233"/>
      <c r="K1270" s="233"/>
    </row>
    <row r="1271" spans="1:11" s="234" customFormat="1" ht="13.5" customHeight="1">
      <c r="A1271" s="235"/>
      <c r="B1271" s="235"/>
      <c r="C1271" s="236"/>
      <c r="D1271" s="235"/>
      <c r="E1271" s="237"/>
      <c r="F1271" s="152"/>
      <c r="G1271" s="233"/>
      <c r="H1271" s="233"/>
      <c r="I1271" s="233"/>
      <c r="J1271" s="233"/>
      <c r="K1271" s="233"/>
    </row>
    <row r="1272" spans="1:11" s="234" customFormat="1" ht="13.5" customHeight="1">
      <c r="A1272" s="235"/>
      <c r="B1272" s="235"/>
      <c r="C1272" s="236"/>
      <c r="D1272" s="235"/>
      <c r="E1272" s="237"/>
      <c r="F1272" s="152"/>
      <c r="G1272" s="233"/>
      <c r="H1272" s="233"/>
      <c r="I1272" s="233"/>
      <c r="J1272" s="233"/>
      <c r="K1272" s="233"/>
    </row>
    <row r="1273" spans="1:11" s="234" customFormat="1" ht="13.5" customHeight="1">
      <c r="A1273" s="235"/>
      <c r="B1273" s="235"/>
      <c r="C1273" s="236"/>
      <c r="D1273" s="235"/>
      <c r="E1273" s="237"/>
      <c r="F1273" s="152"/>
      <c r="G1273" s="233"/>
      <c r="H1273" s="233"/>
      <c r="I1273" s="233"/>
      <c r="J1273" s="233"/>
      <c r="K1273" s="233"/>
    </row>
    <row r="1274" spans="1:11" s="234" customFormat="1" ht="13.5" customHeight="1">
      <c r="A1274" s="235"/>
      <c r="B1274" s="235"/>
      <c r="C1274" s="236"/>
      <c r="D1274" s="235"/>
      <c r="E1274" s="237"/>
      <c r="F1274" s="152"/>
      <c r="G1274" s="233"/>
      <c r="H1274" s="233"/>
      <c r="I1274" s="233"/>
      <c r="J1274" s="233"/>
      <c r="K1274" s="233"/>
    </row>
    <row r="1275" spans="1:11" s="234" customFormat="1" ht="13.5" customHeight="1">
      <c r="A1275" s="235"/>
      <c r="B1275" s="235"/>
      <c r="C1275" s="236"/>
      <c r="D1275" s="235"/>
      <c r="E1275" s="237"/>
      <c r="F1275" s="152"/>
      <c r="G1275" s="233"/>
      <c r="H1275" s="233"/>
      <c r="I1275" s="233"/>
      <c r="J1275" s="233"/>
      <c r="K1275" s="233"/>
    </row>
    <row r="1276" spans="1:5" ht="13.5" customHeight="1">
      <c r="A1276" s="235"/>
      <c r="B1276" s="235"/>
      <c r="C1276" s="236"/>
      <c r="D1276" s="235"/>
      <c r="E1276" s="237"/>
    </row>
    <row r="1277" spans="1:5" ht="13.5" customHeight="1">
      <c r="A1277" s="235"/>
      <c r="B1277" s="235"/>
      <c r="C1277" s="236"/>
      <c r="D1277" s="235"/>
      <c r="E1277" s="237"/>
    </row>
    <row r="1278" spans="1:5" ht="13.5" customHeight="1">
      <c r="A1278" s="235"/>
      <c r="B1278" s="235"/>
      <c r="C1278" s="236"/>
      <c r="D1278" s="235"/>
      <c r="E1278" s="237"/>
    </row>
    <row r="1279" spans="1:5" ht="13.5" customHeight="1">
      <c r="A1279" s="235"/>
      <c r="B1279" s="235"/>
      <c r="C1279" s="236"/>
      <c r="D1279" s="235"/>
      <c r="E1279" s="237"/>
    </row>
    <row r="1280" spans="1:11" ht="13.5" customHeight="1">
      <c r="A1280" s="235"/>
      <c r="B1280" s="235"/>
      <c r="C1280" s="236"/>
      <c r="D1280" s="235"/>
      <c r="E1280" s="237"/>
      <c r="F1280"/>
      <c r="G1280"/>
      <c r="H1280"/>
      <c r="I1280"/>
      <c r="J1280"/>
      <c r="K1280"/>
    </row>
    <row r="1281" spans="1:11" ht="13.5" customHeight="1">
      <c r="A1281" s="235"/>
      <c r="B1281" s="235"/>
      <c r="C1281" s="236"/>
      <c r="D1281" s="235"/>
      <c r="E1281" s="237"/>
      <c r="F1281"/>
      <c r="G1281"/>
      <c r="H1281"/>
      <c r="I1281"/>
      <c r="J1281"/>
      <c r="K1281"/>
    </row>
    <row r="1282" spans="1:11" ht="13.5" customHeight="1">
      <c r="A1282" s="235"/>
      <c r="B1282" s="235"/>
      <c r="C1282" s="236"/>
      <c r="D1282" s="235"/>
      <c r="E1282" s="237"/>
      <c r="F1282"/>
      <c r="G1282"/>
      <c r="H1282"/>
      <c r="I1282"/>
      <c r="J1282"/>
      <c r="K1282"/>
    </row>
    <row r="1283" spans="1:11" ht="13.5" customHeight="1">
      <c r="A1283" s="235"/>
      <c r="B1283" s="235"/>
      <c r="C1283" s="236"/>
      <c r="D1283" s="235"/>
      <c r="E1283" s="237"/>
      <c r="F1283"/>
      <c r="G1283"/>
      <c r="H1283"/>
      <c r="I1283"/>
      <c r="J1283"/>
      <c r="K1283"/>
    </row>
    <row r="1284" spans="1:11" ht="13.5" customHeight="1">
      <c r="A1284" s="235"/>
      <c r="B1284" s="235"/>
      <c r="C1284" s="236"/>
      <c r="D1284" s="235"/>
      <c r="E1284" s="237"/>
      <c r="F1284"/>
      <c r="G1284"/>
      <c r="H1284"/>
      <c r="I1284"/>
      <c r="J1284"/>
      <c r="K1284"/>
    </row>
    <row r="1285" spans="1:11" ht="13.5" customHeight="1">
      <c r="A1285" s="235"/>
      <c r="B1285" s="235"/>
      <c r="C1285" s="236"/>
      <c r="D1285" s="235"/>
      <c r="E1285" s="237"/>
      <c r="F1285"/>
      <c r="G1285"/>
      <c r="H1285"/>
      <c r="I1285"/>
      <c r="J1285"/>
      <c r="K1285"/>
    </row>
    <row r="1286" spans="1:11" ht="13.5" customHeight="1">
      <c r="A1286" s="235"/>
      <c r="B1286" s="235"/>
      <c r="C1286" s="236"/>
      <c r="D1286" s="235"/>
      <c r="E1286" s="237"/>
      <c r="F1286"/>
      <c r="G1286"/>
      <c r="H1286"/>
      <c r="I1286"/>
      <c r="J1286"/>
      <c r="K1286"/>
    </row>
    <row r="1287" spans="1:11" ht="13.5" customHeight="1">
      <c r="A1287" s="235"/>
      <c r="B1287" s="235"/>
      <c r="C1287" s="236"/>
      <c r="D1287" s="235"/>
      <c r="E1287" s="237"/>
      <c r="F1287"/>
      <c r="G1287"/>
      <c r="H1287"/>
      <c r="I1287"/>
      <c r="J1287"/>
      <c r="K1287"/>
    </row>
    <row r="1288" spans="1:11" ht="13.5" customHeight="1">
      <c r="A1288" s="235"/>
      <c r="B1288" s="235"/>
      <c r="C1288" s="236"/>
      <c r="D1288" s="235"/>
      <c r="E1288" s="237"/>
      <c r="F1288"/>
      <c r="G1288"/>
      <c r="H1288"/>
      <c r="I1288"/>
      <c r="J1288"/>
      <c r="K1288"/>
    </row>
    <row r="1289" spans="1:11" ht="13.5" customHeight="1">
      <c r="A1289" s="235"/>
      <c r="B1289" s="235"/>
      <c r="C1289" s="236"/>
      <c r="D1289" s="235"/>
      <c r="E1289" s="237"/>
      <c r="F1289"/>
      <c r="G1289"/>
      <c r="H1289"/>
      <c r="I1289"/>
      <c r="J1289"/>
      <c r="K1289"/>
    </row>
    <row r="1290" spans="1:11" ht="13.5" customHeight="1">
      <c r="A1290" s="235"/>
      <c r="B1290" s="235"/>
      <c r="C1290" s="236"/>
      <c r="D1290" s="235"/>
      <c r="E1290" s="237"/>
      <c r="F1290"/>
      <c r="G1290"/>
      <c r="H1290"/>
      <c r="I1290"/>
      <c r="J1290"/>
      <c r="K1290"/>
    </row>
    <row r="1291" spans="1:11" ht="13.5" customHeight="1">
      <c r="A1291" s="235"/>
      <c r="B1291" s="235"/>
      <c r="C1291" s="236"/>
      <c r="D1291" s="235"/>
      <c r="E1291" s="237"/>
      <c r="F1291"/>
      <c r="G1291"/>
      <c r="H1291"/>
      <c r="I1291"/>
      <c r="J1291"/>
      <c r="K1291"/>
    </row>
    <row r="1292" spans="1:11" ht="13.5" customHeight="1">
      <c r="A1292" s="235"/>
      <c r="B1292" s="235"/>
      <c r="C1292" s="236"/>
      <c r="D1292" s="235"/>
      <c r="E1292" s="237"/>
      <c r="F1292"/>
      <c r="G1292"/>
      <c r="H1292"/>
      <c r="I1292"/>
      <c r="J1292"/>
      <c r="K1292"/>
    </row>
    <row r="1293" spans="1:11" ht="13.5" customHeight="1">
      <c r="A1293" s="235"/>
      <c r="B1293" s="235"/>
      <c r="C1293" s="236"/>
      <c r="D1293" s="235"/>
      <c r="E1293" s="237"/>
      <c r="F1293"/>
      <c r="G1293"/>
      <c r="H1293"/>
      <c r="I1293"/>
      <c r="J1293"/>
      <c r="K1293"/>
    </row>
    <row r="1294" spans="1:11" ht="13.5" customHeight="1">
      <c r="A1294" s="235"/>
      <c r="B1294" s="235"/>
      <c r="C1294" s="236"/>
      <c r="D1294" s="235"/>
      <c r="E1294" s="237"/>
      <c r="F1294"/>
      <c r="G1294"/>
      <c r="H1294"/>
      <c r="I1294"/>
      <c r="J1294"/>
      <c r="K1294"/>
    </row>
    <row r="1295" spans="1:11" ht="13.5" customHeight="1">
      <c r="A1295" s="235"/>
      <c r="B1295" s="235"/>
      <c r="C1295" s="236"/>
      <c r="D1295" s="235"/>
      <c r="E1295" s="237"/>
      <c r="F1295"/>
      <c r="G1295"/>
      <c r="H1295"/>
      <c r="I1295"/>
      <c r="J1295"/>
      <c r="K1295"/>
    </row>
    <row r="1296" spans="1:11" ht="13.5" customHeight="1">
      <c r="A1296" s="235"/>
      <c r="B1296" s="235"/>
      <c r="C1296" s="236"/>
      <c r="D1296" s="235"/>
      <c r="E1296" s="237"/>
      <c r="F1296"/>
      <c r="G1296"/>
      <c r="H1296"/>
      <c r="I1296"/>
      <c r="J1296"/>
      <c r="K1296"/>
    </row>
    <row r="1297" spans="1:11" ht="13.5" customHeight="1">
      <c r="A1297" s="235"/>
      <c r="B1297" s="235"/>
      <c r="C1297" s="236"/>
      <c r="D1297" s="235"/>
      <c r="E1297" s="237"/>
      <c r="F1297"/>
      <c r="G1297"/>
      <c r="H1297"/>
      <c r="I1297"/>
      <c r="J1297"/>
      <c r="K1297"/>
    </row>
    <row r="1298" spans="1:11" ht="13.5" customHeight="1">
      <c r="A1298" s="235"/>
      <c r="B1298" s="235"/>
      <c r="C1298" s="236"/>
      <c r="D1298" s="235"/>
      <c r="E1298" s="237"/>
      <c r="F1298"/>
      <c r="G1298"/>
      <c r="H1298"/>
      <c r="I1298"/>
      <c r="J1298"/>
      <c r="K1298"/>
    </row>
    <row r="1299" spans="1:11" ht="13.5" customHeight="1">
      <c r="A1299" s="235"/>
      <c r="B1299" s="235"/>
      <c r="C1299" s="236"/>
      <c r="D1299" s="235"/>
      <c r="E1299" s="237"/>
      <c r="F1299"/>
      <c r="G1299"/>
      <c r="H1299"/>
      <c r="I1299"/>
      <c r="J1299"/>
      <c r="K1299"/>
    </row>
    <row r="1300" spans="1:11" ht="13.5" customHeight="1">
      <c r="A1300" s="235"/>
      <c r="B1300" s="235"/>
      <c r="C1300" s="236"/>
      <c r="D1300" s="235"/>
      <c r="E1300" s="237"/>
      <c r="F1300"/>
      <c r="G1300"/>
      <c r="H1300"/>
      <c r="I1300"/>
      <c r="J1300"/>
      <c r="K1300"/>
    </row>
    <row r="1301" spans="1:11" ht="13.5" customHeight="1">
      <c r="A1301" s="235"/>
      <c r="B1301" s="235"/>
      <c r="C1301" s="236"/>
      <c r="D1301" s="235"/>
      <c r="E1301" s="237"/>
      <c r="F1301"/>
      <c r="G1301"/>
      <c r="H1301"/>
      <c r="I1301"/>
      <c r="J1301"/>
      <c r="K1301"/>
    </row>
    <row r="1302" spans="1:11" ht="13.5" customHeight="1">
      <c r="A1302" s="235"/>
      <c r="B1302" s="235"/>
      <c r="C1302" s="236"/>
      <c r="D1302" s="235"/>
      <c r="E1302" s="237"/>
      <c r="F1302"/>
      <c r="G1302"/>
      <c r="H1302"/>
      <c r="I1302"/>
      <c r="J1302"/>
      <c r="K1302"/>
    </row>
    <row r="1303" spans="1:11" ht="13.5" customHeight="1">
      <c r="A1303" s="235"/>
      <c r="B1303" s="235"/>
      <c r="C1303" s="236"/>
      <c r="D1303" s="235"/>
      <c r="E1303" s="237"/>
      <c r="F1303"/>
      <c r="G1303"/>
      <c r="H1303"/>
      <c r="I1303"/>
      <c r="J1303"/>
      <c r="K1303"/>
    </row>
    <row r="1304" spans="1:11" ht="13.5" customHeight="1">
      <c r="A1304" s="235"/>
      <c r="B1304" s="235"/>
      <c r="C1304" s="236"/>
      <c r="D1304" s="235"/>
      <c r="E1304" s="237"/>
      <c r="F1304"/>
      <c r="G1304"/>
      <c r="H1304"/>
      <c r="I1304"/>
      <c r="J1304"/>
      <c r="K1304"/>
    </row>
    <row r="1305" spans="1:11" ht="13.5" customHeight="1">
      <c r="A1305" s="235"/>
      <c r="B1305" s="235"/>
      <c r="C1305" s="236"/>
      <c r="D1305" s="235"/>
      <c r="E1305" s="237"/>
      <c r="F1305"/>
      <c r="G1305"/>
      <c r="H1305"/>
      <c r="I1305"/>
      <c r="J1305"/>
      <c r="K1305"/>
    </row>
    <row r="1306" spans="1:11" ht="13.5" customHeight="1">
      <c r="A1306" s="235"/>
      <c r="B1306" s="235"/>
      <c r="C1306" s="236"/>
      <c r="D1306" s="235"/>
      <c r="E1306" s="237"/>
      <c r="F1306"/>
      <c r="G1306"/>
      <c r="H1306"/>
      <c r="I1306"/>
      <c r="J1306"/>
      <c r="K1306"/>
    </row>
    <row r="1307" spans="1:11" ht="13.5" customHeight="1">
      <c r="A1307" s="235"/>
      <c r="B1307" s="235"/>
      <c r="C1307" s="236"/>
      <c r="D1307" s="235"/>
      <c r="E1307" s="237"/>
      <c r="F1307"/>
      <c r="G1307"/>
      <c r="H1307"/>
      <c r="I1307"/>
      <c r="J1307"/>
      <c r="K1307"/>
    </row>
    <row r="1308" spans="1:11" ht="13.5" customHeight="1">
      <c r="A1308" s="235"/>
      <c r="B1308" s="235"/>
      <c r="C1308" s="236"/>
      <c r="D1308" s="235"/>
      <c r="E1308" s="237"/>
      <c r="F1308"/>
      <c r="G1308"/>
      <c r="H1308"/>
      <c r="I1308"/>
      <c r="J1308"/>
      <c r="K1308"/>
    </row>
    <row r="1309" spans="1:11" ht="13.5" customHeight="1">
      <c r="A1309" s="235"/>
      <c r="B1309" s="235"/>
      <c r="C1309" s="236"/>
      <c r="D1309" s="235"/>
      <c r="E1309" s="237"/>
      <c r="F1309"/>
      <c r="G1309"/>
      <c r="H1309"/>
      <c r="I1309"/>
      <c r="J1309"/>
      <c r="K1309"/>
    </row>
    <row r="1310" spans="6:11" ht="13.5" customHeight="1">
      <c r="F1310"/>
      <c r="G1310"/>
      <c r="H1310"/>
      <c r="I1310"/>
      <c r="J1310"/>
      <c r="K1310"/>
    </row>
    <row r="1311" spans="6:11" ht="13.5" customHeight="1">
      <c r="F1311"/>
      <c r="G1311"/>
      <c r="H1311"/>
      <c r="I1311"/>
      <c r="J1311"/>
      <c r="K1311"/>
    </row>
    <row r="1312" spans="1:11" ht="13.5" customHeight="1">
      <c r="A1312"/>
      <c r="B1312"/>
      <c r="C1312"/>
      <c r="D1312"/>
      <c r="E1312"/>
      <c r="F1312"/>
      <c r="G1312"/>
      <c r="H1312"/>
      <c r="I1312"/>
      <c r="J1312"/>
      <c r="K1312"/>
    </row>
    <row r="1313" spans="1:11" ht="13.5" customHeight="1">
      <c r="A1313"/>
      <c r="B1313"/>
      <c r="C1313"/>
      <c r="D1313"/>
      <c r="E1313"/>
      <c r="F1313"/>
      <c r="G1313"/>
      <c r="H1313"/>
      <c r="I1313"/>
      <c r="J1313"/>
      <c r="K1313"/>
    </row>
    <row r="1314" spans="1:11" ht="13.5" customHeight="1">
      <c r="A1314"/>
      <c r="B1314"/>
      <c r="C1314"/>
      <c r="D1314"/>
      <c r="E1314"/>
      <c r="F1314"/>
      <c r="G1314"/>
      <c r="H1314"/>
      <c r="I1314"/>
      <c r="J1314"/>
      <c r="K1314"/>
    </row>
    <row r="1315" spans="1:11" ht="13.5" customHeight="1">
      <c r="A1315"/>
      <c r="B1315"/>
      <c r="C1315"/>
      <c r="D1315"/>
      <c r="E1315"/>
      <c r="F1315"/>
      <c r="G1315"/>
      <c r="H1315"/>
      <c r="I1315"/>
      <c r="J1315"/>
      <c r="K1315"/>
    </row>
    <row r="1316" spans="1:11" ht="13.5" customHeight="1">
      <c r="A1316"/>
      <c r="B1316"/>
      <c r="C1316"/>
      <c r="D1316"/>
      <c r="E1316"/>
      <c r="F1316"/>
      <c r="G1316"/>
      <c r="H1316"/>
      <c r="I1316"/>
      <c r="J1316"/>
      <c r="K1316"/>
    </row>
    <row r="1317" spans="1:11" ht="13.5" customHeight="1">
      <c r="A1317"/>
      <c r="B1317"/>
      <c r="C1317"/>
      <c r="D1317"/>
      <c r="E1317"/>
      <c r="F1317"/>
      <c r="G1317"/>
      <c r="H1317"/>
      <c r="I1317"/>
      <c r="J1317"/>
      <c r="K1317"/>
    </row>
    <row r="1318" spans="1:11" ht="13.5" customHeight="1">
      <c r="A1318"/>
      <c r="B1318"/>
      <c r="C1318"/>
      <c r="D1318"/>
      <c r="E1318"/>
      <c r="F1318"/>
      <c r="G1318"/>
      <c r="H1318"/>
      <c r="I1318"/>
      <c r="J1318"/>
      <c r="K1318"/>
    </row>
    <row r="1319" spans="1:11" ht="13.5" customHeight="1">
      <c r="A1319"/>
      <c r="B1319"/>
      <c r="C1319"/>
      <c r="D1319"/>
      <c r="E1319"/>
      <c r="F1319"/>
      <c r="G1319"/>
      <c r="H1319"/>
      <c r="I1319"/>
      <c r="J1319"/>
      <c r="K1319"/>
    </row>
    <row r="1320" spans="1:11" ht="13.5" customHeight="1">
      <c r="A1320"/>
      <c r="B1320"/>
      <c r="C1320"/>
      <c r="D1320"/>
      <c r="E1320"/>
      <c r="F1320"/>
      <c r="G1320"/>
      <c r="H1320"/>
      <c r="I1320"/>
      <c r="J1320"/>
      <c r="K1320"/>
    </row>
    <row r="1321" spans="1:11" ht="13.5" customHeight="1">
      <c r="A1321"/>
      <c r="B1321"/>
      <c r="C1321"/>
      <c r="D1321"/>
      <c r="E1321"/>
      <c r="F1321"/>
      <c r="G1321"/>
      <c r="H1321"/>
      <c r="I1321"/>
      <c r="J1321"/>
      <c r="K1321"/>
    </row>
    <row r="1322" spans="1:11" ht="13.5" customHeight="1">
      <c r="A1322"/>
      <c r="B1322"/>
      <c r="C1322"/>
      <c r="D1322"/>
      <c r="E1322"/>
      <c r="F1322"/>
      <c r="G1322"/>
      <c r="H1322"/>
      <c r="I1322"/>
      <c r="J1322"/>
      <c r="K1322"/>
    </row>
    <row r="1323" spans="1:11" ht="13.5" customHeight="1">
      <c r="A1323"/>
      <c r="B1323"/>
      <c r="C1323"/>
      <c r="D1323"/>
      <c r="E1323"/>
      <c r="F1323"/>
      <c r="G1323"/>
      <c r="H1323"/>
      <c r="I1323"/>
      <c r="J1323"/>
      <c r="K1323"/>
    </row>
    <row r="1324" spans="1:11" ht="13.5" customHeight="1">
      <c r="A1324"/>
      <c r="B1324"/>
      <c r="C1324"/>
      <c r="D1324"/>
      <c r="E1324"/>
      <c r="F1324"/>
      <c r="G1324"/>
      <c r="H1324"/>
      <c r="I1324"/>
      <c r="J1324"/>
      <c r="K1324"/>
    </row>
    <row r="1325" spans="1:11" ht="13.5" customHeight="1">
      <c r="A1325"/>
      <c r="B1325"/>
      <c r="C1325"/>
      <c r="D1325"/>
      <c r="E1325"/>
      <c r="F1325"/>
      <c r="G1325"/>
      <c r="H1325"/>
      <c r="I1325"/>
      <c r="J1325"/>
      <c r="K1325"/>
    </row>
    <row r="1326" spans="1:11" ht="13.5" customHeight="1">
      <c r="A1326"/>
      <c r="B1326"/>
      <c r="C1326"/>
      <c r="D1326"/>
      <c r="E1326"/>
      <c r="F1326"/>
      <c r="G1326"/>
      <c r="H1326"/>
      <c r="I1326"/>
      <c r="J1326"/>
      <c r="K1326"/>
    </row>
    <row r="1327" spans="1:11" ht="13.5" customHeight="1">
      <c r="A1327"/>
      <c r="B1327"/>
      <c r="C1327"/>
      <c r="D1327"/>
      <c r="E1327"/>
      <c r="F1327"/>
      <c r="G1327"/>
      <c r="H1327"/>
      <c r="I1327"/>
      <c r="J1327"/>
      <c r="K1327"/>
    </row>
    <row r="1328" spans="1:11" ht="13.5" customHeight="1">
      <c r="A1328"/>
      <c r="B1328"/>
      <c r="C1328"/>
      <c r="D1328"/>
      <c r="E1328"/>
      <c r="F1328"/>
      <c r="G1328"/>
      <c r="H1328"/>
      <c r="I1328"/>
      <c r="J1328"/>
      <c r="K1328"/>
    </row>
    <row r="1329" spans="1:11" ht="13.5" customHeight="1">
      <c r="A1329"/>
      <c r="B1329"/>
      <c r="C1329"/>
      <c r="D1329"/>
      <c r="E1329"/>
      <c r="F1329"/>
      <c r="G1329"/>
      <c r="H1329"/>
      <c r="I1329"/>
      <c r="J1329"/>
      <c r="K1329"/>
    </row>
    <row r="1330" spans="1:11" ht="13.5" customHeight="1">
      <c r="A1330"/>
      <c r="B1330"/>
      <c r="C1330"/>
      <c r="D1330"/>
      <c r="E1330"/>
      <c r="F1330"/>
      <c r="G1330"/>
      <c r="H1330"/>
      <c r="I1330"/>
      <c r="J1330"/>
      <c r="K1330"/>
    </row>
    <row r="1331" spans="1:11" ht="13.5" customHeight="1">
      <c r="A1331"/>
      <c r="B1331"/>
      <c r="C1331"/>
      <c r="D1331"/>
      <c r="E1331"/>
      <c r="F1331"/>
      <c r="G1331"/>
      <c r="H1331"/>
      <c r="I1331"/>
      <c r="J1331"/>
      <c r="K1331"/>
    </row>
    <row r="1332" spans="1:11" ht="13.5" customHeight="1">
      <c r="A1332"/>
      <c r="B1332"/>
      <c r="C1332"/>
      <c r="D1332"/>
      <c r="E1332"/>
      <c r="F1332"/>
      <c r="G1332"/>
      <c r="H1332"/>
      <c r="I1332"/>
      <c r="J1332"/>
      <c r="K1332"/>
    </row>
    <row r="1333" spans="1:11" ht="13.5" customHeight="1">
      <c r="A1333"/>
      <c r="B1333"/>
      <c r="C1333"/>
      <c r="D1333"/>
      <c r="E1333"/>
      <c r="F1333"/>
      <c r="G1333"/>
      <c r="H1333"/>
      <c r="I1333"/>
      <c r="J1333"/>
      <c r="K1333"/>
    </row>
    <row r="1334" spans="1:11" ht="13.5" customHeight="1">
      <c r="A1334"/>
      <c r="B1334"/>
      <c r="C1334"/>
      <c r="D1334"/>
      <c r="E1334"/>
      <c r="F1334"/>
      <c r="G1334"/>
      <c r="H1334"/>
      <c r="I1334"/>
      <c r="J1334"/>
      <c r="K1334"/>
    </row>
    <row r="1335" spans="1:11" ht="13.5" customHeight="1">
      <c r="A1335"/>
      <c r="B1335"/>
      <c r="C1335"/>
      <c r="D1335"/>
      <c r="E1335"/>
      <c r="F1335"/>
      <c r="G1335"/>
      <c r="H1335"/>
      <c r="I1335"/>
      <c r="J1335"/>
      <c r="K1335"/>
    </row>
    <row r="1336" spans="1:11" ht="13.5" customHeight="1">
      <c r="A1336"/>
      <c r="B1336"/>
      <c r="C1336"/>
      <c r="D1336"/>
      <c r="E1336"/>
      <c r="F1336"/>
      <c r="G1336"/>
      <c r="H1336"/>
      <c r="I1336"/>
      <c r="J1336"/>
      <c r="K1336"/>
    </row>
    <row r="1337" spans="1:11" ht="13.5" customHeight="1">
      <c r="A1337"/>
      <c r="B1337"/>
      <c r="C1337"/>
      <c r="D1337"/>
      <c r="E1337"/>
      <c r="F1337"/>
      <c r="G1337"/>
      <c r="H1337"/>
      <c r="I1337"/>
      <c r="J1337"/>
      <c r="K1337"/>
    </row>
    <row r="1338" spans="1:11" ht="13.5" customHeight="1">
      <c r="A1338"/>
      <c r="B1338"/>
      <c r="C1338"/>
      <c r="D1338"/>
      <c r="E1338"/>
      <c r="F1338"/>
      <c r="G1338"/>
      <c r="H1338"/>
      <c r="I1338"/>
      <c r="J1338"/>
      <c r="K1338"/>
    </row>
    <row r="1339" spans="1:11" ht="13.5" customHeight="1">
      <c r="A1339"/>
      <c r="B1339"/>
      <c r="C1339"/>
      <c r="D1339"/>
      <c r="E1339"/>
      <c r="F1339"/>
      <c r="G1339"/>
      <c r="H1339"/>
      <c r="I1339"/>
      <c r="J1339"/>
      <c r="K1339"/>
    </row>
    <row r="1340" spans="1:11" ht="13.5" customHeight="1">
      <c r="A1340"/>
      <c r="B1340"/>
      <c r="C1340"/>
      <c r="D1340"/>
      <c r="E1340"/>
      <c r="F1340"/>
      <c r="G1340"/>
      <c r="H1340"/>
      <c r="I1340"/>
      <c r="J1340"/>
      <c r="K1340"/>
    </row>
    <row r="1341" spans="1:11" ht="13.5" customHeight="1">
      <c r="A1341"/>
      <c r="B1341"/>
      <c r="C1341"/>
      <c r="D1341"/>
      <c r="E1341"/>
      <c r="F1341"/>
      <c r="G1341"/>
      <c r="H1341"/>
      <c r="I1341"/>
      <c r="J1341"/>
      <c r="K1341"/>
    </row>
    <row r="1342" spans="1:11" ht="13.5" customHeight="1">
      <c r="A1342"/>
      <c r="B1342"/>
      <c r="C1342"/>
      <c r="D1342"/>
      <c r="E1342"/>
      <c r="F1342"/>
      <c r="G1342"/>
      <c r="H1342"/>
      <c r="I1342"/>
      <c r="J1342"/>
      <c r="K1342"/>
    </row>
    <row r="1343" spans="1:11" ht="13.5" customHeight="1">
      <c r="A1343"/>
      <c r="B1343"/>
      <c r="C1343"/>
      <c r="D1343"/>
      <c r="E1343"/>
      <c r="F1343"/>
      <c r="G1343"/>
      <c r="H1343"/>
      <c r="I1343"/>
      <c r="J1343"/>
      <c r="K1343"/>
    </row>
    <row r="1344" spans="1:11" ht="13.5" customHeight="1">
      <c r="A1344"/>
      <c r="B1344"/>
      <c r="C1344"/>
      <c r="D1344"/>
      <c r="E1344"/>
      <c r="F1344"/>
      <c r="G1344"/>
      <c r="H1344"/>
      <c r="I1344"/>
      <c r="J1344"/>
      <c r="K1344"/>
    </row>
    <row r="1345" spans="1:11" ht="13.5" customHeight="1">
      <c r="A1345"/>
      <c r="B1345"/>
      <c r="C1345"/>
      <c r="D1345"/>
      <c r="E1345"/>
      <c r="F1345"/>
      <c r="G1345"/>
      <c r="H1345"/>
      <c r="I1345"/>
      <c r="J1345"/>
      <c r="K1345"/>
    </row>
    <row r="1346" spans="1:11" ht="13.5" customHeight="1">
      <c r="A1346"/>
      <c r="B1346"/>
      <c r="C1346"/>
      <c r="D1346"/>
      <c r="E1346"/>
      <c r="F1346"/>
      <c r="G1346"/>
      <c r="H1346"/>
      <c r="I1346"/>
      <c r="J1346"/>
      <c r="K1346"/>
    </row>
    <row r="1347" spans="1:11" ht="13.5" customHeight="1">
      <c r="A1347"/>
      <c r="B1347"/>
      <c r="C1347"/>
      <c r="D1347"/>
      <c r="E1347"/>
      <c r="F1347"/>
      <c r="G1347"/>
      <c r="H1347"/>
      <c r="I1347"/>
      <c r="J1347"/>
      <c r="K1347"/>
    </row>
    <row r="1348" spans="1:11" ht="13.5" customHeight="1">
      <c r="A1348"/>
      <c r="B1348"/>
      <c r="C1348"/>
      <c r="D1348"/>
      <c r="E1348"/>
      <c r="F1348"/>
      <c r="G1348"/>
      <c r="H1348"/>
      <c r="I1348"/>
      <c r="J1348"/>
      <c r="K1348"/>
    </row>
    <row r="1349" spans="1:11" ht="13.5" customHeight="1">
      <c r="A1349"/>
      <c r="B1349"/>
      <c r="C1349"/>
      <c r="D1349"/>
      <c r="E1349"/>
      <c r="F1349"/>
      <c r="G1349"/>
      <c r="H1349"/>
      <c r="I1349"/>
      <c r="J1349"/>
      <c r="K1349"/>
    </row>
    <row r="1350" spans="1:11" ht="13.5" customHeight="1">
      <c r="A1350"/>
      <c r="B1350"/>
      <c r="C1350"/>
      <c r="D1350"/>
      <c r="E1350"/>
      <c r="F1350"/>
      <c r="G1350"/>
      <c r="H1350"/>
      <c r="I1350"/>
      <c r="J1350"/>
      <c r="K1350"/>
    </row>
    <row r="1351" spans="1:11" ht="13.5" customHeight="1">
      <c r="A1351"/>
      <c r="B1351"/>
      <c r="C1351"/>
      <c r="D1351"/>
      <c r="E1351"/>
      <c r="F1351"/>
      <c r="G1351"/>
      <c r="H1351"/>
      <c r="I1351"/>
      <c r="J1351"/>
      <c r="K1351"/>
    </row>
    <row r="1352" spans="1:11" ht="13.5" customHeight="1">
      <c r="A1352"/>
      <c r="B1352"/>
      <c r="C1352"/>
      <c r="D1352"/>
      <c r="E1352"/>
      <c r="F1352"/>
      <c r="G1352"/>
      <c r="H1352"/>
      <c r="I1352"/>
      <c r="J1352"/>
      <c r="K1352"/>
    </row>
    <row r="1353" spans="1:11" ht="13.5" customHeight="1">
      <c r="A1353"/>
      <c r="B1353"/>
      <c r="C1353"/>
      <c r="D1353"/>
      <c r="E1353"/>
      <c r="F1353"/>
      <c r="G1353"/>
      <c r="H1353"/>
      <c r="I1353"/>
      <c r="J1353"/>
      <c r="K1353"/>
    </row>
    <row r="1354" spans="1:11" ht="13.5" customHeight="1">
      <c r="A1354"/>
      <c r="B1354"/>
      <c r="C1354"/>
      <c r="D1354"/>
      <c r="E1354"/>
      <c r="F1354"/>
      <c r="G1354"/>
      <c r="H1354"/>
      <c r="I1354"/>
      <c r="J1354"/>
      <c r="K1354"/>
    </row>
    <row r="1355" spans="1:11" ht="13.5" customHeight="1">
      <c r="A1355"/>
      <c r="B1355"/>
      <c r="C1355"/>
      <c r="D1355"/>
      <c r="E1355"/>
      <c r="F1355"/>
      <c r="G1355"/>
      <c r="H1355"/>
      <c r="I1355"/>
      <c r="J1355"/>
      <c r="K1355"/>
    </row>
    <row r="1356" spans="1:11" ht="13.5" customHeight="1">
      <c r="A1356"/>
      <c r="B1356"/>
      <c r="C1356"/>
      <c r="D1356"/>
      <c r="E1356"/>
      <c r="F1356"/>
      <c r="G1356"/>
      <c r="H1356"/>
      <c r="I1356"/>
      <c r="J1356"/>
      <c r="K1356"/>
    </row>
    <row r="1357" spans="1:11" ht="13.5" customHeight="1">
      <c r="A1357"/>
      <c r="B1357"/>
      <c r="C1357"/>
      <c r="D1357"/>
      <c r="E1357"/>
      <c r="F1357"/>
      <c r="G1357"/>
      <c r="H1357"/>
      <c r="I1357"/>
      <c r="J1357"/>
      <c r="K1357"/>
    </row>
    <row r="1358" spans="1:11" ht="13.5" customHeight="1">
      <c r="A1358"/>
      <c r="B1358"/>
      <c r="C1358"/>
      <c r="D1358"/>
      <c r="E1358"/>
      <c r="F1358"/>
      <c r="G1358"/>
      <c r="H1358"/>
      <c r="I1358"/>
      <c r="J1358"/>
      <c r="K1358"/>
    </row>
    <row r="1359" spans="1:11" ht="13.5" customHeight="1">
      <c r="A1359"/>
      <c r="B1359"/>
      <c r="C1359"/>
      <c r="D1359"/>
      <c r="E1359"/>
      <c r="F1359"/>
      <c r="G1359"/>
      <c r="H1359"/>
      <c r="I1359"/>
      <c r="J1359"/>
      <c r="K1359"/>
    </row>
    <row r="1360" spans="1:11" ht="13.5" customHeight="1">
      <c r="A1360"/>
      <c r="B1360"/>
      <c r="C1360"/>
      <c r="D1360"/>
      <c r="E1360"/>
      <c r="F1360"/>
      <c r="G1360"/>
      <c r="H1360"/>
      <c r="I1360"/>
      <c r="J1360"/>
      <c r="K1360"/>
    </row>
    <row r="1361" spans="1:11" ht="13.5" customHeight="1">
      <c r="A1361"/>
      <c r="B1361"/>
      <c r="C1361"/>
      <c r="D1361"/>
      <c r="E1361"/>
      <c r="F1361"/>
      <c r="G1361"/>
      <c r="H1361"/>
      <c r="I1361"/>
      <c r="J1361"/>
      <c r="K1361"/>
    </row>
    <row r="1362" spans="1:11" ht="13.5" customHeight="1">
      <c r="A1362"/>
      <c r="B1362"/>
      <c r="C1362"/>
      <c r="D1362"/>
      <c r="E1362"/>
      <c r="F1362"/>
      <c r="G1362"/>
      <c r="H1362"/>
      <c r="I1362"/>
      <c r="J1362"/>
      <c r="K1362"/>
    </row>
    <row r="1363" spans="1:11" ht="13.5" customHeight="1">
      <c r="A1363"/>
      <c r="B1363"/>
      <c r="C1363"/>
      <c r="D1363"/>
      <c r="E1363"/>
      <c r="F1363"/>
      <c r="G1363"/>
      <c r="H1363"/>
      <c r="I1363"/>
      <c r="J1363"/>
      <c r="K1363"/>
    </row>
    <row r="1364" spans="1:11" ht="13.5" customHeight="1">
      <c r="A1364"/>
      <c r="B1364"/>
      <c r="C1364"/>
      <c r="D1364"/>
      <c r="E1364"/>
      <c r="F1364"/>
      <c r="G1364"/>
      <c r="H1364"/>
      <c r="I1364"/>
      <c r="J1364"/>
      <c r="K1364"/>
    </row>
    <row r="1365" spans="1:11" ht="13.5" customHeight="1">
      <c r="A1365"/>
      <c r="B1365"/>
      <c r="C1365"/>
      <c r="D1365"/>
      <c r="E1365"/>
      <c r="F1365"/>
      <c r="G1365"/>
      <c r="H1365"/>
      <c r="I1365"/>
      <c r="J1365"/>
      <c r="K1365"/>
    </row>
    <row r="1366" spans="1:11" ht="13.5" customHeight="1">
      <c r="A1366"/>
      <c r="B1366"/>
      <c r="C1366"/>
      <c r="D1366"/>
      <c r="E1366"/>
      <c r="F1366"/>
      <c r="G1366"/>
      <c r="H1366"/>
      <c r="I1366"/>
      <c r="J1366"/>
      <c r="K1366"/>
    </row>
    <row r="1367" spans="1:11" ht="13.5" customHeight="1">
      <c r="A1367"/>
      <c r="B1367"/>
      <c r="C1367"/>
      <c r="D1367"/>
      <c r="E1367"/>
      <c r="F1367"/>
      <c r="G1367"/>
      <c r="H1367"/>
      <c r="I1367"/>
      <c r="J1367"/>
      <c r="K1367"/>
    </row>
    <row r="1368" spans="1:11" ht="13.5" customHeight="1">
      <c r="A1368"/>
      <c r="B1368"/>
      <c r="C1368"/>
      <c r="D1368"/>
      <c r="E1368"/>
      <c r="F1368"/>
      <c r="G1368"/>
      <c r="H1368"/>
      <c r="I1368"/>
      <c r="J1368"/>
      <c r="K1368"/>
    </row>
    <row r="1369" spans="1:11" ht="13.5" customHeight="1">
      <c r="A1369"/>
      <c r="B1369"/>
      <c r="C1369"/>
      <c r="D1369"/>
      <c r="E1369"/>
      <c r="F1369"/>
      <c r="G1369"/>
      <c r="H1369"/>
      <c r="I1369"/>
      <c r="J1369"/>
      <c r="K1369"/>
    </row>
    <row r="1370" spans="1:11" ht="13.5" customHeight="1">
      <c r="A1370"/>
      <c r="B1370"/>
      <c r="C1370"/>
      <c r="D1370"/>
      <c r="E1370"/>
      <c r="F1370"/>
      <c r="G1370"/>
      <c r="H1370"/>
      <c r="I1370"/>
      <c r="J1370"/>
      <c r="K1370"/>
    </row>
    <row r="1371" spans="1:11" ht="13.5" customHeight="1">
      <c r="A1371"/>
      <c r="B1371"/>
      <c r="C1371"/>
      <c r="D1371"/>
      <c r="E1371"/>
      <c r="F1371"/>
      <c r="G1371"/>
      <c r="H1371"/>
      <c r="I1371"/>
      <c r="J1371"/>
      <c r="K1371"/>
    </row>
    <row r="1372" spans="1:11" ht="13.5" customHeight="1">
      <c r="A1372"/>
      <c r="B1372"/>
      <c r="C1372"/>
      <c r="D1372"/>
      <c r="E1372"/>
      <c r="F1372"/>
      <c r="G1372"/>
      <c r="H1372"/>
      <c r="I1372"/>
      <c r="J1372"/>
      <c r="K1372"/>
    </row>
    <row r="1373" spans="1:11" ht="13.5" customHeight="1">
      <c r="A1373"/>
      <c r="B1373"/>
      <c r="C1373"/>
      <c r="D1373"/>
      <c r="E1373"/>
      <c r="F1373"/>
      <c r="G1373"/>
      <c r="H1373"/>
      <c r="I1373"/>
      <c r="J1373"/>
      <c r="K1373"/>
    </row>
    <row r="1374" spans="1:11" ht="13.5" customHeight="1">
      <c r="A1374"/>
      <c r="B1374"/>
      <c r="C1374"/>
      <c r="D1374"/>
      <c r="E1374"/>
      <c r="F1374"/>
      <c r="G1374"/>
      <c r="H1374"/>
      <c r="I1374"/>
      <c r="J1374"/>
      <c r="K1374"/>
    </row>
    <row r="1375" spans="1:11" ht="13.5" customHeight="1">
      <c r="A1375"/>
      <c r="B1375"/>
      <c r="C1375"/>
      <c r="D1375"/>
      <c r="E1375"/>
      <c r="F1375"/>
      <c r="G1375"/>
      <c r="H1375"/>
      <c r="I1375"/>
      <c r="J1375"/>
      <c r="K1375"/>
    </row>
    <row r="1376" spans="1:11" ht="13.5" customHeight="1">
      <c r="A1376"/>
      <c r="B1376"/>
      <c r="C1376"/>
      <c r="D1376"/>
      <c r="E1376"/>
      <c r="F1376"/>
      <c r="G1376"/>
      <c r="H1376"/>
      <c r="I1376"/>
      <c r="J1376"/>
      <c r="K1376"/>
    </row>
    <row r="1377" spans="1:11" ht="13.5" customHeight="1">
      <c r="A1377"/>
      <c r="B1377"/>
      <c r="C1377"/>
      <c r="D1377"/>
      <c r="E1377"/>
      <c r="F1377"/>
      <c r="G1377"/>
      <c r="H1377"/>
      <c r="I1377"/>
      <c r="J1377"/>
      <c r="K1377"/>
    </row>
    <row r="1378" spans="1:11" ht="13.5" customHeight="1">
      <c r="A1378"/>
      <c r="B1378"/>
      <c r="C1378"/>
      <c r="D1378"/>
      <c r="E1378"/>
      <c r="F1378"/>
      <c r="G1378"/>
      <c r="H1378"/>
      <c r="I1378"/>
      <c r="J1378"/>
      <c r="K1378"/>
    </row>
    <row r="1379" spans="1:11" ht="13.5" customHeight="1">
      <c r="A1379"/>
      <c r="B1379"/>
      <c r="C1379"/>
      <c r="D1379"/>
      <c r="E1379"/>
      <c r="F1379"/>
      <c r="G1379"/>
      <c r="H1379"/>
      <c r="I1379"/>
      <c r="J1379"/>
      <c r="K1379"/>
    </row>
    <row r="1380" spans="1:11" ht="13.5" customHeight="1">
      <c r="A1380"/>
      <c r="B1380"/>
      <c r="C1380"/>
      <c r="D1380"/>
      <c r="E1380"/>
      <c r="F1380"/>
      <c r="G1380"/>
      <c r="H1380"/>
      <c r="I1380"/>
      <c r="J1380"/>
      <c r="K1380"/>
    </row>
    <row r="1381" spans="1:11" ht="13.5" customHeight="1">
      <c r="A1381"/>
      <c r="B1381"/>
      <c r="C1381"/>
      <c r="D1381"/>
      <c r="E1381"/>
      <c r="F1381"/>
      <c r="G1381"/>
      <c r="H1381"/>
      <c r="I1381"/>
      <c r="J1381"/>
      <c r="K1381"/>
    </row>
    <row r="1382" spans="1:11" ht="13.5" customHeight="1">
      <c r="A1382"/>
      <c r="B1382"/>
      <c r="C1382"/>
      <c r="D1382"/>
      <c r="E1382"/>
      <c r="F1382"/>
      <c r="G1382"/>
      <c r="H1382"/>
      <c r="I1382"/>
      <c r="J1382"/>
      <c r="K1382"/>
    </row>
    <row r="1383" spans="1:11" ht="13.5" customHeight="1">
      <c r="A1383"/>
      <c r="B1383"/>
      <c r="C1383"/>
      <c r="D1383"/>
      <c r="E1383"/>
      <c r="F1383"/>
      <c r="G1383"/>
      <c r="H1383"/>
      <c r="I1383"/>
      <c r="J1383"/>
      <c r="K1383"/>
    </row>
    <row r="1384" spans="1:11" ht="13.5" customHeight="1">
      <c r="A1384"/>
      <c r="B1384"/>
      <c r="C1384"/>
      <c r="D1384"/>
      <c r="E1384"/>
      <c r="F1384"/>
      <c r="G1384"/>
      <c r="H1384"/>
      <c r="I1384"/>
      <c r="J1384"/>
      <c r="K1384"/>
    </row>
    <row r="1385" spans="1:11" ht="13.5" customHeight="1">
      <c r="A1385"/>
      <c r="B1385"/>
      <c r="C1385"/>
      <c r="D1385"/>
      <c r="E1385"/>
      <c r="F1385"/>
      <c r="G1385"/>
      <c r="H1385"/>
      <c r="I1385"/>
      <c r="J1385"/>
      <c r="K1385"/>
    </row>
    <row r="1386" spans="1:11" ht="13.5" customHeight="1">
      <c r="A1386"/>
      <c r="B1386"/>
      <c r="C1386"/>
      <c r="D1386"/>
      <c r="E1386"/>
      <c r="F1386"/>
      <c r="G1386"/>
      <c r="H1386"/>
      <c r="I1386"/>
      <c r="J1386"/>
      <c r="K1386"/>
    </row>
    <row r="1387" spans="1:11" ht="13.5" customHeight="1">
      <c r="A1387"/>
      <c r="B1387"/>
      <c r="C1387"/>
      <c r="D1387"/>
      <c r="E1387"/>
      <c r="F1387"/>
      <c r="G1387"/>
      <c r="H1387"/>
      <c r="I1387"/>
      <c r="J1387"/>
      <c r="K1387"/>
    </row>
    <row r="1388" spans="1:11" ht="13.5" customHeight="1">
      <c r="A1388"/>
      <c r="B1388"/>
      <c r="C1388"/>
      <c r="D1388"/>
      <c r="E1388"/>
      <c r="F1388"/>
      <c r="G1388"/>
      <c r="H1388"/>
      <c r="I1388"/>
      <c r="J1388"/>
      <c r="K1388"/>
    </row>
    <row r="1389" spans="1:11" ht="13.5" customHeight="1">
      <c r="A1389"/>
      <c r="B1389"/>
      <c r="C1389"/>
      <c r="D1389"/>
      <c r="E1389"/>
      <c r="F1389"/>
      <c r="G1389"/>
      <c r="H1389"/>
      <c r="I1389"/>
      <c r="J1389"/>
      <c r="K1389"/>
    </row>
    <row r="1390" spans="1:11" ht="13.5" customHeight="1">
      <c r="A1390"/>
      <c r="B1390"/>
      <c r="C1390"/>
      <c r="D1390"/>
      <c r="E1390"/>
      <c r="F1390"/>
      <c r="G1390"/>
      <c r="H1390"/>
      <c r="I1390"/>
      <c r="J1390"/>
      <c r="K1390"/>
    </row>
    <row r="1391" spans="1:11" ht="13.5" customHeight="1">
      <c r="A1391"/>
      <c r="B1391"/>
      <c r="C1391"/>
      <c r="D1391"/>
      <c r="E1391"/>
      <c r="F1391"/>
      <c r="G1391"/>
      <c r="H1391"/>
      <c r="I1391"/>
      <c r="J1391"/>
      <c r="K1391"/>
    </row>
    <row r="1392" spans="1:11" ht="13.5" customHeight="1">
      <c r="A1392"/>
      <c r="B1392"/>
      <c r="C1392"/>
      <c r="D1392"/>
      <c r="E1392"/>
      <c r="F1392"/>
      <c r="G1392"/>
      <c r="H1392"/>
      <c r="I1392"/>
      <c r="J1392"/>
      <c r="K1392"/>
    </row>
    <row r="1393" spans="1:11" ht="13.5" customHeight="1">
      <c r="A1393"/>
      <c r="B1393"/>
      <c r="C1393"/>
      <c r="D1393"/>
      <c r="E1393"/>
      <c r="F1393"/>
      <c r="G1393"/>
      <c r="H1393"/>
      <c r="I1393"/>
      <c r="J1393"/>
      <c r="K1393"/>
    </row>
    <row r="1394" spans="1:11" ht="13.5" customHeight="1">
      <c r="A1394"/>
      <c r="B1394"/>
      <c r="C1394"/>
      <c r="D1394"/>
      <c r="E1394"/>
      <c r="F1394"/>
      <c r="G1394"/>
      <c r="H1394"/>
      <c r="I1394"/>
      <c r="J1394"/>
      <c r="K1394"/>
    </row>
    <row r="1395" spans="1:11" ht="13.5" customHeight="1">
      <c r="A1395"/>
      <c r="B1395"/>
      <c r="C1395"/>
      <c r="D1395"/>
      <c r="E1395"/>
      <c r="F1395"/>
      <c r="G1395"/>
      <c r="H1395"/>
      <c r="I1395"/>
      <c r="J1395"/>
      <c r="K1395"/>
    </row>
    <row r="1396" spans="1:11" ht="13.5" customHeight="1">
      <c r="A1396"/>
      <c r="B1396"/>
      <c r="C1396"/>
      <c r="D1396"/>
      <c r="E1396"/>
      <c r="F1396"/>
      <c r="G1396"/>
      <c r="H1396"/>
      <c r="I1396"/>
      <c r="J1396"/>
      <c r="K1396"/>
    </row>
    <row r="1397" spans="1:11" ht="13.5" customHeight="1">
      <c r="A1397"/>
      <c r="B1397"/>
      <c r="C1397"/>
      <c r="D1397"/>
      <c r="E1397"/>
      <c r="F1397"/>
      <c r="G1397"/>
      <c r="H1397"/>
      <c r="I1397"/>
      <c r="J1397"/>
      <c r="K1397"/>
    </row>
    <row r="1398" spans="1:11" ht="13.5" customHeight="1">
      <c r="A1398"/>
      <c r="B1398"/>
      <c r="C1398"/>
      <c r="D1398"/>
      <c r="E1398"/>
      <c r="F1398"/>
      <c r="G1398"/>
      <c r="H1398"/>
      <c r="I1398"/>
      <c r="J1398"/>
      <c r="K1398"/>
    </row>
    <row r="1399" spans="1:11" ht="13.5" customHeight="1">
      <c r="A1399"/>
      <c r="B1399"/>
      <c r="C1399"/>
      <c r="D1399"/>
      <c r="E1399"/>
      <c r="F1399"/>
      <c r="G1399"/>
      <c r="H1399"/>
      <c r="I1399"/>
      <c r="J1399"/>
      <c r="K1399"/>
    </row>
    <row r="1400" spans="1:11" ht="13.5" customHeight="1">
      <c r="A1400"/>
      <c r="B1400"/>
      <c r="C1400"/>
      <c r="D1400"/>
      <c r="E1400"/>
      <c r="F1400"/>
      <c r="G1400"/>
      <c r="H1400"/>
      <c r="I1400"/>
      <c r="J1400"/>
      <c r="K1400"/>
    </row>
    <row r="1401" spans="1:11" ht="13.5" customHeight="1">
      <c r="A1401"/>
      <c r="B1401"/>
      <c r="C1401"/>
      <c r="D1401"/>
      <c r="E1401"/>
      <c r="F1401"/>
      <c r="G1401"/>
      <c r="H1401"/>
      <c r="I1401"/>
      <c r="J1401"/>
      <c r="K1401"/>
    </row>
    <row r="1402" spans="1:11" ht="13.5" customHeight="1">
      <c r="A1402"/>
      <c r="B1402"/>
      <c r="C1402"/>
      <c r="D1402"/>
      <c r="E1402"/>
      <c r="F1402"/>
      <c r="G1402"/>
      <c r="H1402"/>
      <c r="I1402"/>
      <c r="J1402"/>
      <c r="K1402"/>
    </row>
    <row r="1403" spans="1:11" ht="13.5" customHeight="1">
      <c r="A1403"/>
      <c r="B1403"/>
      <c r="C1403"/>
      <c r="D1403"/>
      <c r="E1403"/>
      <c r="F1403"/>
      <c r="G1403"/>
      <c r="H1403"/>
      <c r="I1403"/>
      <c r="J1403"/>
      <c r="K1403"/>
    </row>
    <row r="1404" spans="1:11" ht="13.5" customHeight="1">
      <c r="A1404"/>
      <c r="B1404"/>
      <c r="C1404"/>
      <c r="D1404"/>
      <c r="E1404"/>
      <c r="F1404"/>
      <c r="G1404"/>
      <c r="H1404"/>
      <c r="I1404"/>
      <c r="J1404"/>
      <c r="K1404"/>
    </row>
    <row r="1405" spans="1:11" ht="13.5" customHeight="1">
      <c r="A1405"/>
      <c r="B1405"/>
      <c r="C1405"/>
      <c r="D1405"/>
      <c r="E1405"/>
      <c r="F1405"/>
      <c r="G1405"/>
      <c r="H1405"/>
      <c r="I1405"/>
      <c r="J1405"/>
      <c r="K1405"/>
    </row>
    <row r="1406" spans="1:11" ht="13.5" customHeight="1">
      <c r="A1406"/>
      <c r="B1406"/>
      <c r="C1406"/>
      <c r="D1406"/>
      <c r="E1406"/>
      <c r="F1406"/>
      <c r="G1406"/>
      <c r="H1406"/>
      <c r="I1406"/>
      <c r="J1406"/>
      <c r="K1406"/>
    </row>
    <row r="1407" spans="1:11" ht="13.5" customHeight="1">
      <c r="A1407"/>
      <c r="B1407"/>
      <c r="C1407"/>
      <c r="D1407"/>
      <c r="E1407"/>
      <c r="F1407"/>
      <c r="G1407"/>
      <c r="H1407"/>
      <c r="I1407"/>
      <c r="J1407"/>
      <c r="K1407"/>
    </row>
    <row r="1408" spans="1:11" ht="13.5" customHeight="1">
      <c r="A1408"/>
      <c r="B1408"/>
      <c r="C1408"/>
      <c r="D1408"/>
      <c r="E1408"/>
      <c r="F1408"/>
      <c r="G1408"/>
      <c r="H1408"/>
      <c r="I1408"/>
      <c r="J1408"/>
      <c r="K1408"/>
    </row>
    <row r="1409" spans="1:11" ht="13.5" customHeight="1">
      <c r="A1409"/>
      <c r="B1409"/>
      <c r="C1409"/>
      <c r="D1409"/>
      <c r="E1409"/>
      <c r="F1409"/>
      <c r="G1409"/>
      <c r="H1409"/>
      <c r="I1409"/>
      <c r="J1409"/>
      <c r="K1409"/>
    </row>
    <row r="1410" spans="1:11" ht="13.5" customHeight="1">
      <c r="A1410"/>
      <c r="B1410"/>
      <c r="C1410"/>
      <c r="D1410"/>
      <c r="E1410"/>
      <c r="F1410"/>
      <c r="G1410"/>
      <c r="H1410"/>
      <c r="I1410"/>
      <c r="J1410"/>
      <c r="K1410"/>
    </row>
    <row r="1411" spans="1:11" ht="13.5" customHeight="1">
      <c r="A1411"/>
      <c r="B1411"/>
      <c r="C1411"/>
      <c r="D1411"/>
      <c r="E1411"/>
      <c r="F1411"/>
      <c r="G1411"/>
      <c r="H1411"/>
      <c r="I1411"/>
      <c r="J1411"/>
      <c r="K1411"/>
    </row>
    <row r="1412" spans="1:11" ht="13.5" customHeight="1">
      <c r="A1412"/>
      <c r="B1412"/>
      <c r="C1412"/>
      <c r="D1412"/>
      <c r="E1412"/>
      <c r="F1412"/>
      <c r="G1412"/>
      <c r="H1412"/>
      <c r="I1412"/>
      <c r="J1412"/>
      <c r="K1412"/>
    </row>
    <row r="1413" spans="1:11" ht="13.5" customHeight="1">
      <c r="A1413"/>
      <c r="B1413"/>
      <c r="C1413"/>
      <c r="D1413"/>
      <c r="E1413"/>
      <c r="F1413"/>
      <c r="G1413"/>
      <c r="H1413"/>
      <c r="I1413"/>
      <c r="J1413"/>
      <c r="K1413"/>
    </row>
    <row r="1414" spans="1:11" ht="13.5" customHeight="1">
      <c r="A1414"/>
      <c r="B1414"/>
      <c r="C1414"/>
      <c r="D1414"/>
      <c r="E1414"/>
      <c r="F1414"/>
      <c r="G1414"/>
      <c r="H1414"/>
      <c r="I1414"/>
      <c r="J1414"/>
      <c r="K1414"/>
    </row>
    <row r="1415" spans="1:11" ht="13.5" customHeight="1">
      <c r="A1415"/>
      <c r="B1415"/>
      <c r="C1415"/>
      <c r="D1415"/>
      <c r="E1415"/>
      <c r="F1415"/>
      <c r="G1415"/>
      <c r="H1415"/>
      <c r="I1415"/>
      <c r="J1415"/>
      <c r="K1415"/>
    </row>
    <row r="1416" spans="1:11" ht="13.5" customHeight="1">
      <c r="A1416"/>
      <c r="B1416"/>
      <c r="C1416"/>
      <c r="D1416"/>
      <c r="E1416"/>
      <c r="F1416"/>
      <c r="G1416"/>
      <c r="H1416"/>
      <c r="I1416"/>
      <c r="J1416"/>
      <c r="K1416"/>
    </row>
    <row r="1417" spans="1:11" ht="13.5" customHeight="1">
      <c r="A1417"/>
      <c r="B1417"/>
      <c r="C1417"/>
      <c r="D1417"/>
      <c r="E1417"/>
      <c r="F1417"/>
      <c r="G1417"/>
      <c r="H1417"/>
      <c r="I1417"/>
      <c r="J1417"/>
      <c r="K1417"/>
    </row>
    <row r="1418" spans="1:11" ht="13.5" customHeight="1">
      <c r="A1418"/>
      <c r="B1418"/>
      <c r="C1418"/>
      <c r="D1418"/>
      <c r="E1418"/>
      <c r="F1418"/>
      <c r="G1418"/>
      <c r="H1418"/>
      <c r="I1418"/>
      <c r="J1418"/>
      <c r="K1418"/>
    </row>
    <row r="1419" spans="1:11" ht="13.5" customHeight="1">
      <c r="A1419"/>
      <c r="B1419"/>
      <c r="C1419"/>
      <c r="D1419"/>
      <c r="E1419"/>
      <c r="F1419"/>
      <c r="G1419"/>
      <c r="H1419"/>
      <c r="I1419"/>
      <c r="J1419"/>
      <c r="K1419"/>
    </row>
    <row r="1420" spans="1:11" ht="13.5" customHeight="1">
      <c r="A1420"/>
      <c r="B1420"/>
      <c r="C1420"/>
      <c r="D1420"/>
      <c r="E1420"/>
      <c r="F1420"/>
      <c r="G1420"/>
      <c r="H1420"/>
      <c r="I1420"/>
      <c r="J1420"/>
      <c r="K1420"/>
    </row>
    <row r="1421" spans="1:11" ht="13.5" customHeight="1">
      <c r="A1421"/>
      <c r="B1421"/>
      <c r="C1421"/>
      <c r="D1421"/>
      <c r="E1421"/>
      <c r="F1421"/>
      <c r="G1421"/>
      <c r="H1421"/>
      <c r="I1421"/>
      <c r="J1421"/>
      <c r="K1421"/>
    </row>
    <row r="1422" spans="1:11" ht="13.5" customHeight="1">
      <c r="A1422"/>
      <c r="B1422"/>
      <c r="C1422"/>
      <c r="D1422"/>
      <c r="E1422"/>
      <c r="F1422"/>
      <c r="G1422"/>
      <c r="H1422"/>
      <c r="I1422"/>
      <c r="J1422"/>
      <c r="K1422"/>
    </row>
    <row r="1423" spans="1:11" ht="13.5" customHeight="1">
      <c r="A1423"/>
      <c r="B1423"/>
      <c r="C1423"/>
      <c r="D1423"/>
      <c r="E1423"/>
      <c r="F1423"/>
      <c r="G1423"/>
      <c r="H1423"/>
      <c r="I1423"/>
      <c r="J1423"/>
      <c r="K1423"/>
    </row>
    <row r="1424" spans="1:11" ht="13.5" customHeight="1">
      <c r="A1424"/>
      <c r="B1424"/>
      <c r="C1424"/>
      <c r="D1424"/>
      <c r="E1424"/>
      <c r="F1424"/>
      <c r="G1424"/>
      <c r="H1424"/>
      <c r="I1424"/>
      <c r="J1424"/>
      <c r="K1424"/>
    </row>
    <row r="1425" spans="1:11" ht="13.5" customHeight="1">
      <c r="A1425"/>
      <c r="B1425"/>
      <c r="C1425"/>
      <c r="D1425"/>
      <c r="E1425"/>
      <c r="F1425"/>
      <c r="G1425"/>
      <c r="H1425"/>
      <c r="I1425"/>
      <c r="J1425"/>
      <c r="K1425"/>
    </row>
    <row r="1426" spans="1:11" ht="13.5" customHeight="1">
      <c r="A1426"/>
      <c r="B1426"/>
      <c r="C1426"/>
      <c r="D1426"/>
      <c r="E1426"/>
      <c r="F1426"/>
      <c r="G1426"/>
      <c r="H1426"/>
      <c r="I1426"/>
      <c r="J1426"/>
      <c r="K1426"/>
    </row>
    <row r="1427" spans="1:11" ht="13.5" customHeight="1">
      <c r="A1427"/>
      <c r="B1427"/>
      <c r="C1427"/>
      <c r="D1427"/>
      <c r="E1427"/>
      <c r="F1427"/>
      <c r="G1427"/>
      <c r="H1427"/>
      <c r="I1427"/>
      <c r="J1427"/>
      <c r="K1427"/>
    </row>
    <row r="1428" spans="1:11" ht="13.5" customHeight="1">
      <c r="A1428"/>
      <c r="B1428"/>
      <c r="C1428"/>
      <c r="D1428"/>
      <c r="E1428"/>
      <c r="F1428"/>
      <c r="G1428"/>
      <c r="H1428"/>
      <c r="I1428"/>
      <c r="J1428"/>
      <c r="K1428"/>
    </row>
    <row r="1429" spans="1:11" ht="13.5" customHeight="1">
      <c r="A1429"/>
      <c r="B1429"/>
      <c r="C1429"/>
      <c r="D1429"/>
      <c r="E1429"/>
      <c r="F1429"/>
      <c r="G1429"/>
      <c r="H1429"/>
      <c r="I1429"/>
      <c r="J1429"/>
      <c r="K1429"/>
    </row>
    <row r="1430" spans="1:11" ht="13.5" customHeight="1">
      <c r="A1430"/>
      <c r="B1430"/>
      <c r="C1430"/>
      <c r="D1430"/>
      <c r="E1430"/>
      <c r="F1430"/>
      <c r="G1430"/>
      <c r="H1430"/>
      <c r="I1430"/>
      <c r="J1430"/>
      <c r="K1430"/>
    </row>
    <row r="1431" spans="1:11" ht="13.5" customHeight="1">
      <c r="A1431"/>
      <c r="B1431"/>
      <c r="C1431"/>
      <c r="D1431"/>
      <c r="E1431"/>
      <c r="F1431"/>
      <c r="G1431"/>
      <c r="H1431"/>
      <c r="I1431"/>
      <c r="J1431"/>
      <c r="K1431"/>
    </row>
    <row r="1432" spans="1:11" ht="13.5" customHeight="1">
      <c r="A1432"/>
      <c r="B1432"/>
      <c r="C1432"/>
      <c r="D1432"/>
      <c r="E1432"/>
      <c r="F1432"/>
      <c r="G1432"/>
      <c r="H1432"/>
      <c r="I1432"/>
      <c r="J1432"/>
      <c r="K1432"/>
    </row>
    <row r="1433" spans="1:11" ht="13.5" customHeight="1">
      <c r="A1433"/>
      <c r="B1433"/>
      <c r="C1433"/>
      <c r="D1433"/>
      <c r="E1433"/>
      <c r="F1433"/>
      <c r="G1433"/>
      <c r="H1433"/>
      <c r="I1433"/>
      <c r="J1433"/>
      <c r="K1433"/>
    </row>
    <row r="1434" spans="1:11" ht="13.5" customHeight="1">
      <c r="A1434"/>
      <c r="B1434"/>
      <c r="C1434"/>
      <c r="D1434"/>
      <c r="E1434"/>
      <c r="F1434"/>
      <c r="G1434"/>
      <c r="H1434"/>
      <c r="I1434"/>
      <c r="J1434"/>
      <c r="K1434"/>
    </row>
    <row r="1435" spans="1:11" ht="13.5" customHeight="1">
      <c r="A1435"/>
      <c r="B1435"/>
      <c r="C1435"/>
      <c r="D1435"/>
      <c r="E1435"/>
      <c r="F1435"/>
      <c r="G1435"/>
      <c r="H1435"/>
      <c r="I1435"/>
      <c r="J1435"/>
      <c r="K1435"/>
    </row>
    <row r="1436" spans="1:11" ht="13.5" customHeight="1">
      <c r="A1436"/>
      <c r="B1436"/>
      <c r="C1436"/>
      <c r="D1436"/>
      <c r="E1436"/>
      <c r="F1436"/>
      <c r="G1436"/>
      <c r="H1436"/>
      <c r="I1436"/>
      <c r="J1436"/>
      <c r="K1436"/>
    </row>
    <row r="1437" spans="1:11" ht="13.5" customHeight="1">
      <c r="A1437"/>
      <c r="B1437"/>
      <c r="C1437"/>
      <c r="D1437"/>
      <c r="E1437"/>
      <c r="F1437"/>
      <c r="G1437"/>
      <c r="H1437"/>
      <c r="I1437"/>
      <c r="J1437"/>
      <c r="K1437"/>
    </row>
    <row r="1438" spans="1:11" ht="13.5" customHeight="1">
      <c r="A1438"/>
      <c r="B1438"/>
      <c r="C1438"/>
      <c r="D1438"/>
      <c r="E1438"/>
      <c r="F1438"/>
      <c r="G1438"/>
      <c r="H1438"/>
      <c r="I1438"/>
      <c r="J1438"/>
      <c r="K1438"/>
    </row>
    <row r="1439" spans="1:11" ht="13.5" customHeight="1">
      <c r="A1439"/>
      <c r="B1439"/>
      <c r="C1439"/>
      <c r="D1439"/>
      <c r="E1439"/>
      <c r="F1439"/>
      <c r="G1439"/>
      <c r="H1439"/>
      <c r="I1439"/>
      <c r="J1439"/>
      <c r="K1439"/>
    </row>
    <row r="1440" spans="1:11" ht="13.5" customHeight="1">
      <c r="A1440"/>
      <c r="B1440"/>
      <c r="C1440"/>
      <c r="D1440"/>
      <c r="E1440"/>
      <c r="F1440"/>
      <c r="G1440"/>
      <c r="H1440"/>
      <c r="I1440"/>
      <c r="J1440"/>
      <c r="K1440"/>
    </row>
    <row r="1441" spans="1:11" ht="13.5" customHeight="1">
      <c r="A1441"/>
      <c r="B1441"/>
      <c r="C1441"/>
      <c r="D1441"/>
      <c r="E1441"/>
      <c r="F1441"/>
      <c r="G1441"/>
      <c r="H1441"/>
      <c r="I1441"/>
      <c r="J1441"/>
      <c r="K1441"/>
    </row>
    <row r="1442" spans="1:11" ht="13.5" customHeight="1">
      <c r="A1442"/>
      <c r="B1442"/>
      <c r="C1442"/>
      <c r="D1442"/>
      <c r="E1442"/>
      <c r="F1442"/>
      <c r="G1442"/>
      <c r="H1442"/>
      <c r="I1442"/>
      <c r="J1442"/>
      <c r="K1442"/>
    </row>
    <row r="1443" spans="1:11" ht="13.5" customHeight="1">
      <c r="A1443"/>
      <c r="B1443"/>
      <c r="C1443"/>
      <c r="D1443"/>
      <c r="E1443"/>
      <c r="F1443"/>
      <c r="G1443"/>
      <c r="H1443"/>
      <c r="I1443"/>
      <c r="J1443"/>
      <c r="K1443"/>
    </row>
    <row r="1444" spans="1:11" ht="13.5" customHeight="1">
      <c r="A1444"/>
      <c r="B1444"/>
      <c r="C1444"/>
      <c r="D1444"/>
      <c r="E1444"/>
      <c r="F1444"/>
      <c r="G1444"/>
      <c r="H1444"/>
      <c r="I1444"/>
      <c r="J1444"/>
      <c r="K1444"/>
    </row>
    <row r="1445" spans="1:11" ht="13.5" customHeight="1">
      <c r="A1445"/>
      <c r="B1445"/>
      <c r="C1445"/>
      <c r="D1445"/>
      <c r="E1445"/>
      <c r="F1445"/>
      <c r="G1445"/>
      <c r="H1445"/>
      <c r="I1445"/>
      <c r="J1445"/>
      <c r="K1445"/>
    </row>
    <row r="1446" spans="1:11" ht="13.5" customHeight="1">
      <c r="A1446"/>
      <c r="B1446"/>
      <c r="C1446"/>
      <c r="D1446"/>
      <c r="E1446"/>
      <c r="F1446"/>
      <c r="G1446"/>
      <c r="H1446"/>
      <c r="I1446"/>
      <c r="J1446"/>
      <c r="K1446"/>
    </row>
    <row r="1447" spans="1:11" ht="13.5" customHeight="1">
      <c r="A1447"/>
      <c r="B1447"/>
      <c r="C1447"/>
      <c r="D1447"/>
      <c r="E1447"/>
      <c r="F1447"/>
      <c r="G1447"/>
      <c r="H1447"/>
      <c r="I1447"/>
      <c r="J1447"/>
      <c r="K1447"/>
    </row>
    <row r="1448" spans="1:11" ht="13.5" customHeight="1">
      <c r="A1448"/>
      <c r="B1448"/>
      <c r="C1448"/>
      <c r="D1448"/>
      <c r="E1448"/>
      <c r="F1448"/>
      <c r="G1448"/>
      <c r="H1448"/>
      <c r="I1448"/>
      <c r="J1448"/>
      <c r="K1448"/>
    </row>
    <row r="1449" spans="1:11" ht="13.5" customHeight="1">
      <c r="A1449"/>
      <c r="B1449"/>
      <c r="C1449"/>
      <c r="D1449"/>
      <c r="E1449"/>
      <c r="F1449"/>
      <c r="G1449"/>
      <c r="H1449"/>
      <c r="I1449"/>
      <c r="J1449"/>
      <c r="K1449"/>
    </row>
    <row r="1450" spans="1:11" ht="13.5" customHeight="1">
      <c r="A1450"/>
      <c r="B1450"/>
      <c r="C1450"/>
      <c r="D1450"/>
      <c r="E1450"/>
      <c r="F1450"/>
      <c r="G1450"/>
      <c r="H1450"/>
      <c r="I1450"/>
      <c r="J1450"/>
      <c r="K1450"/>
    </row>
    <row r="1451" spans="1:11" ht="13.5" customHeight="1">
      <c r="A1451"/>
      <c r="B1451"/>
      <c r="C1451"/>
      <c r="D1451"/>
      <c r="E1451"/>
      <c r="F1451"/>
      <c r="G1451"/>
      <c r="H1451"/>
      <c r="I1451"/>
      <c r="J1451"/>
      <c r="K1451"/>
    </row>
    <row r="1452" spans="1:11" ht="13.5" customHeight="1">
      <c r="A1452"/>
      <c r="B1452"/>
      <c r="C1452"/>
      <c r="D1452"/>
      <c r="E1452"/>
      <c r="F1452"/>
      <c r="G1452"/>
      <c r="H1452"/>
      <c r="I1452"/>
      <c r="J1452"/>
      <c r="K1452"/>
    </row>
    <row r="1453" spans="1:11" ht="13.5" customHeight="1">
      <c r="A1453"/>
      <c r="B1453"/>
      <c r="C1453"/>
      <c r="D1453"/>
      <c r="E1453"/>
      <c r="F1453"/>
      <c r="G1453"/>
      <c r="H1453"/>
      <c r="I1453"/>
      <c r="J1453"/>
      <c r="K1453"/>
    </row>
    <row r="1454" spans="1:11" ht="13.5" customHeight="1">
      <c r="A1454"/>
      <c r="B1454"/>
      <c r="C1454"/>
      <c r="D1454"/>
      <c r="E1454"/>
      <c r="F1454"/>
      <c r="G1454"/>
      <c r="H1454"/>
      <c r="I1454"/>
      <c r="J1454"/>
      <c r="K1454"/>
    </row>
    <row r="1455" spans="1:11" ht="13.5" customHeight="1">
      <c r="A1455"/>
      <c r="B1455"/>
      <c r="C1455"/>
      <c r="D1455"/>
      <c r="E1455"/>
      <c r="F1455"/>
      <c r="G1455"/>
      <c r="H1455"/>
      <c r="I1455"/>
      <c r="J1455"/>
      <c r="K1455"/>
    </row>
    <row r="1456" spans="1:11" ht="13.5" customHeight="1">
      <c r="A1456"/>
      <c r="B1456"/>
      <c r="C1456"/>
      <c r="D1456"/>
      <c r="E1456"/>
      <c r="F1456"/>
      <c r="G1456"/>
      <c r="H1456"/>
      <c r="I1456"/>
      <c r="J1456"/>
      <c r="K1456"/>
    </row>
    <row r="1457" spans="1:11" ht="13.5" customHeight="1">
      <c r="A1457"/>
      <c r="B1457"/>
      <c r="C1457"/>
      <c r="D1457"/>
      <c r="E1457"/>
      <c r="F1457"/>
      <c r="G1457"/>
      <c r="H1457"/>
      <c r="I1457"/>
      <c r="J1457"/>
      <c r="K1457"/>
    </row>
    <row r="1458" spans="1:11" ht="13.5" customHeight="1">
      <c r="A1458"/>
      <c r="B1458"/>
      <c r="C1458"/>
      <c r="D1458"/>
      <c r="E1458"/>
      <c r="F1458"/>
      <c r="G1458"/>
      <c r="H1458"/>
      <c r="I1458"/>
      <c r="J1458"/>
      <c r="K1458"/>
    </row>
    <row r="1459" spans="1:11" ht="13.5" customHeight="1">
      <c r="A1459"/>
      <c r="B1459"/>
      <c r="C1459"/>
      <c r="D1459"/>
      <c r="E1459"/>
      <c r="F1459"/>
      <c r="G1459"/>
      <c r="H1459"/>
      <c r="I1459"/>
      <c r="J1459"/>
      <c r="K1459"/>
    </row>
    <row r="1460" spans="1:11" ht="13.5" customHeight="1">
      <c r="A1460"/>
      <c r="B1460"/>
      <c r="C1460"/>
      <c r="D1460"/>
      <c r="E1460"/>
      <c r="F1460"/>
      <c r="G1460"/>
      <c r="H1460"/>
      <c r="I1460"/>
      <c r="J1460"/>
      <c r="K1460"/>
    </row>
    <row r="1461" spans="1:11" ht="13.5" customHeight="1">
      <c r="A1461"/>
      <c r="B1461"/>
      <c r="C1461"/>
      <c r="D1461"/>
      <c r="E1461"/>
      <c r="F1461"/>
      <c r="G1461"/>
      <c r="H1461"/>
      <c r="I1461"/>
      <c r="J1461"/>
      <c r="K1461"/>
    </row>
    <row r="1462" spans="1:11" ht="13.5" customHeight="1">
      <c r="A1462"/>
      <c r="B1462"/>
      <c r="C1462"/>
      <c r="D1462"/>
      <c r="E1462"/>
      <c r="F1462"/>
      <c r="G1462"/>
      <c r="H1462"/>
      <c r="I1462"/>
      <c r="J1462"/>
      <c r="K1462"/>
    </row>
    <row r="1463" spans="1:11" ht="13.5" customHeight="1">
      <c r="A1463"/>
      <c r="B1463"/>
      <c r="C1463"/>
      <c r="D1463"/>
      <c r="E1463"/>
      <c r="F1463"/>
      <c r="G1463"/>
      <c r="H1463"/>
      <c r="I1463"/>
      <c r="J1463"/>
      <c r="K1463"/>
    </row>
    <row r="1464" spans="1:11" ht="13.5" customHeight="1">
      <c r="A1464"/>
      <c r="B1464"/>
      <c r="C1464"/>
      <c r="D1464"/>
      <c r="E1464"/>
      <c r="F1464"/>
      <c r="G1464"/>
      <c r="H1464"/>
      <c r="I1464"/>
      <c r="J1464"/>
      <c r="K1464"/>
    </row>
    <row r="1465" spans="1:11" ht="13.5" customHeight="1">
      <c r="A1465"/>
      <c r="B1465"/>
      <c r="C1465"/>
      <c r="D1465"/>
      <c r="E1465"/>
      <c r="F1465"/>
      <c r="G1465"/>
      <c r="H1465"/>
      <c r="I1465"/>
      <c r="J1465"/>
      <c r="K1465"/>
    </row>
    <row r="1466" spans="1:11" ht="13.5" customHeight="1">
      <c r="A1466"/>
      <c r="B1466"/>
      <c r="C1466"/>
      <c r="D1466"/>
      <c r="E1466"/>
      <c r="F1466"/>
      <c r="G1466"/>
      <c r="H1466"/>
      <c r="I1466"/>
      <c r="J1466"/>
      <c r="K1466"/>
    </row>
    <row r="1467" spans="1:11" ht="13.5" customHeight="1">
      <c r="A1467"/>
      <c r="B1467"/>
      <c r="C1467"/>
      <c r="D1467"/>
      <c r="E1467"/>
      <c r="F1467"/>
      <c r="G1467"/>
      <c r="H1467"/>
      <c r="I1467"/>
      <c r="J1467"/>
      <c r="K1467"/>
    </row>
    <row r="1468" spans="1:11" ht="13.5" customHeight="1">
      <c r="A1468"/>
      <c r="B1468"/>
      <c r="C1468"/>
      <c r="D1468"/>
      <c r="E1468"/>
      <c r="F1468"/>
      <c r="G1468"/>
      <c r="H1468"/>
      <c r="I1468"/>
      <c r="J1468"/>
      <c r="K1468"/>
    </row>
    <row r="1469" spans="1:11" ht="13.5" customHeight="1">
      <c r="A1469"/>
      <c r="B1469"/>
      <c r="C1469"/>
      <c r="D1469"/>
      <c r="E1469"/>
      <c r="F1469"/>
      <c r="G1469"/>
      <c r="H1469"/>
      <c r="I1469"/>
      <c r="J1469"/>
      <c r="K1469"/>
    </row>
    <row r="1470" spans="1:11" ht="13.5" customHeight="1">
      <c r="A1470"/>
      <c r="B1470"/>
      <c r="C1470"/>
      <c r="D1470"/>
      <c r="E1470"/>
      <c r="F1470"/>
      <c r="G1470"/>
      <c r="H1470"/>
      <c r="I1470"/>
      <c r="J1470"/>
      <c r="K1470"/>
    </row>
    <row r="1471" spans="1:11" ht="13.5" customHeight="1">
      <c r="A1471"/>
      <c r="B1471"/>
      <c r="C1471"/>
      <c r="D1471"/>
      <c r="E1471"/>
      <c r="F1471"/>
      <c r="G1471"/>
      <c r="H1471"/>
      <c r="I1471"/>
      <c r="J1471"/>
      <c r="K1471"/>
    </row>
    <row r="1472" spans="1:11" ht="13.5" customHeight="1">
      <c r="A1472"/>
      <c r="B1472"/>
      <c r="C1472"/>
      <c r="D1472"/>
      <c r="E1472"/>
      <c r="F1472"/>
      <c r="G1472"/>
      <c r="H1472"/>
      <c r="I1472"/>
      <c r="J1472"/>
      <c r="K1472"/>
    </row>
    <row r="1473" spans="1:11" ht="13.5" customHeight="1">
      <c r="A1473"/>
      <c r="B1473"/>
      <c r="C1473"/>
      <c r="D1473"/>
      <c r="E1473"/>
      <c r="F1473"/>
      <c r="G1473"/>
      <c r="H1473"/>
      <c r="I1473"/>
      <c r="J1473"/>
      <c r="K1473"/>
    </row>
    <row r="1474" spans="1:11" ht="13.5" customHeight="1">
      <c r="A1474"/>
      <c r="B1474"/>
      <c r="C1474"/>
      <c r="D1474"/>
      <c r="E1474"/>
      <c r="F1474"/>
      <c r="G1474"/>
      <c r="H1474"/>
      <c r="I1474"/>
      <c r="J1474"/>
      <c r="K1474"/>
    </row>
    <row r="1475" spans="1:11" ht="13.5" customHeight="1">
      <c r="A1475"/>
      <c r="B1475"/>
      <c r="C1475"/>
      <c r="D1475"/>
      <c r="E1475"/>
      <c r="F1475"/>
      <c r="G1475"/>
      <c r="H1475"/>
      <c r="I1475"/>
      <c r="J1475"/>
      <c r="K1475"/>
    </row>
    <row r="1476" spans="1:11" ht="13.5" customHeight="1">
      <c r="A1476"/>
      <c r="B1476"/>
      <c r="C1476"/>
      <c r="D1476"/>
      <c r="E1476"/>
      <c r="F1476"/>
      <c r="G1476"/>
      <c r="H1476"/>
      <c r="I1476"/>
      <c r="J1476"/>
      <c r="K1476"/>
    </row>
    <row r="1477" spans="1:11" ht="13.5" customHeight="1">
      <c r="A1477"/>
      <c r="B1477"/>
      <c r="C1477"/>
      <c r="D1477"/>
      <c r="E1477"/>
      <c r="F1477"/>
      <c r="G1477"/>
      <c r="H1477"/>
      <c r="I1477"/>
      <c r="J1477"/>
      <c r="K1477"/>
    </row>
    <row r="1478" spans="1:11" ht="13.5" customHeight="1">
      <c r="A1478"/>
      <c r="B1478"/>
      <c r="C1478"/>
      <c r="D1478"/>
      <c r="E1478"/>
      <c r="F1478"/>
      <c r="G1478"/>
      <c r="H1478"/>
      <c r="I1478"/>
      <c r="J1478"/>
      <c r="K1478"/>
    </row>
    <row r="1479" spans="1:11" ht="13.5" customHeight="1">
      <c r="A1479"/>
      <c r="B1479"/>
      <c r="C1479"/>
      <c r="D1479"/>
      <c r="E1479"/>
      <c r="F1479"/>
      <c r="G1479"/>
      <c r="H1479"/>
      <c r="I1479"/>
      <c r="J1479"/>
      <c r="K1479"/>
    </row>
    <row r="1480" spans="1:11" ht="13.5" customHeight="1">
      <c r="A1480"/>
      <c r="B1480"/>
      <c r="C1480"/>
      <c r="D1480"/>
      <c r="E1480"/>
      <c r="F1480"/>
      <c r="G1480"/>
      <c r="H1480"/>
      <c r="I1480"/>
      <c r="J1480"/>
      <c r="K1480"/>
    </row>
    <row r="1481" spans="1:11" ht="13.5" customHeight="1">
      <c r="A1481"/>
      <c r="B1481"/>
      <c r="C1481"/>
      <c r="D1481"/>
      <c r="E1481"/>
      <c r="F1481"/>
      <c r="G1481"/>
      <c r="H1481"/>
      <c r="I1481"/>
      <c r="J1481"/>
      <c r="K1481"/>
    </row>
    <row r="1482" spans="1:11" ht="13.5" customHeight="1">
      <c r="A1482"/>
      <c r="B1482"/>
      <c r="C1482"/>
      <c r="D1482"/>
      <c r="E1482"/>
      <c r="F1482"/>
      <c r="G1482"/>
      <c r="H1482"/>
      <c r="I1482"/>
      <c r="J1482"/>
      <c r="K1482"/>
    </row>
    <row r="1483" spans="1:11" ht="13.5" customHeight="1">
      <c r="A1483"/>
      <c r="B1483"/>
      <c r="C1483"/>
      <c r="D1483"/>
      <c r="E1483"/>
      <c r="F1483"/>
      <c r="G1483"/>
      <c r="H1483"/>
      <c r="I1483"/>
      <c r="J1483"/>
      <c r="K1483"/>
    </row>
    <row r="1484" spans="1:11" ht="13.5" customHeight="1">
      <c r="A1484"/>
      <c r="B1484"/>
      <c r="C1484"/>
      <c r="D1484"/>
      <c r="E1484"/>
      <c r="F1484"/>
      <c r="G1484"/>
      <c r="H1484"/>
      <c r="I1484"/>
      <c r="J1484"/>
      <c r="K1484"/>
    </row>
    <row r="1485" spans="1:11" ht="13.5" customHeight="1">
      <c r="A1485"/>
      <c r="B1485"/>
      <c r="C1485"/>
      <c r="D1485"/>
      <c r="E1485"/>
      <c r="F1485"/>
      <c r="G1485"/>
      <c r="H1485"/>
      <c r="I1485"/>
      <c r="J1485"/>
      <c r="K1485"/>
    </row>
    <row r="1486" spans="1:11" ht="13.5" customHeight="1">
      <c r="A1486"/>
      <c r="B1486"/>
      <c r="C1486"/>
      <c r="D1486"/>
      <c r="E1486"/>
      <c r="F1486"/>
      <c r="G1486"/>
      <c r="H1486"/>
      <c r="I1486"/>
      <c r="J1486"/>
      <c r="K1486"/>
    </row>
    <row r="1487" spans="1:11" ht="13.5" customHeight="1">
      <c r="A1487"/>
      <c r="B1487"/>
      <c r="C1487"/>
      <c r="D1487"/>
      <c r="E1487"/>
      <c r="F1487"/>
      <c r="G1487"/>
      <c r="H1487"/>
      <c r="I1487"/>
      <c r="J1487"/>
      <c r="K1487"/>
    </row>
    <row r="1488" spans="1:11" ht="13.5" customHeight="1">
      <c r="A1488"/>
      <c r="B1488"/>
      <c r="C1488"/>
      <c r="D1488"/>
      <c r="E1488"/>
      <c r="F1488"/>
      <c r="G1488"/>
      <c r="H1488"/>
      <c r="I1488"/>
      <c r="J1488"/>
      <c r="K1488"/>
    </row>
    <row r="1489" spans="1:11" ht="13.5" customHeight="1">
      <c r="A1489"/>
      <c r="B1489"/>
      <c r="C1489"/>
      <c r="D1489"/>
      <c r="E1489"/>
      <c r="F1489"/>
      <c r="G1489"/>
      <c r="H1489"/>
      <c r="I1489"/>
      <c r="J1489"/>
      <c r="K1489"/>
    </row>
    <row r="1490" spans="1:11" ht="13.5" customHeight="1">
      <c r="A1490"/>
      <c r="B1490"/>
      <c r="C1490"/>
      <c r="D1490"/>
      <c r="E1490"/>
      <c r="F1490"/>
      <c r="G1490"/>
      <c r="H1490"/>
      <c r="I1490"/>
      <c r="J1490"/>
      <c r="K1490"/>
    </row>
    <row r="1491" spans="1:11" ht="13.5" customHeight="1">
      <c r="A1491"/>
      <c r="B1491"/>
      <c r="C1491"/>
      <c r="D1491"/>
      <c r="E1491"/>
      <c r="F1491"/>
      <c r="G1491"/>
      <c r="H1491"/>
      <c r="I1491"/>
      <c r="J1491"/>
      <c r="K1491"/>
    </row>
    <row r="1492" spans="1:11" ht="13.5" customHeight="1">
      <c r="A1492"/>
      <c r="B1492"/>
      <c r="C1492"/>
      <c r="D1492"/>
      <c r="E1492"/>
      <c r="F1492"/>
      <c r="G1492"/>
      <c r="H1492"/>
      <c r="I1492"/>
      <c r="J1492"/>
      <c r="K1492"/>
    </row>
    <row r="1493" spans="1:11" ht="13.5" customHeight="1">
      <c r="A1493"/>
      <c r="B1493"/>
      <c r="C1493"/>
      <c r="D1493"/>
      <c r="E1493"/>
      <c r="F1493"/>
      <c r="G1493"/>
      <c r="H1493"/>
      <c r="I1493"/>
      <c r="J1493"/>
      <c r="K1493"/>
    </row>
    <row r="1494" spans="1:11" ht="13.5" customHeight="1">
      <c r="A1494"/>
      <c r="B1494"/>
      <c r="C1494"/>
      <c r="D1494"/>
      <c r="E1494"/>
      <c r="F1494"/>
      <c r="G1494"/>
      <c r="H1494"/>
      <c r="I1494"/>
      <c r="J1494"/>
      <c r="K1494"/>
    </row>
    <row r="1495" spans="1:11" ht="13.5" customHeight="1">
      <c r="A1495"/>
      <c r="B1495"/>
      <c r="C1495"/>
      <c r="D1495"/>
      <c r="E1495"/>
      <c r="F1495"/>
      <c r="G1495"/>
      <c r="H1495"/>
      <c r="I1495"/>
      <c r="J1495"/>
      <c r="K1495"/>
    </row>
    <row r="1496" spans="1:11" ht="13.5" customHeight="1">
      <c r="A1496"/>
      <c r="B1496"/>
      <c r="C1496"/>
      <c r="D1496"/>
      <c r="E1496"/>
      <c r="F1496"/>
      <c r="G1496"/>
      <c r="H1496"/>
      <c r="I1496"/>
      <c r="J1496"/>
      <c r="K1496"/>
    </row>
    <row r="1497" spans="1:11" ht="13.5" customHeight="1">
      <c r="A1497"/>
      <c r="B1497"/>
      <c r="C1497"/>
      <c r="D1497"/>
      <c r="E1497"/>
      <c r="F1497"/>
      <c r="G1497"/>
      <c r="H1497"/>
      <c r="I1497"/>
      <c r="J1497"/>
      <c r="K1497"/>
    </row>
    <row r="1498" spans="1:11" ht="13.5" customHeight="1">
      <c r="A1498"/>
      <c r="B1498"/>
      <c r="C1498"/>
      <c r="D1498"/>
      <c r="E1498"/>
      <c r="F1498"/>
      <c r="G1498"/>
      <c r="H1498"/>
      <c r="I1498"/>
      <c r="J1498"/>
      <c r="K1498"/>
    </row>
    <row r="1499" spans="1:11" ht="13.5" customHeight="1">
      <c r="A1499"/>
      <c r="B1499"/>
      <c r="C1499"/>
      <c r="D1499"/>
      <c r="E1499"/>
      <c r="F1499"/>
      <c r="G1499"/>
      <c r="H1499"/>
      <c r="I1499"/>
      <c r="J1499"/>
      <c r="K1499"/>
    </row>
    <row r="1500" spans="1:11" ht="13.5" customHeight="1">
      <c r="A1500"/>
      <c r="B1500"/>
      <c r="C1500"/>
      <c r="D1500"/>
      <c r="E1500"/>
      <c r="F1500"/>
      <c r="G1500"/>
      <c r="H1500"/>
      <c r="I1500"/>
      <c r="J1500"/>
      <c r="K1500"/>
    </row>
    <row r="1501" spans="1:11" ht="13.5" customHeight="1">
      <c r="A1501"/>
      <c r="B1501"/>
      <c r="C1501"/>
      <c r="D1501"/>
      <c r="E1501"/>
      <c r="F1501"/>
      <c r="G1501"/>
      <c r="H1501"/>
      <c r="I1501"/>
      <c r="J1501"/>
      <c r="K1501"/>
    </row>
    <row r="1502" spans="1:11" ht="13.5" customHeight="1">
      <c r="A1502"/>
      <c r="B1502"/>
      <c r="C1502"/>
      <c r="D1502"/>
      <c r="E1502"/>
      <c r="F1502"/>
      <c r="G1502"/>
      <c r="H1502"/>
      <c r="I1502"/>
      <c r="J1502"/>
      <c r="K1502"/>
    </row>
    <row r="1503" spans="1:11" ht="13.5" customHeight="1">
      <c r="A1503"/>
      <c r="B1503"/>
      <c r="C1503"/>
      <c r="D1503"/>
      <c r="E1503"/>
      <c r="F1503"/>
      <c r="G1503"/>
      <c r="H1503"/>
      <c r="I1503"/>
      <c r="J1503"/>
      <c r="K1503"/>
    </row>
    <row r="1504" spans="1:11" ht="13.5" customHeight="1">
      <c r="A1504"/>
      <c r="B1504"/>
      <c r="C1504"/>
      <c r="D1504"/>
      <c r="E1504"/>
      <c r="F1504"/>
      <c r="G1504"/>
      <c r="H1504"/>
      <c r="I1504"/>
      <c r="J1504"/>
      <c r="K1504"/>
    </row>
    <row r="1505" spans="1:11" ht="13.5" customHeight="1">
      <c r="A1505"/>
      <c r="B1505"/>
      <c r="C1505"/>
      <c r="D1505"/>
      <c r="E1505"/>
      <c r="F1505"/>
      <c r="G1505"/>
      <c r="H1505"/>
      <c r="I1505"/>
      <c r="J1505"/>
      <c r="K1505"/>
    </row>
    <row r="1506" spans="1:11" ht="13.5" customHeight="1">
      <c r="A1506"/>
      <c r="B1506"/>
      <c r="C1506"/>
      <c r="D1506"/>
      <c r="E1506"/>
      <c r="F1506"/>
      <c r="G1506"/>
      <c r="H1506"/>
      <c r="I1506"/>
      <c r="J1506"/>
      <c r="K1506"/>
    </row>
    <row r="1507" spans="1:11" ht="13.5" customHeight="1">
      <c r="A1507"/>
      <c r="B1507"/>
      <c r="C1507"/>
      <c r="D1507"/>
      <c r="E1507"/>
      <c r="F1507"/>
      <c r="G1507"/>
      <c r="H1507"/>
      <c r="I1507"/>
      <c r="J1507"/>
      <c r="K1507"/>
    </row>
    <row r="1508" spans="1:11" ht="13.5" customHeight="1">
      <c r="A1508"/>
      <c r="B1508"/>
      <c r="C1508"/>
      <c r="D1508"/>
      <c r="E1508"/>
      <c r="F1508"/>
      <c r="G1508"/>
      <c r="H1508"/>
      <c r="I1508"/>
      <c r="J1508"/>
      <c r="K1508"/>
    </row>
    <row r="1509" spans="1:11" ht="13.5" customHeight="1">
      <c r="A1509"/>
      <c r="B1509"/>
      <c r="C1509"/>
      <c r="D1509"/>
      <c r="E1509"/>
      <c r="F1509"/>
      <c r="G1509"/>
      <c r="H1509"/>
      <c r="I1509"/>
      <c r="J1509"/>
      <c r="K1509"/>
    </row>
    <row r="1510" spans="1:11" ht="13.5" customHeight="1">
      <c r="A1510"/>
      <c r="B1510"/>
      <c r="C1510"/>
      <c r="D1510"/>
      <c r="E1510"/>
      <c r="F1510"/>
      <c r="G1510"/>
      <c r="H1510"/>
      <c r="I1510"/>
      <c r="J1510"/>
      <c r="K1510"/>
    </row>
    <row r="1511" spans="1:11" ht="13.5" customHeight="1">
      <c r="A1511"/>
      <c r="B1511"/>
      <c r="C1511"/>
      <c r="D1511"/>
      <c r="E1511"/>
      <c r="F1511"/>
      <c r="G1511"/>
      <c r="H1511"/>
      <c r="I1511"/>
      <c r="J1511"/>
      <c r="K1511"/>
    </row>
    <row r="1512" spans="1:11" ht="13.5" customHeight="1">
      <c r="A1512"/>
      <c r="B1512"/>
      <c r="C1512"/>
      <c r="D1512"/>
      <c r="E1512"/>
      <c r="F1512"/>
      <c r="G1512"/>
      <c r="H1512"/>
      <c r="I1512"/>
      <c r="J1512"/>
      <c r="K1512"/>
    </row>
    <row r="1513" spans="1:11" ht="13.5" customHeight="1">
      <c r="A1513"/>
      <c r="B1513"/>
      <c r="C1513"/>
      <c r="D1513"/>
      <c r="E1513"/>
      <c r="F1513"/>
      <c r="G1513"/>
      <c r="H1513"/>
      <c r="I1513"/>
      <c r="J1513"/>
      <c r="K1513"/>
    </row>
    <row r="1514" spans="1:11" ht="13.5" customHeight="1">
      <c r="A1514"/>
      <c r="B1514"/>
      <c r="C1514"/>
      <c r="D1514"/>
      <c r="E1514"/>
      <c r="F1514"/>
      <c r="G1514"/>
      <c r="H1514"/>
      <c r="I1514"/>
      <c r="J1514"/>
      <c r="K1514"/>
    </row>
    <row r="1515" spans="1:11" ht="13.5" customHeight="1">
      <c r="A1515"/>
      <c r="B1515"/>
      <c r="C1515"/>
      <c r="D1515"/>
      <c r="E1515"/>
      <c r="F1515"/>
      <c r="G1515"/>
      <c r="H1515"/>
      <c r="I1515"/>
      <c r="J1515"/>
      <c r="K1515"/>
    </row>
    <row r="1516" spans="1:11" ht="13.5" customHeight="1">
      <c r="A1516"/>
      <c r="B1516"/>
      <c r="C1516"/>
      <c r="D1516"/>
      <c r="E1516"/>
      <c r="F1516"/>
      <c r="G1516"/>
      <c r="H1516"/>
      <c r="I1516"/>
      <c r="J1516"/>
      <c r="K1516"/>
    </row>
    <row r="1517" spans="1:11" ht="13.5" customHeight="1">
      <c r="A1517"/>
      <c r="B1517"/>
      <c r="C1517"/>
      <c r="D1517"/>
      <c r="E1517"/>
      <c r="F1517"/>
      <c r="G1517"/>
      <c r="H1517"/>
      <c r="I1517"/>
      <c r="J1517"/>
      <c r="K1517"/>
    </row>
    <row r="1518" spans="1:11" ht="13.5" customHeight="1">
      <c r="A1518"/>
      <c r="B1518"/>
      <c r="C1518"/>
      <c r="D1518"/>
      <c r="E1518"/>
      <c r="F1518"/>
      <c r="G1518"/>
      <c r="H1518"/>
      <c r="I1518"/>
      <c r="J1518"/>
      <c r="K1518"/>
    </row>
    <row r="1519" spans="1:11" ht="13.5" customHeight="1">
      <c r="A1519"/>
      <c r="B1519"/>
      <c r="C1519"/>
      <c r="D1519"/>
      <c r="E1519"/>
      <c r="F1519"/>
      <c r="G1519"/>
      <c r="H1519"/>
      <c r="I1519"/>
      <c r="J1519"/>
      <c r="K1519"/>
    </row>
    <row r="1520" spans="1:11" ht="13.5" customHeight="1">
      <c r="A1520"/>
      <c r="B1520"/>
      <c r="C1520"/>
      <c r="D1520"/>
      <c r="E1520"/>
      <c r="F1520"/>
      <c r="G1520"/>
      <c r="H1520"/>
      <c r="I1520"/>
      <c r="J1520"/>
      <c r="K1520"/>
    </row>
    <row r="1521" spans="1:11" ht="13.5" customHeight="1">
      <c r="A1521"/>
      <c r="B1521"/>
      <c r="C1521"/>
      <c r="D1521"/>
      <c r="E1521"/>
      <c r="F1521"/>
      <c r="G1521"/>
      <c r="H1521"/>
      <c r="I1521"/>
      <c r="J1521"/>
      <c r="K1521"/>
    </row>
    <row r="1522" spans="1:11" ht="13.5" customHeight="1">
      <c r="A1522"/>
      <c r="B1522"/>
      <c r="C1522"/>
      <c r="D1522"/>
      <c r="E1522"/>
      <c r="F1522"/>
      <c r="G1522"/>
      <c r="H1522"/>
      <c r="I1522"/>
      <c r="J1522"/>
      <c r="K1522"/>
    </row>
    <row r="1523" spans="1:11" ht="13.5" customHeight="1">
      <c r="A1523"/>
      <c r="B1523"/>
      <c r="C1523"/>
      <c r="D1523"/>
      <c r="E1523"/>
      <c r="F1523"/>
      <c r="G1523"/>
      <c r="H1523"/>
      <c r="I1523"/>
      <c r="J1523"/>
      <c r="K1523"/>
    </row>
    <row r="1524" spans="1:11" ht="13.5" customHeight="1">
      <c r="A1524"/>
      <c r="B1524"/>
      <c r="C1524"/>
      <c r="D1524"/>
      <c r="E1524"/>
      <c r="F1524"/>
      <c r="G1524"/>
      <c r="H1524"/>
      <c r="I1524"/>
      <c r="J1524"/>
      <c r="K1524"/>
    </row>
    <row r="1525" spans="1:11" ht="13.5" customHeight="1">
      <c r="A1525"/>
      <c r="B1525"/>
      <c r="C1525"/>
      <c r="D1525"/>
      <c r="E1525"/>
      <c r="F1525"/>
      <c r="G1525"/>
      <c r="H1525"/>
      <c r="I1525"/>
      <c r="J1525"/>
      <c r="K1525"/>
    </row>
    <row r="1526" spans="1:11" ht="13.5" customHeight="1">
      <c r="A1526"/>
      <c r="B1526"/>
      <c r="C1526"/>
      <c r="D1526"/>
      <c r="E1526"/>
      <c r="F1526"/>
      <c r="G1526"/>
      <c r="H1526"/>
      <c r="I1526"/>
      <c r="J1526"/>
      <c r="K1526"/>
    </row>
    <row r="1527" spans="1:11" ht="13.5" customHeight="1">
      <c r="A1527"/>
      <c r="B1527"/>
      <c r="C1527"/>
      <c r="D1527"/>
      <c r="E1527"/>
      <c r="F1527"/>
      <c r="G1527"/>
      <c r="H1527"/>
      <c r="I1527"/>
      <c r="J1527"/>
      <c r="K1527"/>
    </row>
    <row r="1528" spans="1:11" ht="13.5" customHeight="1">
      <c r="A1528"/>
      <c r="B1528"/>
      <c r="C1528"/>
      <c r="D1528"/>
      <c r="E1528"/>
      <c r="F1528"/>
      <c r="G1528"/>
      <c r="H1528"/>
      <c r="I1528"/>
      <c r="J1528"/>
      <c r="K1528"/>
    </row>
    <row r="1529" spans="1:11" ht="13.5" customHeight="1">
      <c r="A1529"/>
      <c r="B1529"/>
      <c r="C1529"/>
      <c r="D1529"/>
      <c r="E1529"/>
      <c r="F1529"/>
      <c r="G1529"/>
      <c r="H1529"/>
      <c r="I1529"/>
      <c r="J1529"/>
      <c r="K1529"/>
    </row>
    <row r="1530" spans="1:11" ht="13.5" customHeight="1">
      <c r="A1530"/>
      <c r="B1530"/>
      <c r="C1530"/>
      <c r="D1530"/>
      <c r="E1530"/>
      <c r="F1530"/>
      <c r="G1530"/>
      <c r="H1530"/>
      <c r="I1530"/>
      <c r="J1530"/>
      <c r="K1530"/>
    </row>
    <row r="1531" spans="1:11" ht="13.5" customHeight="1">
      <c r="A1531"/>
      <c r="B1531"/>
      <c r="C1531"/>
      <c r="D1531"/>
      <c r="E1531"/>
      <c r="F1531"/>
      <c r="G1531"/>
      <c r="H1531"/>
      <c r="I1531"/>
      <c r="J1531"/>
      <c r="K1531"/>
    </row>
    <row r="1532" spans="1:11" ht="13.5" customHeight="1">
      <c r="A1532"/>
      <c r="B1532"/>
      <c r="C1532"/>
      <c r="D1532"/>
      <c r="E1532"/>
      <c r="F1532"/>
      <c r="G1532"/>
      <c r="H1532"/>
      <c r="I1532"/>
      <c r="J1532"/>
      <c r="K1532"/>
    </row>
    <row r="1533" spans="1:11" ht="13.5" customHeight="1">
      <c r="A1533"/>
      <c r="B1533"/>
      <c r="C1533"/>
      <c r="D1533"/>
      <c r="E1533"/>
      <c r="F1533"/>
      <c r="G1533"/>
      <c r="H1533"/>
      <c r="I1533"/>
      <c r="J1533"/>
      <c r="K1533"/>
    </row>
    <row r="1534" spans="1:11" ht="13.5" customHeight="1">
      <c r="A1534"/>
      <c r="B1534"/>
      <c r="C1534"/>
      <c r="D1534"/>
      <c r="E1534"/>
      <c r="F1534"/>
      <c r="G1534"/>
      <c r="H1534"/>
      <c r="I1534"/>
      <c r="J1534"/>
      <c r="K1534"/>
    </row>
    <row r="1535" spans="1:11" ht="13.5" customHeight="1">
      <c r="A1535"/>
      <c r="B1535"/>
      <c r="C1535"/>
      <c r="D1535"/>
      <c r="E1535"/>
      <c r="F1535"/>
      <c r="G1535"/>
      <c r="H1535"/>
      <c r="I1535"/>
      <c r="J1535"/>
      <c r="K1535"/>
    </row>
    <row r="1536" spans="1:11" ht="13.5" customHeight="1">
      <c r="A1536"/>
      <c r="B1536"/>
      <c r="C1536"/>
      <c r="D1536"/>
      <c r="E1536"/>
      <c r="F1536"/>
      <c r="G1536"/>
      <c r="H1536"/>
      <c r="I1536"/>
      <c r="J1536"/>
      <c r="K1536"/>
    </row>
    <row r="1537" spans="1:11" ht="13.5" customHeight="1">
      <c r="A1537"/>
      <c r="B1537"/>
      <c r="C1537"/>
      <c r="D1537"/>
      <c r="E1537"/>
      <c r="F1537"/>
      <c r="G1537"/>
      <c r="H1537"/>
      <c r="I1537"/>
      <c r="J1537"/>
      <c r="K1537"/>
    </row>
    <row r="1538" spans="1:11" ht="13.5" customHeight="1">
      <c r="A1538"/>
      <c r="B1538"/>
      <c r="C1538"/>
      <c r="D1538"/>
      <c r="E1538"/>
      <c r="F1538"/>
      <c r="G1538"/>
      <c r="H1538"/>
      <c r="I1538"/>
      <c r="J1538"/>
      <c r="K1538"/>
    </row>
    <row r="1539" spans="1:11" ht="13.5" customHeight="1">
      <c r="A1539"/>
      <c r="B1539"/>
      <c r="C1539"/>
      <c r="D1539"/>
      <c r="E1539"/>
      <c r="F1539"/>
      <c r="G1539"/>
      <c r="H1539"/>
      <c r="I1539"/>
      <c r="J1539"/>
      <c r="K1539"/>
    </row>
    <row r="1540" spans="1:11" ht="13.5" customHeight="1">
      <c r="A1540"/>
      <c r="B1540"/>
      <c r="C1540"/>
      <c r="D1540"/>
      <c r="E1540"/>
      <c r="F1540"/>
      <c r="G1540"/>
      <c r="H1540"/>
      <c r="I1540"/>
      <c r="J1540"/>
      <c r="K1540"/>
    </row>
    <row r="1541" spans="1:11" ht="13.5" customHeight="1">
      <c r="A1541"/>
      <c r="B1541"/>
      <c r="C1541"/>
      <c r="D1541"/>
      <c r="E1541"/>
      <c r="F1541"/>
      <c r="G1541"/>
      <c r="H1541"/>
      <c r="I1541"/>
      <c r="J1541"/>
      <c r="K1541"/>
    </row>
    <row r="1542" spans="1:11" ht="13.5" customHeight="1">
      <c r="A1542"/>
      <c r="B1542"/>
      <c r="C1542"/>
      <c r="D1542"/>
      <c r="E1542"/>
      <c r="F1542"/>
      <c r="G1542"/>
      <c r="H1542"/>
      <c r="I1542"/>
      <c r="J1542"/>
      <c r="K1542"/>
    </row>
    <row r="1543" spans="1:11" ht="13.5" customHeight="1">
      <c r="A1543"/>
      <c r="B1543"/>
      <c r="C1543"/>
      <c r="D1543"/>
      <c r="E1543"/>
      <c r="F1543"/>
      <c r="G1543"/>
      <c r="H1543"/>
      <c r="I1543"/>
      <c r="J1543"/>
      <c r="K1543"/>
    </row>
    <row r="1544" spans="1:11" ht="13.5" customHeight="1">
      <c r="A1544"/>
      <c r="B1544"/>
      <c r="C1544"/>
      <c r="D1544"/>
      <c r="E1544"/>
      <c r="F1544"/>
      <c r="G1544"/>
      <c r="H1544"/>
      <c r="I1544"/>
      <c r="J1544"/>
      <c r="K1544"/>
    </row>
    <row r="1545" spans="1:11" ht="13.5" customHeight="1">
      <c r="A1545"/>
      <c r="B1545"/>
      <c r="C1545"/>
      <c r="D1545"/>
      <c r="E1545"/>
      <c r="F1545"/>
      <c r="G1545"/>
      <c r="H1545"/>
      <c r="I1545"/>
      <c r="J1545"/>
      <c r="K1545"/>
    </row>
    <row r="1546" spans="1:11" ht="13.5" customHeight="1">
      <c r="A1546"/>
      <c r="B1546"/>
      <c r="C1546"/>
      <c r="D1546"/>
      <c r="E1546"/>
      <c r="F1546"/>
      <c r="G1546"/>
      <c r="H1546"/>
      <c r="I1546"/>
      <c r="J1546"/>
      <c r="K1546"/>
    </row>
    <row r="1547" spans="1:11" ht="13.5" customHeight="1">
      <c r="A1547"/>
      <c r="B1547"/>
      <c r="C1547"/>
      <c r="D1547"/>
      <c r="E1547"/>
      <c r="F1547"/>
      <c r="G1547"/>
      <c r="H1547"/>
      <c r="I1547"/>
      <c r="J1547"/>
      <c r="K1547"/>
    </row>
    <row r="1548" spans="1:11" ht="13.5" customHeight="1">
      <c r="A1548"/>
      <c r="B1548"/>
      <c r="C1548"/>
      <c r="D1548"/>
      <c r="E1548"/>
      <c r="F1548"/>
      <c r="G1548"/>
      <c r="H1548"/>
      <c r="I1548"/>
      <c r="J1548"/>
      <c r="K1548"/>
    </row>
    <row r="1549" spans="1:11" ht="13.5" customHeight="1">
      <c r="A1549"/>
      <c r="B1549"/>
      <c r="C1549"/>
      <c r="D1549"/>
      <c r="E1549"/>
      <c r="F1549"/>
      <c r="G1549"/>
      <c r="H1549"/>
      <c r="I1549"/>
      <c r="J1549"/>
      <c r="K1549"/>
    </row>
    <row r="1550" spans="1:11" ht="13.5" customHeight="1">
      <c r="A1550"/>
      <c r="B1550"/>
      <c r="C1550"/>
      <c r="D1550"/>
      <c r="E1550"/>
      <c r="F1550"/>
      <c r="G1550"/>
      <c r="H1550"/>
      <c r="I1550"/>
      <c r="J1550"/>
      <c r="K1550"/>
    </row>
    <row r="1551" spans="1:11" ht="13.5" customHeight="1">
      <c r="A1551"/>
      <c r="B1551"/>
      <c r="C1551"/>
      <c r="D1551"/>
      <c r="E1551"/>
      <c r="F1551"/>
      <c r="G1551"/>
      <c r="H1551"/>
      <c r="I1551"/>
      <c r="J1551"/>
      <c r="K1551"/>
    </row>
    <row r="1552" spans="1:11" ht="13.5" customHeight="1">
      <c r="A1552"/>
      <c r="B1552"/>
      <c r="C1552"/>
      <c r="D1552"/>
      <c r="E1552"/>
      <c r="F1552"/>
      <c r="G1552"/>
      <c r="H1552"/>
      <c r="I1552"/>
      <c r="J1552"/>
      <c r="K1552"/>
    </row>
    <row r="1553" spans="1:11" ht="13.5" customHeight="1">
      <c r="A1553"/>
      <c r="B1553"/>
      <c r="C1553"/>
      <c r="D1553"/>
      <c r="E1553"/>
      <c r="F1553"/>
      <c r="G1553"/>
      <c r="H1553"/>
      <c r="I1553"/>
      <c r="J1553"/>
      <c r="K1553"/>
    </row>
    <row r="1554" spans="1:11" ht="13.5" customHeight="1">
      <c r="A1554"/>
      <c r="B1554"/>
      <c r="C1554"/>
      <c r="D1554"/>
      <c r="E1554"/>
      <c r="F1554"/>
      <c r="G1554"/>
      <c r="H1554"/>
      <c r="I1554"/>
      <c r="J1554"/>
      <c r="K1554"/>
    </row>
    <row r="1555" spans="1:11" ht="13.5" customHeight="1">
      <c r="A1555"/>
      <c r="B1555"/>
      <c r="C1555"/>
      <c r="D1555"/>
      <c r="E1555"/>
      <c r="F1555"/>
      <c r="G1555"/>
      <c r="H1555"/>
      <c r="I1555"/>
      <c r="J1555"/>
      <c r="K1555"/>
    </row>
    <row r="1556" spans="1:11" ht="13.5" customHeight="1">
      <c r="A1556"/>
      <c r="B1556"/>
      <c r="C1556"/>
      <c r="D1556"/>
      <c r="E1556"/>
      <c r="F1556"/>
      <c r="G1556"/>
      <c r="H1556"/>
      <c r="I1556"/>
      <c r="J1556"/>
      <c r="K1556"/>
    </row>
    <row r="1557" spans="1:11" ht="13.5" customHeight="1">
      <c r="A1557"/>
      <c r="B1557"/>
      <c r="C1557"/>
      <c r="D1557"/>
      <c r="E1557"/>
      <c r="F1557"/>
      <c r="G1557"/>
      <c r="H1557"/>
      <c r="I1557"/>
      <c r="J1557"/>
      <c r="K1557"/>
    </row>
    <row r="1558" spans="1:11" ht="13.5" customHeight="1">
      <c r="A1558"/>
      <c r="B1558"/>
      <c r="C1558"/>
      <c r="D1558"/>
      <c r="E1558"/>
      <c r="F1558"/>
      <c r="G1558"/>
      <c r="H1558"/>
      <c r="I1558"/>
      <c r="J1558"/>
      <c r="K1558"/>
    </row>
    <row r="1559" spans="1:11" ht="13.5" customHeight="1">
      <c r="A1559"/>
      <c r="B1559"/>
      <c r="C1559"/>
      <c r="D1559"/>
      <c r="E1559"/>
      <c r="F1559"/>
      <c r="G1559"/>
      <c r="H1559"/>
      <c r="I1559"/>
      <c r="J1559"/>
      <c r="K1559"/>
    </row>
    <row r="1560" spans="1:11" ht="13.5" customHeight="1">
      <c r="A1560"/>
      <c r="B1560"/>
      <c r="C1560"/>
      <c r="D1560"/>
      <c r="E1560"/>
      <c r="F1560"/>
      <c r="G1560"/>
      <c r="H1560"/>
      <c r="I1560"/>
      <c r="J1560"/>
      <c r="K1560"/>
    </row>
    <row r="1561" spans="1:11" ht="13.5" customHeight="1">
      <c r="A1561"/>
      <c r="B1561"/>
      <c r="C1561"/>
      <c r="D1561"/>
      <c r="E1561"/>
      <c r="F1561"/>
      <c r="G1561"/>
      <c r="H1561"/>
      <c r="I1561"/>
      <c r="J1561"/>
      <c r="K1561"/>
    </row>
    <row r="1562" spans="1:11" ht="13.5" customHeight="1">
      <c r="A1562"/>
      <c r="B1562"/>
      <c r="C1562"/>
      <c r="D1562"/>
      <c r="E1562"/>
      <c r="F1562"/>
      <c r="G1562"/>
      <c r="H1562"/>
      <c r="I1562"/>
      <c r="J1562"/>
      <c r="K1562"/>
    </row>
    <row r="1563" spans="1:11" ht="13.5" customHeight="1">
      <c r="A1563"/>
      <c r="B1563"/>
      <c r="C1563"/>
      <c r="D1563"/>
      <c r="E1563"/>
      <c r="F1563"/>
      <c r="G1563"/>
      <c r="H1563"/>
      <c r="I1563"/>
      <c r="J1563"/>
      <c r="K1563"/>
    </row>
    <row r="1564" spans="1:11" ht="13.5" customHeight="1">
      <c r="A1564"/>
      <c r="B1564"/>
      <c r="C1564"/>
      <c r="D1564"/>
      <c r="E1564"/>
      <c r="F1564"/>
      <c r="G1564"/>
      <c r="H1564"/>
      <c r="I1564"/>
      <c r="J1564"/>
      <c r="K1564"/>
    </row>
    <row r="1565" spans="1:11" ht="13.5" customHeight="1">
      <c r="A1565"/>
      <c r="B1565"/>
      <c r="C1565"/>
      <c r="D1565"/>
      <c r="E1565"/>
      <c r="F1565"/>
      <c r="G1565"/>
      <c r="H1565"/>
      <c r="I1565"/>
      <c r="J1565"/>
      <c r="K1565"/>
    </row>
    <row r="1566" spans="1:11" ht="13.5" customHeight="1">
      <c r="A1566"/>
      <c r="B1566"/>
      <c r="C1566"/>
      <c r="D1566"/>
      <c r="E1566"/>
      <c r="F1566"/>
      <c r="G1566"/>
      <c r="H1566"/>
      <c r="I1566"/>
      <c r="J1566"/>
      <c r="K1566"/>
    </row>
    <row r="1567" spans="1:11" ht="13.5" customHeight="1">
      <c r="A1567"/>
      <c r="B1567"/>
      <c r="C1567"/>
      <c r="D1567"/>
      <c r="E1567"/>
      <c r="F1567"/>
      <c r="G1567"/>
      <c r="H1567"/>
      <c r="I1567"/>
      <c r="J1567"/>
      <c r="K1567"/>
    </row>
    <row r="1568" spans="1:11" ht="13.5" customHeight="1">
      <c r="A1568"/>
      <c r="B1568"/>
      <c r="C1568"/>
      <c r="D1568"/>
      <c r="E1568"/>
      <c r="F1568"/>
      <c r="G1568"/>
      <c r="H1568"/>
      <c r="I1568"/>
      <c r="J1568"/>
      <c r="K1568"/>
    </row>
    <row r="1569" spans="1:11" ht="13.5" customHeight="1">
      <c r="A1569"/>
      <c r="B1569"/>
      <c r="C1569"/>
      <c r="D1569"/>
      <c r="E1569"/>
      <c r="F1569"/>
      <c r="G1569"/>
      <c r="H1569"/>
      <c r="I1569"/>
      <c r="J1569"/>
      <c r="K1569"/>
    </row>
    <row r="1570" spans="1:11" ht="13.5" customHeight="1">
      <c r="A1570"/>
      <c r="B1570"/>
      <c r="C1570"/>
      <c r="D1570"/>
      <c r="E1570"/>
      <c r="F1570"/>
      <c r="G1570"/>
      <c r="H1570"/>
      <c r="I1570"/>
      <c r="J1570"/>
      <c r="K1570"/>
    </row>
    <row r="1571" spans="1:11" ht="13.5" customHeight="1">
      <c r="A1571"/>
      <c r="B1571"/>
      <c r="C1571"/>
      <c r="D1571"/>
      <c r="E1571"/>
      <c r="F1571"/>
      <c r="G1571"/>
      <c r="H1571"/>
      <c r="I1571"/>
      <c r="J1571"/>
      <c r="K1571"/>
    </row>
    <row r="1572" spans="1:11" ht="13.5" customHeight="1">
      <c r="A1572"/>
      <c r="B1572"/>
      <c r="C1572"/>
      <c r="D1572"/>
      <c r="E1572"/>
      <c r="F1572"/>
      <c r="G1572"/>
      <c r="H1572"/>
      <c r="I1572"/>
      <c r="J1572"/>
      <c r="K1572"/>
    </row>
    <row r="1573" spans="1:11" ht="13.5" customHeight="1">
      <c r="A1573"/>
      <c r="B1573"/>
      <c r="C1573"/>
      <c r="D1573"/>
      <c r="E1573"/>
      <c r="F1573"/>
      <c r="G1573"/>
      <c r="H1573"/>
      <c r="I1573"/>
      <c r="J1573"/>
      <c r="K1573"/>
    </row>
    <row r="1574" spans="1:11" ht="13.5" customHeight="1">
      <c r="A1574"/>
      <c r="B1574"/>
      <c r="C1574"/>
      <c r="D1574"/>
      <c r="E1574"/>
      <c r="F1574"/>
      <c r="G1574"/>
      <c r="H1574"/>
      <c r="I1574"/>
      <c r="J1574"/>
      <c r="K1574"/>
    </row>
    <row r="1575" spans="1:11" ht="13.5" customHeight="1">
      <c r="A1575"/>
      <c r="B1575"/>
      <c r="C1575"/>
      <c r="D1575"/>
      <c r="E1575"/>
      <c r="F1575"/>
      <c r="G1575"/>
      <c r="H1575"/>
      <c r="I1575"/>
      <c r="J1575"/>
      <c r="K1575"/>
    </row>
    <row r="1576" spans="1:11" ht="13.5" customHeight="1">
      <c r="A1576"/>
      <c r="B1576"/>
      <c r="C1576"/>
      <c r="D1576"/>
      <c r="E1576"/>
      <c r="F1576"/>
      <c r="G1576"/>
      <c r="H1576"/>
      <c r="I1576"/>
      <c r="J1576"/>
      <c r="K1576"/>
    </row>
    <row r="1577" spans="1:11" ht="13.5" customHeight="1">
      <c r="A1577"/>
      <c r="B1577"/>
      <c r="C1577"/>
      <c r="D1577"/>
      <c r="E1577"/>
      <c r="F1577"/>
      <c r="G1577"/>
      <c r="H1577"/>
      <c r="I1577"/>
      <c r="J1577"/>
      <c r="K1577"/>
    </row>
    <row r="1578" spans="1:11" ht="13.5" customHeight="1">
      <c r="A1578"/>
      <c r="B1578"/>
      <c r="C1578"/>
      <c r="D1578"/>
      <c r="E1578"/>
      <c r="F1578"/>
      <c r="G1578"/>
      <c r="H1578"/>
      <c r="I1578"/>
      <c r="J1578"/>
      <c r="K1578"/>
    </row>
    <row r="1579" spans="1:11" ht="13.5" customHeight="1">
      <c r="A1579"/>
      <c r="B1579"/>
      <c r="C1579"/>
      <c r="D1579"/>
      <c r="E1579"/>
      <c r="F1579"/>
      <c r="G1579"/>
      <c r="H1579"/>
      <c r="I1579"/>
      <c r="J1579"/>
      <c r="K1579"/>
    </row>
    <row r="1580" spans="1:11" ht="13.5" customHeight="1">
      <c r="A1580"/>
      <c r="B1580"/>
      <c r="C1580"/>
      <c r="D1580"/>
      <c r="E1580"/>
      <c r="F1580"/>
      <c r="G1580"/>
      <c r="H1580"/>
      <c r="I1580"/>
      <c r="J1580"/>
      <c r="K1580"/>
    </row>
    <row r="1581" spans="1:11" ht="13.5" customHeight="1">
      <c r="A1581"/>
      <c r="B1581"/>
      <c r="C1581"/>
      <c r="D1581"/>
      <c r="E1581"/>
      <c r="F1581"/>
      <c r="G1581"/>
      <c r="H1581"/>
      <c r="I1581"/>
      <c r="J1581"/>
      <c r="K1581"/>
    </row>
    <row r="1582" spans="1:11" ht="13.5" customHeight="1">
      <c r="A1582"/>
      <c r="B1582"/>
      <c r="C1582"/>
      <c r="D1582"/>
      <c r="E1582"/>
      <c r="F1582"/>
      <c r="G1582"/>
      <c r="H1582"/>
      <c r="I1582"/>
      <c r="J1582"/>
      <c r="K1582"/>
    </row>
    <row r="1583" spans="1:11" ht="13.5" customHeight="1">
      <c r="A1583"/>
      <c r="B1583"/>
      <c r="C1583"/>
      <c r="D1583"/>
      <c r="E1583"/>
      <c r="F1583"/>
      <c r="G1583"/>
      <c r="H1583"/>
      <c r="I1583"/>
      <c r="J1583"/>
      <c r="K1583"/>
    </row>
    <row r="1584" spans="1:11" ht="13.5" customHeight="1">
      <c r="A1584"/>
      <c r="B1584"/>
      <c r="C1584"/>
      <c r="D1584"/>
      <c r="E1584"/>
      <c r="F1584"/>
      <c r="G1584"/>
      <c r="H1584"/>
      <c r="I1584"/>
      <c r="J1584"/>
      <c r="K1584"/>
    </row>
    <row r="1585" spans="1:11" ht="13.5" customHeight="1">
      <c r="A1585"/>
      <c r="B1585"/>
      <c r="C1585"/>
      <c r="D1585"/>
      <c r="E1585"/>
      <c r="F1585"/>
      <c r="G1585"/>
      <c r="H1585"/>
      <c r="I1585"/>
      <c r="J1585"/>
      <c r="K1585"/>
    </row>
    <row r="1586" spans="1:11" ht="13.5" customHeight="1">
      <c r="A1586"/>
      <c r="B1586"/>
      <c r="C1586"/>
      <c r="D1586"/>
      <c r="E1586"/>
      <c r="F1586"/>
      <c r="G1586"/>
      <c r="H1586"/>
      <c r="I1586"/>
      <c r="J1586"/>
      <c r="K1586"/>
    </row>
    <row r="1587" spans="1:11" ht="13.5" customHeight="1">
      <c r="A1587"/>
      <c r="B1587"/>
      <c r="C1587"/>
      <c r="D1587"/>
      <c r="E1587"/>
      <c r="F1587"/>
      <c r="G1587"/>
      <c r="H1587"/>
      <c r="I1587"/>
      <c r="J1587"/>
      <c r="K1587"/>
    </row>
    <row r="1588" spans="1:11" ht="13.5" customHeight="1">
      <c r="A1588"/>
      <c r="B1588"/>
      <c r="C1588"/>
      <c r="D1588"/>
      <c r="E1588"/>
      <c r="F1588"/>
      <c r="G1588"/>
      <c r="H1588"/>
      <c r="I1588"/>
      <c r="J1588"/>
      <c r="K1588"/>
    </row>
    <row r="1589" spans="1:11" ht="13.5" customHeight="1">
      <c r="A1589"/>
      <c r="B1589"/>
      <c r="C1589"/>
      <c r="D1589"/>
      <c r="E1589"/>
      <c r="F1589"/>
      <c r="G1589"/>
      <c r="H1589"/>
      <c r="I1589"/>
      <c r="J1589"/>
      <c r="K1589"/>
    </row>
    <row r="1590" spans="1:11" ht="13.5" customHeight="1">
      <c r="A1590"/>
      <c r="B1590"/>
      <c r="C1590"/>
      <c r="D1590"/>
      <c r="E1590"/>
      <c r="F1590"/>
      <c r="G1590"/>
      <c r="H1590"/>
      <c r="I1590"/>
      <c r="J1590"/>
      <c r="K1590"/>
    </row>
    <row r="1591" spans="1:11" ht="13.5" customHeight="1">
      <c r="A1591"/>
      <c r="B1591"/>
      <c r="C1591"/>
      <c r="D1591"/>
      <c r="E1591"/>
      <c r="F1591"/>
      <c r="G1591"/>
      <c r="H1591"/>
      <c r="I1591"/>
      <c r="J1591"/>
      <c r="K1591"/>
    </row>
    <row r="1592" spans="1:11" ht="13.5" customHeight="1">
      <c r="A1592"/>
      <c r="B1592"/>
      <c r="C1592"/>
      <c r="D1592"/>
      <c r="E1592"/>
      <c r="F1592"/>
      <c r="G1592"/>
      <c r="H1592"/>
      <c r="I1592"/>
      <c r="J1592"/>
      <c r="K1592"/>
    </row>
    <row r="1593" spans="1:11" ht="13.5" customHeight="1">
      <c r="A1593"/>
      <c r="B1593"/>
      <c r="C1593"/>
      <c r="D1593"/>
      <c r="E1593"/>
      <c r="F1593"/>
      <c r="G1593"/>
      <c r="H1593"/>
      <c r="I1593"/>
      <c r="J1593"/>
      <c r="K1593"/>
    </row>
    <row r="1594" spans="1:11" ht="13.5" customHeight="1">
      <c r="A1594"/>
      <c r="B1594"/>
      <c r="C1594"/>
      <c r="D1594"/>
      <c r="E1594"/>
      <c r="F1594"/>
      <c r="G1594"/>
      <c r="H1594"/>
      <c r="I1594"/>
      <c r="J1594"/>
      <c r="K1594"/>
    </row>
    <row r="1595" spans="1:11" ht="13.5" customHeight="1">
      <c r="A1595"/>
      <c r="B1595"/>
      <c r="C1595"/>
      <c r="D1595"/>
      <c r="E1595"/>
      <c r="F1595"/>
      <c r="G1595"/>
      <c r="H1595"/>
      <c r="I1595"/>
      <c r="J1595"/>
      <c r="K1595"/>
    </row>
    <row r="1596" spans="1:11" ht="13.5" customHeight="1">
      <c r="A1596"/>
      <c r="B1596"/>
      <c r="C1596"/>
      <c r="D1596"/>
      <c r="E1596"/>
      <c r="F1596"/>
      <c r="G1596"/>
      <c r="H1596"/>
      <c r="I1596"/>
      <c r="J1596"/>
      <c r="K1596"/>
    </row>
    <row r="1597" spans="1:11" ht="13.5" customHeight="1">
      <c r="A1597"/>
      <c r="B1597"/>
      <c r="C1597"/>
      <c r="D1597"/>
      <c r="E1597"/>
      <c r="F1597"/>
      <c r="G1597"/>
      <c r="H1597"/>
      <c r="I1597"/>
      <c r="J1597"/>
      <c r="K1597"/>
    </row>
    <row r="1598" spans="1:11" ht="13.5" customHeight="1">
      <c r="A1598"/>
      <c r="B1598"/>
      <c r="C1598"/>
      <c r="D1598"/>
      <c r="E1598"/>
      <c r="F1598"/>
      <c r="G1598"/>
      <c r="H1598"/>
      <c r="I1598"/>
      <c r="J1598"/>
      <c r="K1598"/>
    </row>
    <row r="1599" spans="1:11" ht="13.5" customHeight="1">
      <c r="A1599"/>
      <c r="B1599"/>
      <c r="C1599"/>
      <c r="D1599"/>
      <c r="E1599"/>
      <c r="F1599"/>
      <c r="G1599"/>
      <c r="H1599"/>
      <c r="I1599"/>
      <c r="J1599"/>
      <c r="K1599"/>
    </row>
    <row r="1600" spans="1:11" ht="13.5" customHeight="1">
      <c r="A1600"/>
      <c r="B1600"/>
      <c r="C1600"/>
      <c r="D1600"/>
      <c r="E1600"/>
      <c r="F1600"/>
      <c r="G1600"/>
      <c r="H1600"/>
      <c r="I1600"/>
      <c r="J1600"/>
      <c r="K1600"/>
    </row>
    <row r="1601" spans="1:11" ht="13.5" customHeight="1">
      <c r="A1601"/>
      <c r="B1601"/>
      <c r="C1601"/>
      <c r="D1601"/>
      <c r="E1601"/>
      <c r="F1601"/>
      <c r="G1601"/>
      <c r="H1601"/>
      <c r="I1601"/>
      <c r="J1601"/>
      <c r="K1601"/>
    </row>
    <row r="1602" spans="1:11" ht="13.5" customHeight="1">
      <c r="A1602"/>
      <c r="B1602"/>
      <c r="C1602"/>
      <c r="D1602"/>
      <c r="E1602"/>
      <c r="F1602"/>
      <c r="G1602"/>
      <c r="H1602"/>
      <c r="I1602"/>
      <c r="J1602"/>
      <c r="K1602"/>
    </row>
    <row r="1603" spans="1:11" ht="13.5" customHeight="1">
      <c r="A1603"/>
      <c r="B1603"/>
      <c r="C1603"/>
      <c r="D1603"/>
      <c r="E1603"/>
      <c r="F1603"/>
      <c r="G1603"/>
      <c r="H1603"/>
      <c r="I1603"/>
      <c r="J1603"/>
      <c r="K1603"/>
    </row>
    <row r="1604" spans="1:11" ht="13.5" customHeight="1">
      <c r="A1604"/>
      <c r="B1604"/>
      <c r="C1604"/>
      <c r="D1604"/>
      <c r="E1604"/>
      <c r="F1604"/>
      <c r="G1604"/>
      <c r="H1604"/>
      <c r="I1604"/>
      <c r="J1604"/>
      <c r="K1604"/>
    </row>
    <row r="1605" spans="1:11" ht="13.5" customHeight="1">
      <c r="A1605"/>
      <c r="B1605"/>
      <c r="C1605"/>
      <c r="D1605"/>
      <c r="E1605"/>
      <c r="F1605"/>
      <c r="G1605"/>
      <c r="H1605"/>
      <c r="I1605"/>
      <c r="J1605"/>
      <c r="K1605"/>
    </row>
    <row r="1606" spans="1:11" ht="13.5" customHeight="1">
      <c r="A1606"/>
      <c r="B1606"/>
      <c r="C1606"/>
      <c r="D1606"/>
      <c r="E1606"/>
      <c r="F1606"/>
      <c r="G1606"/>
      <c r="H1606"/>
      <c r="I1606"/>
      <c r="J1606"/>
      <c r="K1606"/>
    </row>
    <row r="1607" spans="1:11" ht="13.5" customHeight="1">
      <c r="A1607"/>
      <c r="B1607"/>
      <c r="C1607"/>
      <c r="D1607"/>
      <c r="E1607"/>
      <c r="F1607"/>
      <c r="G1607"/>
      <c r="H1607"/>
      <c r="I1607"/>
      <c r="J1607"/>
      <c r="K1607"/>
    </row>
    <row r="1608" spans="1:11" ht="13.5" customHeight="1">
      <c r="A1608"/>
      <c r="B1608"/>
      <c r="C1608"/>
      <c r="D1608"/>
      <c r="E1608"/>
      <c r="F1608"/>
      <c r="G1608"/>
      <c r="H1608"/>
      <c r="I1608"/>
      <c r="J1608"/>
      <c r="K1608"/>
    </row>
    <row r="1609" spans="1:11" ht="13.5" customHeight="1">
      <c r="A1609"/>
      <c r="B1609"/>
      <c r="C1609"/>
      <c r="D1609"/>
      <c r="E1609"/>
      <c r="F1609"/>
      <c r="G1609"/>
      <c r="H1609"/>
      <c r="I1609"/>
      <c r="J1609"/>
      <c r="K1609"/>
    </row>
    <row r="1610" spans="1:11" ht="13.5" customHeight="1">
      <c r="A1610"/>
      <c r="B1610"/>
      <c r="C1610"/>
      <c r="D1610"/>
      <c r="E1610"/>
      <c r="F1610"/>
      <c r="G1610"/>
      <c r="H1610"/>
      <c r="I1610"/>
      <c r="J1610"/>
      <c r="K1610"/>
    </row>
    <row r="1611" spans="1:11" ht="13.5" customHeight="1">
      <c r="A1611"/>
      <c r="B1611"/>
      <c r="C1611"/>
      <c r="D1611"/>
      <c r="E1611"/>
      <c r="F1611"/>
      <c r="G1611"/>
      <c r="H1611"/>
      <c r="I1611"/>
      <c r="J1611"/>
      <c r="K1611"/>
    </row>
    <row r="1612" spans="1:11" ht="13.5" customHeight="1">
      <c r="A1612"/>
      <c r="B1612"/>
      <c r="C1612"/>
      <c r="D1612"/>
      <c r="E1612"/>
      <c r="F1612"/>
      <c r="G1612"/>
      <c r="H1612"/>
      <c r="I1612"/>
      <c r="J1612"/>
      <c r="K1612"/>
    </row>
    <row r="1613" spans="1:11" ht="13.5" customHeight="1">
      <c r="A1613"/>
      <c r="B1613"/>
      <c r="C1613"/>
      <c r="D1613"/>
      <c r="E1613"/>
      <c r="F1613"/>
      <c r="G1613"/>
      <c r="H1613"/>
      <c r="I1613"/>
      <c r="J1613"/>
      <c r="K1613"/>
    </row>
    <row r="1614" spans="1:11" ht="13.5" customHeight="1">
      <c r="A1614"/>
      <c r="B1614"/>
      <c r="C1614"/>
      <c r="D1614"/>
      <c r="E1614"/>
      <c r="F1614"/>
      <c r="G1614"/>
      <c r="H1614"/>
      <c r="I1614"/>
      <c r="J1614"/>
      <c r="K1614"/>
    </row>
    <row r="1615" spans="1:11" ht="13.5" customHeight="1">
      <c r="A1615"/>
      <c r="B1615"/>
      <c r="C1615"/>
      <c r="D1615"/>
      <c r="E1615"/>
      <c r="F1615"/>
      <c r="G1615"/>
      <c r="H1615"/>
      <c r="I1615"/>
      <c r="J1615"/>
      <c r="K1615"/>
    </row>
    <row r="1616" spans="1:11" ht="13.5" customHeight="1">
      <c r="A1616"/>
      <c r="B1616"/>
      <c r="C1616"/>
      <c r="D1616"/>
      <c r="E1616"/>
      <c r="F1616"/>
      <c r="G1616"/>
      <c r="H1616"/>
      <c r="I1616"/>
      <c r="J1616"/>
      <c r="K1616"/>
    </row>
    <row r="1617" spans="1:11" ht="13.5" customHeight="1">
      <c r="A1617"/>
      <c r="B1617"/>
      <c r="C1617"/>
      <c r="D1617"/>
      <c r="E1617"/>
      <c r="F1617"/>
      <c r="G1617"/>
      <c r="H1617"/>
      <c r="I1617"/>
      <c r="J1617"/>
      <c r="K1617"/>
    </row>
    <row r="1618" spans="1:11" ht="13.5" customHeight="1">
      <c r="A1618"/>
      <c r="B1618"/>
      <c r="C1618"/>
      <c r="D1618"/>
      <c r="E1618"/>
      <c r="F1618"/>
      <c r="G1618"/>
      <c r="H1618"/>
      <c r="I1618"/>
      <c r="J1618"/>
      <c r="K1618"/>
    </row>
    <row r="1619" spans="1:11" ht="13.5" customHeight="1">
      <c r="A1619"/>
      <c r="B1619"/>
      <c r="C1619"/>
      <c r="D1619"/>
      <c r="E1619"/>
      <c r="F1619"/>
      <c r="G1619"/>
      <c r="H1619"/>
      <c r="I1619"/>
      <c r="J1619"/>
      <c r="K1619"/>
    </row>
    <row r="1620" spans="1:11" ht="13.5" customHeight="1">
      <c r="A1620"/>
      <c r="B1620"/>
      <c r="C1620"/>
      <c r="D1620"/>
      <c r="E1620"/>
      <c r="F1620"/>
      <c r="G1620"/>
      <c r="H1620"/>
      <c r="I1620"/>
      <c r="J1620"/>
      <c r="K1620"/>
    </row>
    <row r="1621" spans="1:11" ht="13.5" customHeight="1">
      <c r="A1621"/>
      <c r="B1621"/>
      <c r="C1621"/>
      <c r="D1621"/>
      <c r="E1621"/>
      <c r="F1621"/>
      <c r="G1621"/>
      <c r="H1621"/>
      <c r="I1621"/>
      <c r="J1621"/>
      <c r="K1621"/>
    </row>
    <row r="1622" spans="1:11" ht="13.5" customHeight="1">
      <c r="A1622"/>
      <c r="B1622"/>
      <c r="C1622"/>
      <c r="D1622"/>
      <c r="E1622"/>
      <c r="F1622"/>
      <c r="G1622"/>
      <c r="H1622"/>
      <c r="I1622"/>
      <c r="J1622"/>
      <c r="K1622"/>
    </row>
    <row r="1623" spans="1:11" ht="13.5" customHeight="1">
      <c r="A1623"/>
      <c r="B1623"/>
      <c r="C1623"/>
      <c r="D1623"/>
      <c r="E1623"/>
      <c r="F1623"/>
      <c r="G1623"/>
      <c r="H1623"/>
      <c r="I1623"/>
      <c r="J1623"/>
      <c r="K1623"/>
    </row>
    <row r="1624" spans="1:11" ht="13.5" customHeight="1">
      <c r="A1624"/>
      <c r="B1624"/>
      <c r="C1624"/>
      <c r="D1624"/>
      <c r="E1624"/>
      <c r="F1624"/>
      <c r="G1624"/>
      <c r="H1624"/>
      <c r="I1624"/>
      <c r="J1624"/>
      <c r="K1624"/>
    </row>
    <row r="1625" spans="1:11" ht="13.5" customHeight="1">
      <c r="A1625"/>
      <c r="B1625"/>
      <c r="C1625"/>
      <c r="D1625"/>
      <c r="E1625"/>
      <c r="F1625"/>
      <c r="G1625"/>
      <c r="H1625"/>
      <c r="I1625"/>
      <c r="J1625"/>
      <c r="K1625"/>
    </row>
    <row r="1626" spans="1:11" ht="13.5" customHeight="1">
      <c r="A1626"/>
      <c r="B1626"/>
      <c r="C1626"/>
      <c r="D1626"/>
      <c r="E1626"/>
      <c r="F1626"/>
      <c r="G1626"/>
      <c r="H1626"/>
      <c r="I1626"/>
      <c r="J1626"/>
      <c r="K1626"/>
    </row>
    <row r="1627" spans="1:11" ht="13.5" customHeight="1">
      <c r="A1627"/>
      <c r="B1627"/>
      <c r="C1627"/>
      <c r="D1627"/>
      <c r="E1627"/>
      <c r="F1627"/>
      <c r="G1627"/>
      <c r="H1627"/>
      <c r="I1627"/>
      <c r="J1627"/>
      <c r="K1627"/>
    </row>
    <row r="1628" spans="1:11" ht="13.5" customHeight="1">
      <c r="A1628"/>
      <c r="B1628"/>
      <c r="C1628"/>
      <c r="D1628"/>
      <c r="E1628"/>
      <c r="F1628"/>
      <c r="G1628"/>
      <c r="H1628"/>
      <c r="I1628"/>
      <c r="J1628"/>
      <c r="K1628"/>
    </row>
    <row r="1629" spans="1:11" ht="13.5" customHeight="1">
      <c r="A1629"/>
      <c r="B1629"/>
      <c r="C1629"/>
      <c r="D1629"/>
      <c r="E1629"/>
      <c r="F1629"/>
      <c r="G1629"/>
      <c r="H1629"/>
      <c r="I1629"/>
      <c r="J1629"/>
      <c r="K1629"/>
    </row>
    <row r="1630" spans="1:11" ht="13.5" customHeight="1">
      <c r="A1630"/>
      <c r="B1630"/>
      <c r="C1630"/>
      <c r="D1630"/>
      <c r="E1630"/>
      <c r="F1630"/>
      <c r="G1630"/>
      <c r="H1630"/>
      <c r="I1630"/>
      <c r="J1630"/>
      <c r="K1630"/>
    </row>
    <row r="1631" spans="1:11" ht="13.5" customHeight="1">
      <c r="A1631"/>
      <c r="B1631"/>
      <c r="C1631"/>
      <c r="D1631"/>
      <c r="E1631"/>
      <c r="F1631"/>
      <c r="G1631"/>
      <c r="H1631"/>
      <c r="I1631"/>
      <c r="J1631"/>
      <c r="K1631"/>
    </row>
    <row r="1632" spans="1:11" ht="13.5" customHeight="1">
      <c r="A1632"/>
      <c r="B1632"/>
      <c r="C1632"/>
      <c r="D1632"/>
      <c r="E1632"/>
      <c r="F1632"/>
      <c r="G1632"/>
      <c r="H1632"/>
      <c r="I1632"/>
      <c r="J1632"/>
      <c r="K1632"/>
    </row>
    <row r="1633" spans="1:11" ht="13.5" customHeight="1">
      <c r="A1633"/>
      <c r="B1633"/>
      <c r="C1633"/>
      <c r="D1633"/>
      <c r="E1633"/>
      <c r="F1633"/>
      <c r="G1633"/>
      <c r="H1633"/>
      <c r="I1633"/>
      <c r="J1633"/>
      <c r="K1633"/>
    </row>
    <row r="1634" spans="1:11" ht="13.5" customHeight="1">
      <c r="A1634"/>
      <c r="B1634"/>
      <c r="C1634"/>
      <c r="D1634"/>
      <c r="E1634"/>
      <c r="F1634"/>
      <c r="G1634"/>
      <c r="H1634"/>
      <c r="I1634"/>
      <c r="J1634"/>
      <c r="K1634"/>
    </row>
    <row r="1635" spans="1:11" ht="13.5" customHeight="1">
      <c r="A1635"/>
      <c r="B1635"/>
      <c r="C1635"/>
      <c r="D1635"/>
      <c r="E1635"/>
      <c r="F1635"/>
      <c r="G1635"/>
      <c r="H1635"/>
      <c r="I1635"/>
      <c r="J1635"/>
      <c r="K1635"/>
    </row>
    <row r="1636" spans="1:11" ht="13.5" customHeight="1">
      <c r="A1636"/>
      <c r="B1636"/>
      <c r="C1636"/>
      <c r="D1636"/>
      <c r="E1636"/>
      <c r="F1636"/>
      <c r="G1636"/>
      <c r="H1636"/>
      <c r="I1636"/>
      <c r="J1636"/>
      <c r="K1636"/>
    </row>
    <row r="1637" spans="1:11" ht="13.5" customHeight="1">
      <c r="A1637"/>
      <c r="B1637"/>
      <c r="C1637"/>
      <c r="D1637"/>
      <c r="E1637"/>
      <c r="F1637"/>
      <c r="G1637"/>
      <c r="H1637"/>
      <c r="I1637"/>
      <c r="J1637"/>
      <c r="K1637"/>
    </row>
    <row r="1638" spans="1:11" ht="13.5" customHeight="1">
      <c r="A1638"/>
      <c r="B1638"/>
      <c r="C1638"/>
      <c r="D1638"/>
      <c r="E1638"/>
      <c r="F1638"/>
      <c r="G1638"/>
      <c r="H1638"/>
      <c r="I1638"/>
      <c r="J1638"/>
      <c r="K1638"/>
    </row>
    <row r="1639" spans="1:11" ht="13.5" customHeight="1">
      <c r="A1639"/>
      <c r="B1639"/>
      <c r="C1639"/>
      <c r="D1639"/>
      <c r="E1639"/>
      <c r="F1639"/>
      <c r="G1639"/>
      <c r="H1639"/>
      <c r="I1639"/>
      <c r="J1639"/>
      <c r="K1639"/>
    </row>
    <row r="1640" spans="1:11" ht="13.5" customHeight="1">
      <c r="A1640"/>
      <c r="B1640"/>
      <c r="C1640"/>
      <c r="D1640"/>
      <c r="E1640"/>
      <c r="F1640"/>
      <c r="G1640"/>
      <c r="H1640"/>
      <c r="I1640"/>
      <c r="J1640"/>
      <c r="K1640"/>
    </row>
    <row r="1641" spans="1:11" ht="13.5" customHeight="1">
      <c r="A1641"/>
      <c r="B1641"/>
      <c r="C1641"/>
      <c r="D1641"/>
      <c r="E1641"/>
      <c r="F1641"/>
      <c r="G1641"/>
      <c r="H1641"/>
      <c r="I1641"/>
      <c r="J1641"/>
      <c r="K1641"/>
    </row>
    <row r="1642" spans="1:11" ht="13.5" customHeight="1">
      <c r="A1642"/>
      <c r="B1642"/>
      <c r="C1642"/>
      <c r="D1642"/>
      <c r="E1642"/>
      <c r="F1642"/>
      <c r="G1642"/>
      <c r="H1642"/>
      <c r="I1642"/>
      <c r="J1642"/>
      <c r="K1642"/>
    </row>
    <row r="1643" spans="1:11" ht="13.5" customHeight="1">
      <c r="A1643"/>
      <c r="B1643"/>
      <c r="C1643"/>
      <c r="D1643"/>
      <c r="E1643"/>
      <c r="F1643"/>
      <c r="G1643"/>
      <c r="H1643"/>
      <c r="I1643"/>
      <c r="J1643"/>
      <c r="K1643"/>
    </row>
    <row r="1644" spans="1:11" ht="13.5" customHeight="1">
      <c r="A1644"/>
      <c r="B1644"/>
      <c r="C1644"/>
      <c r="D1644"/>
      <c r="E1644"/>
      <c r="F1644"/>
      <c r="G1644"/>
      <c r="H1644"/>
      <c r="I1644"/>
      <c r="J1644"/>
      <c r="K1644"/>
    </row>
    <row r="1645" spans="1:11" ht="13.5" customHeight="1">
      <c r="A1645"/>
      <c r="B1645"/>
      <c r="C1645"/>
      <c r="D1645"/>
      <c r="E1645"/>
      <c r="F1645"/>
      <c r="G1645"/>
      <c r="H1645"/>
      <c r="I1645"/>
      <c r="J1645"/>
      <c r="K1645"/>
    </row>
    <row r="1646" spans="1:11" ht="13.5" customHeight="1">
      <c r="A1646"/>
      <c r="B1646"/>
      <c r="C1646"/>
      <c r="D1646"/>
      <c r="E1646"/>
      <c r="F1646"/>
      <c r="G1646"/>
      <c r="H1646"/>
      <c r="I1646"/>
      <c r="J1646"/>
      <c r="K1646"/>
    </row>
    <row r="1647" spans="1:11" ht="13.5" customHeight="1">
      <c r="A1647"/>
      <c r="B1647"/>
      <c r="C1647"/>
      <c r="D1647"/>
      <c r="E1647"/>
      <c r="F1647"/>
      <c r="G1647"/>
      <c r="H1647"/>
      <c r="I1647"/>
      <c r="J1647"/>
      <c r="K1647"/>
    </row>
    <row r="1648" spans="1:11" ht="13.5" customHeight="1">
      <c r="A1648"/>
      <c r="B1648"/>
      <c r="C1648"/>
      <c r="D1648"/>
      <c r="E1648"/>
      <c r="F1648"/>
      <c r="G1648"/>
      <c r="H1648"/>
      <c r="I1648"/>
      <c r="J1648"/>
      <c r="K1648"/>
    </row>
    <row r="1649" spans="1:11" ht="13.5" customHeight="1">
      <c r="A1649"/>
      <c r="B1649"/>
      <c r="C1649"/>
      <c r="D1649"/>
      <c r="E1649"/>
      <c r="F1649"/>
      <c r="G1649"/>
      <c r="H1649"/>
      <c r="I1649"/>
      <c r="J1649"/>
      <c r="K1649"/>
    </row>
    <row r="1650" spans="1:11" ht="13.5" customHeight="1">
      <c r="A1650"/>
      <c r="B1650"/>
      <c r="C1650"/>
      <c r="D1650"/>
      <c r="E1650"/>
      <c r="F1650"/>
      <c r="G1650"/>
      <c r="H1650"/>
      <c r="I1650"/>
      <c r="J1650"/>
      <c r="K1650"/>
    </row>
    <row r="1651" spans="1:11" ht="13.5" customHeight="1">
      <c r="A1651"/>
      <c r="B1651"/>
      <c r="C1651"/>
      <c r="D1651"/>
      <c r="E1651"/>
      <c r="F1651"/>
      <c r="G1651"/>
      <c r="H1651"/>
      <c r="I1651"/>
      <c r="J1651"/>
      <c r="K1651"/>
    </row>
    <row r="1652" spans="1:11" ht="13.5" customHeight="1">
      <c r="A1652"/>
      <c r="B1652"/>
      <c r="C1652"/>
      <c r="D1652"/>
      <c r="E1652"/>
      <c r="F1652"/>
      <c r="G1652"/>
      <c r="H1652"/>
      <c r="I1652"/>
      <c r="J1652"/>
      <c r="K1652"/>
    </row>
    <row r="1653" spans="1:11" ht="13.5" customHeight="1">
      <c r="A1653"/>
      <c r="B1653"/>
      <c r="C1653"/>
      <c r="D1653"/>
      <c r="E1653"/>
      <c r="F1653"/>
      <c r="G1653"/>
      <c r="H1653"/>
      <c r="I1653"/>
      <c r="J1653"/>
      <c r="K1653"/>
    </row>
    <row r="1654" spans="1:11" ht="13.5" customHeight="1">
      <c r="A1654"/>
      <c r="B1654"/>
      <c r="C1654"/>
      <c r="D1654"/>
      <c r="E1654"/>
      <c r="F1654"/>
      <c r="G1654"/>
      <c r="H1654"/>
      <c r="I1654"/>
      <c r="J1654"/>
      <c r="K1654"/>
    </row>
    <row r="1655" spans="1:11" ht="13.5" customHeight="1">
      <c r="A1655"/>
      <c r="B1655"/>
      <c r="C1655"/>
      <c r="D1655"/>
      <c r="E1655"/>
      <c r="F1655"/>
      <c r="G1655"/>
      <c r="H1655"/>
      <c r="I1655"/>
      <c r="J1655"/>
      <c r="K1655"/>
    </row>
    <row r="1656" spans="1:11" ht="13.5" customHeight="1">
      <c r="A1656"/>
      <c r="B1656"/>
      <c r="C1656"/>
      <c r="D1656"/>
      <c r="E1656"/>
      <c r="F1656"/>
      <c r="G1656"/>
      <c r="H1656"/>
      <c r="I1656"/>
      <c r="J1656"/>
      <c r="K1656"/>
    </row>
    <row r="1657" spans="1:11" ht="13.5" customHeight="1">
      <c r="A1657"/>
      <c r="B1657"/>
      <c r="C1657"/>
      <c r="D1657"/>
      <c r="E1657"/>
      <c r="F1657"/>
      <c r="G1657"/>
      <c r="H1657"/>
      <c r="I1657"/>
      <c r="J1657"/>
      <c r="K1657"/>
    </row>
    <row r="1658" spans="1:11" ht="13.5" customHeight="1">
      <c r="A1658"/>
      <c r="B1658"/>
      <c r="C1658"/>
      <c r="D1658"/>
      <c r="E1658"/>
      <c r="F1658"/>
      <c r="G1658"/>
      <c r="H1658"/>
      <c r="I1658"/>
      <c r="J1658"/>
      <c r="K1658"/>
    </row>
    <row r="1659" spans="1:11" ht="13.5" customHeight="1">
      <c r="A1659"/>
      <c r="B1659"/>
      <c r="C1659"/>
      <c r="D1659"/>
      <c r="E1659"/>
      <c r="F1659"/>
      <c r="G1659"/>
      <c r="H1659"/>
      <c r="I1659"/>
      <c r="J1659"/>
      <c r="K1659"/>
    </row>
    <row r="1660" spans="1:11" ht="13.5" customHeight="1">
      <c r="A1660"/>
      <c r="B1660"/>
      <c r="C1660"/>
      <c r="D1660"/>
      <c r="E1660"/>
      <c r="F1660"/>
      <c r="G1660"/>
      <c r="H1660"/>
      <c r="I1660"/>
      <c r="J1660"/>
      <c r="K1660"/>
    </row>
    <row r="1661" spans="1:11" ht="13.5" customHeight="1">
      <c r="A1661"/>
      <c r="B1661"/>
      <c r="C1661"/>
      <c r="D1661"/>
      <c r="E1661"/>
      <c r="F1661"/>
      <c r="G1661"/>
      <c r="H1661"/>
      <c r="I1661"/>
      <c r="J1661"/>
      <c r="K1661"/>
    </row>
    <row r="1662" spans="1:11" ht="13.5" customHeight="1">
      <c r="A1662"/>
      <c r="B1662"/>
      <c r="C1662"/>
      <c r="D1662"/>
      <c r="E1662"/>
      <c r="F1662"/>
      <c r="G1662"/>
      <c r="H1662"/>
      <c r="I1662"/>
      <c r="J1662"/>
      <c r="K1662"/>
    </row>
    <row r="1663" spans="1:11" ht="13.5" customHeight="1">
      <c r="A1663"/>
      <c r="B1663"/>
      <c r="C1663"/>
      <c r="D1663"/>
      <c r="E1663"/>
      <c r="F1663"/>
      <c r="G1663"/>
      <c r="H1663"/>
      <c r="I1663"/>
      <c r="J1663"/>
      <c r="K1663"/>
    </row>
    <row r="1664" spans="1:11" ht="13.5" customHeight="1">
      <c r="A1664"/>
      <c r="B1664"/>
      <c r="C1664"/>
      <c r="D1664"/>
      <c r="E1664"/>
      <c r="F1664"/>
      <c r="G1664"/>
      <c r="H1664"/>
      <c r="I1664"/>
      <c r="J1664"/>
      <c r="K1664"/>
    </row>
    <row r="1665" spans="1:11" ht="13.5" customHeight="1">
      <c r="A1665"/>
      <c r="B1665"/>
      <c r="C1665"/>
      <c r="D1665"/>
      <c r="E1665"/>
      <c r="F1665"/>
      <c r="G1665"/>
      <c r="H1665"/>
      <c r="I1665"/>
      <c r="J1665"/>
      <c r="K1665"/>
    </row>
    <row r="1666" spans="1:11" ht="13.5" customHeight="1">
      <c r="A1666"/>
      <c r="B1666"/>
      <c r="C1666"/>
      <c r="D1666"/>
      <c r="E1666"/>
      <c r="F1666"/>
      <c r="G1666"/>
      <c r="H1666"/>
      <c r="I1666"/>
      <c r="J1666"/>
      <c r="K1666"/>
    </row>
    <row r="1667" spans="1:11" ht="13.5" customHeight="1">
      <c r="A1667"/>
      <c r="B1667"/>
      <c r="C1667"/>
      <c r="D1667"/>
      <c r="E1667"/>
      <c r="F1667"/>
      <c r="G1667"/>
      <c r="H1667"/>
      <c r="I1667"/>
      <c r="J1667"/>
      <c r="K1667"/>
    </row>
    <row r="1668" spans="1:11" ht="13.5" customHeight="1">
      <c r="A1668"/>
      <c r="B1668"/>
      <c r="C1668"/>
      <c r="D1668"/>
      <c r="E1668"/>
      <c r="F1668"/>
      <c r="G1668"/>
      <c r="H1668"/>
      <c r="I1668"/>
      <c r="J1668"/>
      <c r="K1668"/>
    </row>
    <row r="1669" spans="1:11" ht="13.5" customHeight="1">
      <c r="A1669"/>
      <c r="B1669"/>
      <c r="C1669"/>
      <c r="D1669"/>
      <c r="E1669"/>
      <c r="F1669"/>
      <c r="G1669"/>
      <c r="H1669"/>
      <c r="I1669"/>
      <c r="J1669"/>
      <c r="K1669"/>
    </row>
    <row r="1670" spans="1:11" ht="13.5" customHeight="1">
      <c r="A1670"/>
      <c r="B1670"/>
      <c r="C1670"/>
      <c r="D1670"/>
      <c r="E1670"/>
      <c r="F1670"/>
      <c r="G1670"/>
      <c r="H1670"/>
      <c r="I1670"/>
      <c r="J1670"/>
      <c r="K1670"/>
    </row>
    <row r="1671" spans="1:11" ht="13.5" customHeight="1">
      <c r="A1671"/>
      <c r="B1671"/>
      <c r="C1671"/>
      <c r="D1671"/>
      <c r="E1671"/>
      <c r="F1671"/>
      <c r="G1671"/>
      <c r="H1671"/>
      <c r="I1671"/>
      <c r="J1671"/>
      <c r="K1671"/>
    </row>
    <row r="1672" spans="1:11" ht="13.5" customHeight="1">
      <c r="A1672"/>
      <c r="B1672"/>
      <c r="C1672"/>
      <c r="D1672"/>
      <c r="E1672"/>
      <c r="F1672"/>
      <c r="G1672"/>
      <c r="H1672"/>
      <c r="I1672"/>
      <c r="J1672"/>
      <c r="K1672"/>
    </row>
    <row r="1673" spans="1:11" ht="13.5" customHeight="1">
      <c r="A1673"/>
      <c r="B1673"/>
      <c r="C1673"/>
      <c r="D1673"/>
      <c r="E1673"/>
      <c r="F1673"/>
      <c r="G1673"/>
      <c r="H1673"/>
      <c r="I1673"/>
      <c r="J1673"/>
      <c r="K1673"/>
    </row>
    <row r="1674" spans="1:11" ht="13.5" customHeight="1">
      <c r="A1674"/>
      <c r="B1674"/>
      <c r="C1674"/>
      <c r="D1674"/>
      <c r="E1674"/>
      <c r="F1674"/>
      <c r="G1674"/>
      <c r="H1674"/>
      <c r="I1674"/>
      <c r="J1674"/>
      <c r="K1674"/>
    </row>
    <row r="1675" spans="1:11" ht="13.5" customHeight="1">
      <c r="A1675"/>
      <c r="B1675"/>
      <c r="C1675"/>
      <c r="D1675"/>
      <c r="E1675"/>
      <c r="F1675"/>
      <c r="G1675"/>
      <c r="H1675"/>
      <c r="I1675"/>
      <c r="J1675"/>
      <c r="K1675"/>
    </row>
    <row r="1676" spans="1:11" ht="13.5" customHeight="1">
      <c r="A1676"/>
      <c r="B1676"/>
      <c r="C1676"/>
      <c r="D1676"/>
      <c r="E1676"/>
      <c r="F1676"/>
      <c r="G1676"/>
      <c r="H1676"/>
      <c r="I1676"/>
      <c r="J1676"/>
      <c r="K1676"/>
    </row>
    <row r="1677" spans="1:11" ht="13.5" customHeight="1">
      <c r="A1677"/>
      <c r="B1677"/>
      <c r="C1677"/>
      <c r="D1677"/>
      <c r="E1677"/>
      <c r="F1677"/>
      <c r="G1677"/>
      <c r="H1677"/>
      <c r="I1677"/>
      <c r="J1677"/>
      <c r="K1677"/>
    </row>
    <row r="1678" spans="1:11" ht="13.5" customHeight="1">
      <c r="A1678"/>
      <c r="B1678"/>
      <c r="C1678"/>
      <c r="D1678"/>
      <c r="E1678"/>
      <c r="F1678"/>
      <c r="G1678"/>
      <c r="H1678"/>
      <c r="I1678"/>
      <c r="J1678"/>
      <c r="K1678"/>
    </row>
    <row r="1679" spans="1:11" ht="13.5" customHeight="1">
      <c r="A1679"/>
      <c r="B1679"/>
      <c r="C1679"/>
      <c r="D1679"/>
      <c r="E1679"/>
      <c r="F1679"/>
      <c r="G1679"/>
      <c r="H1679"/>
      <c r="I1679"/>
      <c r="J1679"/>
      <c r="K1679"/>
    </row>
    <row r="1680" spans="1:11" ht="13.5" customHeight="1">
      <c r="A1680"/>
      <c r="B1680"/>
      <c r="C1680"/>
      <c r="D1680"/>
      <c r="E1680"/>
      <c r="F1680"/>
      <c r="G1680"/>
      <c r="H1680"/>
      <c r="I1680"/>
      <c r="J1680"/>
      <c r="K1680"/>
    </row>
    <row r="1681" spans="1:11" ht="13.5" customHeight="1">
      <c r="A1681"/>
      <c r="B1681"/>
      <c r="C1681"/>
      <c r="D1681"/>
      <c r="E1681"/>
      <c r="F1681"/>
      <c r="G1681"/>
      <c r="H1681"/>
      <c r="I1681"/>
      <c r="J1681"/>
      <c r="K1681"/>
    </row>
    <row r="1682" spans="1:11" ht="13.5" customHeight="1">
      <c r="A1682"/>
      <c r="B1682"/>
      <c r="C1682"/>
      <c r="D1682"/>
      <c r="E1682"/>
      <c r="F1682"/>
      <c r="G1682"/>
      <c r="H1682"/>
      <c r="I1682"/>
      <c r="J1682"/>
      <c r="K1682"/>
    </row>
    <row r="1683" spans="1:11" ht="13.5" customHeight="1">
      <c r="A1683"/>
      <c r="B1683"/>
      <c r="C1683"/>
      <c r="D1683"/>
      <c r="E1683"/>
      <c r="F1683"/>
      <c r="G1683"/>
      <c r="H1683"/>
      <c r="I1683"/>
      <c r="J1683"/>
      <c r="K1683"/>
    </row>
    <row r="1684" spans="1:11" ht="13.5" customHeight="1">
      <c r="A1684"/>
      <c r="B1684"/>
      <c r="C1684"/>
      <c r="D1684"/>
      <c r="E1684"/>
      <c r="F1684"/>
      <c r="G1684"/>
      <c r="H1684"/>
      <c r="I1684"/>
      <c r="J1684"/>
      <c r="K1684"/>
    </row>
    <row r="1685" spans="1:11" ht="13.5" customHeight="1">
      <c r="A1685"/>
      <c r="B1685"/>
      <c r="C1685"/>
      <c r="D1685"/>
      <c r="E1685"/>
      <c r="F1685"/>
      <c r="G1685"/>
      <c r="H1685"/>
      <c r="I1685"/>
      <c r="J1685"/>
      <c r="K1685"/>
    </row>
    <row r="1686" spans="1:11" ht="13.5" customHeight="1">
      <c r="A1686"/>
      <c r="B1686"/>
      <c r="C1686"/>
      <c r="D1686"/>
      <c r="E1686"/>
      <c r="F1686"/>
      <c r="G1686"/>
      <c r="H1686"/>
      <c r="I1686"/>
      <c r="J1686"/>
      <c r="K1686"/>
    </row>
    <row r="1687" spans="1:11" ht="13.5" customHeight="1">
      <c r="A1687"/>
      <c r="B1687"/>
      <c r="C1687"/>
      <c r="D1687"/>
      <c r="E1687"/>
      <c r="F1687"/>
      <c r="G1687"/>
      <c r="H1687"/>
      <c r="I1687"/>
      <c r="J1687"/>
      <c r="K1687"/>
    </row>
    <row r="1688" spans="1:11" ht="13.5" customHeight="1">
      <c r="A1688"/>
      <c r="B1688"/>
      <c r="C1688"/>
      <c r="D1688"/>
      <c r="E1688"/>
      <c r="F1688"/>
      <c r="G1688"/>
      <c r="H1688"/>
      <c r="I1688"/>
      <c r="J1688"/>
      <c r="K1688"/>
    </row>
    <row r="1689" spans="1:11" ht="13.5" customHeight="1">
      <c r="A1689"/>
      <c r="B1689"/>
      <c r="C1689"/>
      <c r="D1689"/>
      <c r="E1689"/>
      <c r="F1689"/>
      <c r="G1689"/>
      <c r="H1689"/>
      <c r="I1689"/>
      <c r="J1689"/>
      <c r="K1689"/>
    </row>
    <row r="1690" spans="1:11" ht="13.5" customHeight="1">
      <c r="A1690"/>
      <c r="B1690"/>
      <c r="C1690"/>
      <c r="D1690"/>
      <c r="E1690"/>
      <c r="F1690"/>
      <c r="G1690"/>
      <c r="H1690"/>
      <c r="I1690"/>
      <c r="J1690"/>
      <c r="K1690"/>
    </row>
    <row r="1691" spans="1:11" ht="13.5" customHeight="1">
      <c r="A1691"/>
      <c r="B1691"/>
      <c r="C1691"/>
      <c r="D1691"/>
      <c r="E1691"/>
      <c r="F1691"/>
      <c r="G1691"/>
      <c r="H1691"/>
      <c r="I1691"/>
      <c r="J1691"/>
      <c r="K1691"/>
    </row>
    <row r="1692" spans="1:11" ht="13.5" customHeight="1">
      <c r="A1692"/>
      <c r="B1692"/>
      <c r="C1692"/>
      <c r="D1692"/>
      <c r="E1692"/>
      <c r="F1692"/>
      <c r="G1692"/>
      <c r="H1692"/>
      <c r="I1692"/>
      <c r="J1692"/>
      <c r="K1692"/>
    </row>
    <row r="1693" spans="1:11" ht="13.5" customHeight="1">
      <c r="A1693"/>
      <c r="B1693"/>
      <c r="C1693"/>
      <c r="D1693"/>
      <c r="E1693"/>
      <c r="F1693"/>
      <c r="G1693"/>
      <c r="H1693"/>
      <c r="I1693"/>
      <c r="J1693"/>
      <c r="K1693"/>
    </row>
    <row r="1694" spans="1:11" ht="13.5" customHeight="1">
      <c r="A1694"/>
      <c r="B1694"/>
      <c r="C1694"/>
      <c r="D1694"/>
      <c r="E1694"/>
      <c r="F1694"/>
      <c r="G1694"/>
      <c r="H1694"/>
      <c r="I1694"/>
      <c r="J1694"/>
      <c r="K1694"/>
    </row>
    <row r="1695" spans="1:11" ht="13.5" customHeight="1">
      <c r="A1695"/>
      <c r="B1695"/>
      <c r="C1695"/>
      <c r="D1695"/>
      <c r="E1695"/>
      <c r="F1695"/>
      <c r="G1695"/>
      <c r="H1695"/>
      <c r="I1695"/>
      <c r="J1695"/>
      <c r="K1695"/>
    </row>
    <row r="1696" spans="1:11" ht="13.5" customHeight="1">
      <c r="A1696"/>
      <c r="B1696"/>
      <c r="C1696"/>
      <c r="D1696"/>
      <c r="E1696"/>
      <c r="F1696"/>
      <c r="G1696"/>
      <c r="H1696"/>
      <c r="I1696"/>
      <c r="J1696"/>
      <c r="K1696"/>
    </row>
    <row r="1697" spans="1:11" ht="13.5" customHeight="1">
      <c r="A1697"/>
      <c r="B1697"/>
      <c r="C1697"/>
      <c r="D1697"/>
      <c r="E1697"/>
      <c r="F1697"/>
      <c r="G1697"/>
      <c r="H1697"/>
      <c r="I1697"/>
      <c r="J1697"/>
      <c r="K1697"/>
    </row>
    <row r="1698" spans="1:11" ht="13.5" customHeight="1">
      <c r="A1698"/>
      <c r="B1698"/>
      <c r="C1698"/>
      <c r="D1698"/>
      <c r="E1698"/>
      <c r="F1698"/>
      <c r="G1698"/>
      <c r="H1698"/>
      <c r="I1698"/>
      <c r="J1698"/>
      <c r="K1698"/>
    </row>
    <row r="1699" spans="1:11" ht="13.5" customHeight="1">
      <c r="A1699"/>
      <c r="B1699"/>
      <c r="C1699"/>
      <c r="D1699"/>
      <c r="E1699"/>
      <c r="F1699"/>
      <c r="G1699"/>
      <c r="H1699"/>
      <c r="I1699"/>
      <c r="J1699"/>
      <c r="K1699"/>
    </row>
    <row r="1700" spans="1:11" ht="13.5" customHeight="1">
      <c r="A1700"/>
      <c r="B1700"/>
      <c r="C1700"/>
      <c r="D1700"/>
      <c r="E1700"/>
      <c r="F1700"/>
      <c r="G1700"/>
      <c r="H1700"/>
      <c r="I1700"/>
      <c r="J1700"/>
      <c r="K1700"/>
    </row>
    <row r="1701" spans="1:11" ht="13.5" customHeight="1">
      <c r="A1701"/>
      <c r="B1701"/>
      <c r="C1701"/>
      <c r="D1701"/>
      <c r="E1701"/>
      <c r="F1701"/>
      <c r="G1701"/>
      <c r="H1701"/>
      <c r="I1701"/>
      <c r="J1701"/>
      <c r="K1701"/>
    </row>
    <row r="1702" spans="1:11" ht="13.5" customHeight="1">
      <c r="A1702"/>
      <c r="B1702"/>
      <c r="C1702"/>
      <c r="D1702"/>
      <c r="E1702"/>
      <c r="F1702"/>
      <c r="G1702"/>
      <c r="H1702"/>
      <c r="I1702"/>
      <c r="J1702"/>
      <c r="K1702"/>
    </row>
    <row r="1703" spans="1:11" ht="13.5" customHeight="1">
      <c r="A1703"/>
      <c r="B1703"/>
      <c r="C1703"/>
      <c r="D1703"/>
      <c r="E1703"/>
      <c r="F1703"/>
      <c r="G1703"/>
      <c r="H1703"/>
      <c r="I1703"/>
      <c r="J1703"/>
      <c r="K1703"/>
    </row>
    <row r="1704" spans="1:11" ht="13.5" customHeight="1">
      <c r="A1704"/>
      <c r="B1704"/>
      <c r="C1704"/>
      <c r="D1704"/>
      <c r="E1704"/>
      <c r="F1704"/>
      <c r="G1704"/>
      <c r="H1704"/>
      <c r="I1704"/>
      <c r="J1704"/>
      <c r="K1704"/>
    </row>
    <row r="1705" spans="1:11" ht="13.5" customHeight="1">
      <c r="A1705"/>
      <c r="B1705"/>
      <c r="C1705"/>
      <c r="D1705"/>
      <c r="E1705"/>
      <c r="F1705"/>
      <c r="G1705"/>
      <c r="H1705"/>
      <c r="I1705"/>
      <c r="J1705"/>
      <c r="K1705"/>
    </row>
    <row r="1706" spans="1:11" ht="13.5" customHeight="1">
      <c r="A1706"/>
      <c r="B1706"/>
      <c r="C1706"/>
      <c r="D1706"/>
      <c r="E1706"/>
      <c r="F1706"/>
      <c r="G1706"/>
      <c r="H1706"/>
      <c r="I1706"/>
      <c r="J1706"/>
      <c r="K1706"/>
    </row>
    <row r="1707" spans="1:11" ht="13.5" customHeight="1">
      <c r="A1707"/>
      <c r="B1707"/>
      <c r="C1707"/>
      <c r="D1707"/>
      <c r="E1707"/>
      <c r="F1707"/>
      <c r="G1707"/>
      <c r="H1707"/>
      <c r="I1707"/>
      <c r="J1707"/>
      <c r="K1707"/>
    </row>
    <row r="1708" spans="1:11" ht="13.5" customHeight="1">
      <c r="A1708"/>
      <c r="B1708"/>
      <c r="C1708"/>
      <c r="D1708"/>
      <c r="E1708"/>
      <c r="F1708"/>
      <c r="G1708"/>
      <c r="H1708"/>
      <c r="I1708"/>
      <c r="J1708"/>
      <c r="K1708"/>
    </row>
    <row r="1709" spans="1:11" ht="13.5" customHeight="1">
      <c r="A1709"/>
      <c r="B1709"/>
      <c r="C1709"/>
      <c r="D1709"/>
      <c r="E1709"/>
      <c r="F1709"/>
      <c r="G1709"/>
      <c r="H1709"/>
      <c r="I1709"/>
      <c r="J1709"/>
      <c r="K1709"/>
    </row>
    <row r="1710" spans="1:11" ht="13.5" customHeight="1">
      <c r="A1710"/>
      <c r="B1710"/>
      <c r="C1710"/>
      <c r="D1710"/>
      <c r="E1710"/>
      <c r="F1710"/>
      <c r="G1710"/>
      <c r="H1710"/>
      <c r="I1710"/>
      <c r="J1710"/>
      <c r="K1710"/>
    </row>
    <row r="1711" spans="1:11" ht="13.5" customHeight="1">
      <c r="A1711"/>
      <c r="B1711"/>
      <c r="C1711"/>
      <c r="D1711"/>
      <c r="E1711"/>
      <c r="F1711"/>
      <c r="G1711"/>
      <c r="H1711"/>
      <c r="I1711"/>
      <c r="J1711"/>
      <c r="K1711"/>
    </row>
    <row r="1712" spans="1:11" ht="13.5" customHeight="1">
      <c r="A1712"/>
      <c r="B1712"/>
      <c r="C1712"/>
      <c r="D1712"/>
      <c r="E1712"/>
      <c r="F1712"/>
      <c r="G1712"/>
      <c r="H1712"/>
      <c r="I1712"/>
      <c r="J1712"/>
      <c r="K1712"/>
    </row>
    <row r="1713" spans="1:11" ht="13.5" customHeight="1">
      <c r="A1713"/>
      <c r="B1713"/>
      <c r="C1713"/>
      <c r="D1713"/>
      <c r="E1713"/>
      <c r="F1713"/>
      <c r="G1713"/>
      <c r="H1713"/>
      <c r="I1713"/>
      <c r="J1713"/>
      <c r="K1713"/>
    </row>
    <row r="1714" spans="1:11" ht="13.5" customHeight="1">
      <c r="A1714"/>
      <c r="B1714"/>
      <c r="C1714"/>
      <c r="D1714"/>
      <c r="E1714"/>
      <c r="F1714"/>
      <c r="G1714"/>
      <c r="H1714"/>
      <c r="I1714"/>
      <c r="J1714"/>
      <c r="K1714"/>
    </row>
    <row r="1715" spans="1:11" ht="13.5" customHeight="1">
      <c r="A1715"/>
      <c r="B1715"/>
      <c r="C1715"/>
      <c r="D1715"/>
      <c r="E1715"/>
      <c r="F1715"/>
      <c r="G1715"/>
      <c r="H1715"/>
      <c r="I1715"/>
      <c r="J1715"/>
      <c r="K1715"/>
    </row>
    <row r="1716" spans="1:11" ht="13.5" customHeight="1">
      <c r="A1716"/>
      <c r="B1716"/>
      <c r="C1716"/>
      <c r="D1716"/>
      <c r="E1716"/>
      <c r="F1716"/>
      <c r="G1716"/>
      <c r="H1716"/>
      <c r="I1716"/>
      <c r="J1716"/>
      <c r="K1716"/>
    </row>
    <row r="1717" spans="1:11" ht="13.5" customHeight="1">
      <c r="A1717"/>
      <c r="B1717"/>
      <c r="C1717"/>
      <c r="D1717"/>
      <c r="E1717"/>
      <c r="F1717"/>
      <c r="G1717"/>
      <c r="H1717"/>
      <c r="I1717"/>
      <c r="J1717"/>
      <c r="K1717"/>
    </row>
    <row r="1718" spans="1:11" ht="13.5" customHeight="1">
      <c r="A1718"/>
      <c r="B1718"/>
      <c r="C1718"/>
      <c r="D1718"/>
      <c r="E1718"/>
      <c r="F1718"/>
      <c r="G1718"/>
      <c r="H1718"/>
      <c r="I1718"/>
      <c r="J1718"/>
      <c r="K1718"/>
    </row>
    <row r="1719" spans="1:11" ht="13.5" customHeight="1">
      <c r="A1719"/>
      <c r="B1719"/>
      <c r="C1719"/>
      <c r="D1719"/>
      <c r="E1719"/>
      <c r="F1719"/>
      <c r="G1719"/>
      <c r="H1719"/>
      <c r="I1719"/>
      <c r="J1719"/>
      <c r="K1719"/>
    </row>
    <row r="1720" spans="1:11" ht="13.5" customHeight="1">
      <c r="A1720"/>
      <c r="B1720"/>
      <c r="C1720"/>
      <c r="D1720"/>
      <c r="E1720"/>
      <c r="F1720"/>
      <c r="G1720"/>
      <c r="H1720"/>
      <c r="I1720"/>
      <c r="J1720"/>
      <c r="K1720"/>
    </row>
    <row r="1721" spans="1:11" ht="13.5" customHeight="1">
      <c r="A1721"/>
      <c r="B1721"/>
      <c r="C1721"/>
      <c r="D1721"/>
      <c r="E1721"/>
      <c r="F1721"/>
      <c r="G1721"/>
      <c r="H1721"/>
      <c r="I1721"/>
      <c r="J1721"/>
      <c r="K1721"/>
    </row>
    <row r="1722" spans="1:11" ht="13.5" customHeight="1">
      <c r="A1722"/>
      <c r="B1722"/>
      <c r="C1722"/>
      <c r="D1722"/>
      <c r="E1722"/>
      <c r="F1722"/>
      <c r="G1722"/>
      <c r="H1722"/>
      <c r="I1722"/>
      <c r="J1722"/>
      <c r="K1722"/>
    </row>
    <row r="1723" spans="1:11" ht="13.5" customHeight="1">
      <c r="A1723"/>
      <c r="B1723"/>
      <c r="C1723"/>
      <c r="D1723"/>
      <c r="E1723"/>
      <c r="F1723"/>
      <c r="G1723"/>
      <c r="H1723"/>
      <c r="I1723"/>
      <c r="J1723"/>
      <c r="K1723"/>
    </row>
    <row r="1724" spans="1:11" ht="13.5" customHeight="1">
      <c r="A1724"/>
      <c r="B1724"/>
      <c r="C1724"/>
      <c r="D1724"/>
      <c r="E1724"/>
      <c r="F1724"/>
      <c r="G1724"/>
      <c r="H1724"/>
      <c r="I1724"/>
      <c r="J1724"/>
      <c r="K1724"/>
    </row>
    <row r="1725" spans="1:11" ht="13.5" customHeight="1">
      <c r="A1725"/>
      <c r="B1725"/>
      <c r="C1725"/>
      <c r="D1725"/>
      <c r="E1725"/>
      <c r="F1725"/>
      <c r="G1725"/>
      <c r="H1725"/>
      <c r="I1725"/>
      <c r="J1725"/>
      <c r="K1725"/>
    </row>
    <row r="1726" spans="1:11" ht="13.5" customHeight="1">
      <c r="A1726"/>
      <c r="B1726"/>
      <c r="C1726"/>
      <c r="D1726"/>
      <c r="E1726"/>
      <c r="F1726"/>
      <c r="G1726"/>
      <c r="H1726"/>
      <c r="I1726"/>
      <c r="J1726"/>
      <c r="K1726"/>
    </row>
    <row r="1727" spans="1:11" ht="13.5" customHeight="1">
      <c r="A1727"/>
      <c r="B1727"/>
      <c r="C1727"/>
      <c r="D1727"/>
      <c r="E1727"/>
      <c r="F1727"/>
      <c r="G1727"/>
      <c r="H1727"/>
      <c r="I1727"/>
      <c r="J1727"/>
      <c r="K1727"/>
    </row>
    <row r="1728" spans="1:11" ht="13.5" customHeight="1">
      <c r="A1728"/>
      <c r="B1728"/>
      <c r="C1728"/>
      <c r="D1728"/>
      <c r="E1728"/>
      <c r="F1728"/>
      <c r="G1728"/>
      <c r="H1728"/>
      <c r="I1728"/>
      <c r="J1728"/>
      <c r="K1728"/>
    </row>
    <row r="1729" spans="1:11" ht="13.5" customHeight="1">
      <c r="A1729"/>
      <c r="B1729"/>
      <c r="C1729"/>
      <c r="D1729"/>
      <c r="E1729"/>
      <c r="F1729"/>
      <c r="G1729"/>
      <c r="H1729"/>
      <c r="I1729"/>
      <c r="J1729"/>
      <c r="K1729"/>
    </row>
    <row r="1730" spans="1:11" ht="13.5" customHeight="1">
      <c r="A1730"/>
      <c r="B1730"/>
      <c r="C1730"/>
      <c r="D1730"/>
      <c r="E1730"/>
      <c r="F1730"/>
      <c r="G1730"/>
      <c r="H1730"/>
      <c r="I1730"/>
      <c r="J1730"/>
      <c r="K1730"/>
    </row>
    <row r="1731" spans="1:11" ht="13.5" customHeight="1">
      <c r="A1731"/>
      <c r="B1731"/>
      <c r="C1731"/>
      <c r="D1731"/>
      <c r="E1731"/>
      <c r="F1731"/>
      <c r="G1731"/>
      <c r="H1731"/>
      <c r="I1731"/>
      <c r="J1731"/>
      <c r="K1731"/>
    </row>
    <row r="1732" spans="1:11" ht="13.5" customHeight="1">
      <c r="A1732"/>
      <c r="B1732"/>
      <c r="C1732"/>
      <c r="D1732"/>
      <c r="E1732"/>
      <c r="F1732"/>
      <c r="G1732"/>
      <c r="H1732"/>
      <c r="I1732"/>
      <c r="J1732"/>
      <c r="K1732"/>
    </row>
    <row r="1733" spans="1:11" ht="13.5" customHeight="1">
      <c r="A1733"/>
      <c r="B1733"/>
      <c r="C1733"/>
      <c r="D1733"/>
      <c r="E1733"/>
      <c r="F1733"/>
      <c r="G1733"/>
      <c r="H1733"/>
      <c r="I1733"/>
      <c r="J1733"/>
      <c r="K1733"/>
    </row>
    <row r="1734" spans="1:11" ht="13.5" customHeight="1">
      <c r="A1734"/>
      <c r="B1734"/>
      <c r="C1734"/>
      <c r="D1734"/>
      <c r="E1734"/>
      <c r="F1734"/>
      <c r="G1734"/>
      <c r="H1734"/>
      <c r="I1734"/>
      <c r="J1734"/>
      <c r="K1734"/>
    </row>
    <row r="1735" spans="1:11" ht="13.5" customHeight="1">
      <c r="A1735"/>
      <c r="B1735"/>
      <c r="C1735"/>
      <c r="D1735"/>
      <c r="E1735"/>
      <c r="F1735"/>
      <c r="G1735"/>
      <c r="H1735"/>
      <c r="I1735"/>
      <c r="J1735"/>
      <c r="K1735"/>
    </row>
    <row r="1736" spans="1:11" ht="13.5" customHeight="1">
      <c r="A1736"/>
      <c r="B1736"/>
      <c r="C1736"/>
      <c r="D1736"/>
      <c r="E1736"/>
      <c r="F1736"/>
      <c r="G1736"/>
      <c r="H1736"/>
      <c r="I1736"/>
      <c r="J1736"/>
      <c r="K1736"/>
    </row>
    <row r="1737" spans="1:11" ht="13.5" customHeight="1">
      <c r="A1737"/>
      <c r="B1737"/>
      <c r="C1737"/>
      <c r="D1737"/>
      <c r="E1737"/>
      <c r="F1737"/>
      <c r="G1737"/>
      <c r="H1737"/>
      <c r="I1737"/>
      <c r="J1737"/>
      <c r="K1737"/>
    </row>
    <row r="1738" spans="1:11" ht="13.5" customHeight="1">
      <c r="A1738"/>
      <c r="B1738"/>
      <c r="C1738"/>
      <c r="D1738"/>
      <c r="E1738"/>
      <c r="F1738"/>
      <c r="G1738"/>
      <c r="H1738"/>
      <c r="I1738"/>
      <c r="J1738"/>
      <c r="K1738"/>
    </row>
    <row r="1739" spans="1:11" ht="13.5" customHeight="1">
      <c r="A1739"/>
      <c r="B1739"/>
      <c r="C1739"/>
      <c r="D1739"/>
      <c r="E1739"/>
      <c r="F1739"/>
      <c r="G1739"/>
      <c r="H1739"/>
      <c r="I1739"/>
      <c r="J1739"/>
      <c r="K1739"/>
    </row>
    <row r="1740" spans="1:11" ht="13.5" customHeight="1">
      <c r="A1740"/>
      <c r="B1740"/>
      <c r="C1740"/>
      <c r="D1740"/>
      <c r="E1740"/>
      <c r="F1740"/>
      <c r="G1740"/>
      <c r="H1740"/>
      <c r="I1740"/>
      <c r="J1740"/>
      <c r="K1740"/>
    </row>
    <row r="1741" spans="1:11" ht="13.5" customHeight="1">
      <c r="A1741"/>
      <c r="B1741"/>
      <c r="C1741"/>
      <c r="D1741"/>
      <c r="E1741"/>
      <c r="F1741"/>
      <c r="G1741"/>
      <c r="H1741"/>
      <c r="I1741"/>
      <c r="J1741"/>
      <c r="K1741"/>
    </row>
    <row r="1742" spans="1:11" ht="13.5" customHeight="1">
      <c r="A1742"/>
      <c r="B1742"/>
      <c r="C1742"/>
      <c r="D1742"/>
      <c r="E1742"/>
      <c r="F1742"/>
      <c r="G1742"/>
      <c r="H1742"/>
      <c r="I1742"/>
      <c r="J1742"/>
      <c r="K1742"/>
    </row>
    <row r="1743" spans="1:11" ht="13.5" customHeight="1">
      <c r="A1743"/>
      <c r="B1743"/>
      <c r="C1743"/>
      <c r="D1743"/>
      <c r="E1743"/>
      <c r="F1743"/>
      <c r="G1743"/>
      <c r="H1743"/>
      <c r="I1743"/>
      <c r="J1743"/>
      <c r="K1743"/>
    </row>
    <row r="1744" spans="1:11" ht="13.5" customHeight="1">
      <c r="A1744"/>
      <c r="B1744"/>
      <c r="C1744"/>
      <c r="D1744"/>
      <c r="E1744"/>
      <c r="F1744"/>
      <c r="G1744"/>
      <c r="H1744"/>
      <c r="I1744"/>
      <c r="J1744"/>
      <c r="K1744"/>
    </row>
    <row r="1745" spans="1:11" ht="13.5" customHeight="1">
      <c r="A1745"/>
      <c r="B1745"/>
      <c r="C1745"/>
      <c r="D1745"/>
      <c r="E1745"/>
      <c r="F1745"/>
      <c r="G1745"/>
      <c r="H1745"/>
      <c r="I1745"/>
      <c r="J1745"/>
      <c r="K1745"/>
    </row>
    <row r="1746" spans="1:11" ht="13.5" customHeight="1">
      <c r="A1746"/>
      <c r="B1746"/>
      <c r="C1746"/>
      <c r="D1746"/>
      <c r="E1746"/>
      <c r="F1746"/>
      <c r="G1746"/>
      <c r="H1746"/>
      <c r="I1746"/>
      <c r="J1746"/>
      <c r="K1746"/>
    </row>
    <row r="1747" spans="1:11" ht="13.5" customHeight="1">
      <c r="A1747"/>
      <c r="B1747"/>
      <c r="C1747"/>
      <c r="D1747"/>
      <c r="E1747"/>
      <c r="F1747"/>
      <c r="G1747"/>
      <c r="H1747"/>
      <c r="I1747"/>
      <c r="J1747"/>
      <c r="K1747"/>
    </row>
    <row r="1748" spans="1:11" ht="13.5" customHeight="1">
      <c r="A1748"/>
      <c r="B1748"/>
      <c r="C1748"/>
      <c r="D1748"/>
      <c r="E1748"/>
      <c r="F1748"/>
      <c r="G1748"/>
      <c r="H1748"/>
      <c r="I1748"/>
      <c r="J1748"/>
      <c r="K1748"/>
    </row>
    <row r="1749" spans="1:11" ht="13.5" customHeight="1">
      <c r="A1749"/>
      <c r="B1749"/>
      <c r="C1749"/>
      <c r="D1749"/>
      <c r="E1749"/>
      <c r="F1749"/>
      <c r="G1749"/>
      <c r="H1749"/>
      <c r="I1749"/>
      <c r="J1749"/>
      <c r="K1749"/>
    </row>
    <row r="1750" spans="1:11" ht="13.5" customHeight="1">
      <c r="A1750"/>
      <c r="B1750"/>
      <c r="C1750"/>
      <c r="D1750"/>
      <c r="E1750"/>
      <c r="F1750"/>
      <c r="G1750"/>
      <c r="H1750"/>
      <c r="I1750"/>
      <c r="J1750"/>
      <c r="K1750"/>
    </row>
    <row r="1751" spans="1:11" ht="13.5" customHeight="1">
      <c r="A1751"/>
      <c r="B1751"/>
      <c r="C1751"/>
      <c r="D1751"/>
      <c r="E1751"/>
      <c r="F1751"/>
      <c r="G1751"/>
      <c r="H1751"/>
      <c r="I1751"/>
      <c r="J1751"/>
      <c r="K1751"/>
    </row>
    <row r="1752" spans="1:11" ht="13.5" customHeight="1">
      <c r="A1752"/>
      <c r="B1752"/>
      <c r="C1752"/>
      <c r="D1752"/>
      <c r="E1752"/>
      <c r="F1752"/>
      <c r="G1752"/>
      <c r="H1752"/>
      <c r="I1752"/>
      <c r="J1752"/>
      <c r="K1752"/>
    </row>
    <row r="1753" spans="1:11" ht="13.5" customHeight="1">
      <c r="A1753"/>
      <c r="B1753"/>
      <c r="C1753"/>
      <c r="D1753"/>
      <c r="E1753"/>
      <c r="F1753"/>
      <c r="G1753"/>
      <c r="H1753"/>
      <c r="I1753"/>
      <c r="J1753"/>
      <c r="K1753"/>
    </row>
    <row r="1754" spans="1:11" ht="13.5" customHeight="1">
      <c r="A1754"/>
      <c r="B1754"/>
      <c r="C1754"/>
      <c r="D1754"/>
      <c r="E1754"/>
      <c r="F1754"/>
      <c r="G1754"/>
      <c r="H1754"/>
      <c r="I1754"/>
      <c r="J1754"/>
      <c r="K1754"/>
    </row>
    <row r="1755" spans="1:11" ht="13.5" customHeight="1">
      <c r="A1755"/>
      <c r="B1755"/>
      <c r="C1755"/>
      <c r="D1755"/>
      <c r="E1755"/>
      <c r="F1755"/>
      <c r="G1755"/>
      <c r="H1755"/>
      <c r="I1755"/>
      <c r="J1755"/>
      <c r="K1755"/>
    </row>
    <row r="1756" spans="1:11" ht="13.5" customHeight="1">
      <c r="A1756"/>
      <c r="B1756"/>
      <c r="C1756"/>
      <c r="D1756"/>
      <c r="E1756"/>
      <c r="F1756"/>
      <c r="G1756"/>
      <c r="H1756"/>
      <c r="I1756"/>
      <c r="J1756"/>
      <c r="K1756"/>
    </row>
    <row r="1757" spans="1:11" ht="13.5" customHeight="1">
      <c r="A1757"/>
      <c r="B1757"/>
      <c r="C1757"/>
      <c r="D1757"/>
      <c r="E1757"/>
      <c r="F1757"/>
      <c r="G1757"/>
      <c r="H1757"/>
      <c r="I1757"/>
      <c r="J1757"/>
      <c r="K1757"/>
    </row>
    <row r="1758" spans="1:11" ht="13.5" customHeight="1">
      <c r="A1758"/>
      <c r="B1758"/>
      <c r="C1758"/>
      <c r="D1758"/>
      <c r="E1758"/>
      <c r="F1758"/>
      <c r="G1758"/>
      <c r="H1758"/>
      <c r="I1758"/>
      <c r="J1758"/>
      <c r="K1758"/>
    </row>
    <row r="1759" spans="1:11" ht="13.5" customHeight="1">
      <c r="A1759"/>
      <c r="B1759"/>
      <c r="C1759"/>
      <c r="D1759"/>
      <c r="E1759"/>
      <c r="F1759"/>
      <c r="G1759"/>
      <c r="H1759"/>
      <c r="I1759"/>
      <c r="J1759"/>
      <c r="K1759"/>
    </row>
    <row r="1760" spans="1:11" ht="13.5" customHeight="1">
      <c r="A1760"/>
      <c r="B1760"/>
      <c r="C1760"/>
      <c r="D1760"/>
      <c r="E1760"/>
      <c r="F1760"/>
      <c r="G1760"/>
      <c r="H1760"/>
      <c r="I1760"/>
      <c r="J1760"/>
      <c r="K1760"/>
    </row>
    <row r="1761" spans="1:11" ht="13.5" customHeight="1">
      <c r="A1761"/>
      <c r="B1761"/>
      <c r="C1761"/>
      <c r="D1761"/>
      <c r="E1761"/>
      <c r="F1761"/>
      <c r="G1761"/>
      <c r="H1761"/>
      <c r="I1761"/>
      <c r="J1761"/>
      <c r="K1761"/>
    </row>
    <row r="1762" spans="1:11" ht="13.5" customHeight="1">
      <c r="A1762"/>
      <c r="B1762"/>
      <c r="C1762"/>
      <c r="D1762"/>
      <c r="E1762"/>
      <c r="F1762"/>
      <c r="G1762"/>
      <c r="H1762"/>
      <c r="I1762"/>
      <c r="J1762"/>
      <c r="K1762"/>
    </row>
    <row r="1763" spans="1:11" ht="13.5" customHeight="1">
      <c r="A1763"/>
      <c r="B1763"/>
      <c r="C1763"/>
      <c r="D1763"/>
      <c r="E1763"/>
      <c r="F1763"/>
      <c r="G1763"/>
      <c r="H1763"/>
      <c r="I1763"/>
      <c r="J1763"/>
      <c r="K1763"/>
    </row>
    <row r="1764" spans="1:11" ht="13.5" customHeight="1">
      <c r="A1764"/>
      <c r="B1764"/>
      <c r="C1764"/>
      <c r="D1764"/>
      <c r="E1764"/>
      <c r="F1764"/>
      <c r="G1764"/>
      <c r="H1764"/>
      <c r="I1764"/>
      <c r="J1764"/>
      <c r="K1764"/>
    </row>
    <row r="1765" spans="1:11" ht="13.5" customHeight="1">
      <c r="A1765"/>
      <c r="B1765"/>
      <c r="C1765"/>
      <c r="D1765"/>
      <c r="E1765"/>
      <c r="F1765"/>
      <c r="G1765"/>
      <c r="H1765"/>
      <c r="I1765"/>
      <c r="J1765"/>
      <c r="K1765"/>
    </row>
    <row r="1766" spans="1:11" ht="13.5" customHeight="1">
      <c r="A1766"/>
      <c r="B1766"/>
      <c r="C1766"/>
      <c r="D1766"/>
      <c r="E1766"/>
      <c r="F1766"/>
      <c r="G1766"/>
      <c r="H1766"/>
      <c r="I1766"/>
      <c r="J1766"/>
      <c r="K1766"/>
    </row>
    <row r="1767" spans="1:11" ht="13.5" customHeight="1">
      <c r="A1767"/>
      <c r="B1767"/>
      <c r="C1767"/>
      <c r="D1767"/>
      <c r="E1767"/>
      <c r="F1767"/>
      <c r="G1767"/>
      <c r="H1767"/>
      <c r="I1767"/>
      <c r="J1767"/>
      <c r="K1767"/>
    </row>
    <row r="1768" spans="1:11" ht="13.5" customHeight="1">
      <c r="A1768"/>
      <c r="B1768"/>
      <c r="C1768"/>
      <c r="D1768"/>
      <c r="E1768"/>
      <c r="F1768"/>
      <c r="G1768"/>
      <c r="H1768"/>
      <c r="I1768"/>
      <c r="J1768"/>
      <c r="K1768"/>
    </row>
    <row r="1769" spans="1:11" ht="13.5" customHeight="1">
      <c r="A1769"/>
      <c r="B1769"/>
      <c r="C1769"/>
      <c r="D1769"/>
      <c r="E1769"/>
      <c r="F1769"/>
      <c r="G1769"/>
      <c r="H1769"/>
      <c r="I1769"/>
      <c r="J1769"/>
      <c r="K1769"/>
    </row>
    <row r="1770" spans="1:11" ht="13.5" customHeight="1">
      <c r="A1770"/>
      <c r="B1770"/>
      <c r="C1770"/>
      <c r="D1770"/>
      <c r="E1770"/>
      <c r="F1770"/>
      <c r="G1770"/>
      <c r="H1770"/>
      <c r="I1770"/>
      <c r="J1770"/>
      <c r="K1770"/>
    </row>
    <row r="1771" spans="1:11" ht="13.5" customHeight="1">
      <c r="A1771"/>
      <c r="B1771"/>
      <c r="C1771"/>
      <c r="D1771"/>
      <c r="E1771"/>
      <c r="F1771"/>
      <c r="G1771"/>
      <c r="H1771"/>
      <c r="I1771"/>
      <c r="J1771"/>
      <c r="K1771"/>
    </row>
    <row r="1772" spans="1:11" ht="13.5" customHeight="1">
      <c r="A1772"/>
      <c r="B1772"/>
      <c r="C1772"/>
      <c r="D1772"/>
      <c r="E1772"/>
      <c r="F1772"/>
      <c r="G1772"/>
      <c r="H1772"/>
      <c r="I1772"/>
      <c r="J1772"/>
      <c r="K1772"/>
    </row>
    <row r="1773" spans="1:11" ht="13.5" customHeight="1">
      <c r="A1773"/>
      <c r="B1773"/>
      <c r="C1773"/>
      <c r="D1773"/>
      <c r="E1773"/>
      <c r="F1773"/>
      <c r="G1773"/>
      <c r="H1773"/>
      <c r="I1773"/>
      <c r="J1773"/>
      <c r="K1773"/>
    </row>
    <row r="1774" spans="1:11" ht="13.5" customHeight="1">
      <c r="A1774"/>
      <c r="B1774"/>
      <c r="C1774"/>
      <c r="D1774"/>
      <c r="E1774"/>
      <c r="F1774"/>
      <c r="G1774"/>
      <c r="H1774"/>
      <c r="I1774"/>
      <c r="J1774"/>
      <c r="K1774"/>
    </row>
    <row r="1775" spans="1:11" ht="13.5" customHeight="1">
      <c r="A1775"/>
      <c r="B1775"/>
      <c r="C1775"/>
      <c r="D1775"/>
      <c r="E1775"/>
      <c r="F1775"/>
      <c r="G1775"/>
      <c r="H1775"/>
      <c r="I1775"/>
      <c r="J1775"/>
      <c r="K1775"/>
    </row>
    <row r="1776" spans="1:11" ht="13.5" customHeight="1">
      <c r="A1776"/>
      <c r="B1776"/>
      <c r="C1776"/>
      <c r="D1776"/>
      <c r="E1776"/>
      <c r="F1776"/>
      <c r="G1776"/>
      <c r="H1776"/>
      <c r="I1776"/>
      <c r="J1776"/>
      <c r="K1776"/>
    </row>
    <row r="1777" spans="1:11" ht="13.5" customHeight="1">
      <c r="A1777"/>
      <c r="B1777"/>
      <c r="C1777"/>
      <c r="D1777"/>
      <c r="E1777"/>
      <c r="F1777"/>
      <c r="G1777"/>
      <c r="H1777"/>
      <c r="I1777"/>
      <c r="J1777"/>
      <c r="K1777"/>
    </row>
    <row r="1778" spans="1:11" ht="13.5" customHeight="1">
      <c r="A1778"/>
      <c r="B1778"/>
      <c r="C1778"/>
      <c r="D1778"/>
      <c r="E1778"/>
      <c r="F1778"/>
      <c r="G1778"/>
      <c r="H1778"/>
      <c r="I1778"/>
      <c r="J1778"/>
      <c r="K1778"/>
    </row>
    <row r="1779" spans="1:11" ht="13.5" customHeight="1">
      <c r="A1779"/>
      <c r="B1779"/>
      <c r="C1779"/>
      <c r="D1779"/>
      <c r="E1779"/>
      <c r="F1779"/>
      <c r="G1779"/>
      <c r="H1779"/>
      <c r="I1779"/>
      <c r="J1779"/>
      <c r="K1779"/>
    </row>
    <row r="1780" spans="1:11" ht="13.5" customHeight="1">
      <c r="A1780"/>
      <c r="B1780"/>
      <c r="C1780"/>
      <c r="D1780"/>
      <c r="E1780"/>
      <c r="F1780"/>
      <c r="G1780"/>
      <c r="H1780"/>
      <c r="I1780"/>
      <c r="J1780"/>
      <c r="K1780"/>
    </row>
    <row r="1781" spans="1:11" ht="13.5" customHeight="1">
      <c r="A1781"/>
      <c r="B1781"/>
      <c r="C1781"/>
      <c r="D1781"/>
      <c r="E1781"/>
      <c r="F1781"/>
      <c r="G1781"/>
      <c r="H1781"/>
      <c r="I1781"/>
      <c r="J1781"/>
      <c r="K1781"/>
    </row>
    <row r="1782" spans="1:11" ht="13.5" customHeight="1">
      <c r="A1782"/>
      <c r="B1782"/>
      <c r="C1782"/>
      <c r="D1782"/>
      <c r="E1782"/>
      <c r="F1782"/>
      <c r="G1782"/>
      <c r="H1782"/>
      <c r="I1782"/>
      <c r="J1782"/>
      <c r="K1782"/>
    </row>
    <row r="1783" spans="1:11" ht="13.5" customHeight="1">
      <c r="A1783"/>
      <c r="B1783"/>
      <c r="C1783"/>
      <c r="D1783"/>
      <c r="E1783"/>
      <c r="F1783"/>
      <c r="G1783"/>
      <c r="H1783"/>
      <c r="I1783"/>
      <c r="J1783"/>
      <c r="K1783"/>
    </row>
    <row r="1784" spans="1:11" ht="13.5" customHeight="1">
      <c r="A1784"/>
      <c r="B1784"/>
      <c r="C1784"/>
      <c r="D1784"/>
      <c r="E1784"/>
      <c r="F1784"/>
      <c r="G1784"/>
      <c r="H1784"/>
      <c r="I1784"/>
      <c r="J1784"/>
      <c r="K1784"/>
    </row>
    <row r="1785" spans="1:11" ht="13.5" customHeight="1">
      <c r="A1785"/>
      <c r="B1785"/>
      <c r="C1785"/>
      <c r="D1785"/>
      <c r="E1785"/>
      <c r="F1785"/>
      <c r="G1785"/>
      <c r="H1785"/>
      <c r="I1785"/>
      <c r="J1785"/>
      <c r="K1785"/>
    </row>
    <row r="1786" spans="1:11" ht="13.5" customHeight="1">
      <c r="A1786"/>
      <c r="B1786"/>
      <c r="C1786"/>
      <c r="D1786"/>
      <c r="E1786"/>
      <c r="F1786"/>
      <c r="G1786"/>
      <c r="H1786"/>
      <c r="I1786"/>
      <c r="J1786"/>
      <c r="K1786"/>
    </row>
    <row r="1787" spans="1:11" ht="13.5" customHeight="1">
      <c r="A1787"/>
      <c r="B1787"/>
      <c r="C1787"/>
      <c r="D1787"/>
      <c r="E1787"/>
      <c r="F1787"/>
      <c r="G1787"/>
      <c r="H1787"/>
      <c r="I1787"/>
      <c r="J1787"/>
      <c r="K1787"/>
    </row>
    <row r="1788" spans="1:11" ht="13.5" customHeight="1">
      <c r="A1788"/>
      <c r="B1788"/>
      <c r="C1788"/>
      <c r="D1788"/>
      <c r="E1788"/>
      <c r="F1788"/>
      <c r="G1788"/>
      <c r="H1788"/>
      <c r="I1788"/>
      <c r="J1788"/>
      <c r="K1788"/>
    </row>
    <row r="1789" spans="1:11" ht="13.5" customHeight="1">
      <c r="A1789"/>
      <c r="B1789"/>
      <c r="C1789"/>
      <c r="D1789"/>
      <c r="E1789"/>
      <c r="F1789"/>
      <c r="G1789"/>
      <c r="H1789"/>
      <c r="I1789"/>
      <c r="J1789"/>
      <c r="K1789"/>
    </row>
    <row r="1790" spans="1:11" ht="13.5" customHeight="1">
      <c r="A1790"/>
      <c r="B1790"/>
      <c r="C1790"/>
      <c r="D1790"/>
      <c r="E1790"/>
      <c r="F1790"/>
      <c r="G1790"/>
      <c r="H1790"/>
      <c r="I1790"/>
      <c r="J1790"/>
      <c r="K1790"/>
    </row>
    <row r="1791" spans="1:11" ht="13.5" customHeight="1">
      <c r="A1791"/>
      <c r="B1791"/>
      <c r="C1791"/>
      <c r="D1791"/>
      <c r="E1791"/>
      <c r="F1791"/>
      <c r="G1791"/>
      <c r="H1791"/>
      <c r="I1791"/>
      <c r="J1791"/>
      <c r="K1791"/>
    </row>
    <row r="1792" spans="1:11" ht="13.5" customHeight="1">
      <c r="A1792"/>
      <c r="B1792"/>
      <c r="C1792"/>
      <c r="D1792"/>
      <c r="E1792"/>
      <c r="F1792"/>
      <c r="G1792"/>
      <c r="H1792"/>
      <c r="I1792"/>
      <c r="J1792"/>
      <c r="K1792"/>
    </row>
    <row r="1793" spans="1:11" ht="13.5" customHeight="1">
      <c r="A1793"/>
      <c r="B1793"/>
      <c r="C1793"/>
      <c r="D1793"/>
      <c r="E1793"/>
      <c r="F1793"/>
      <c r="G1793"/>
      <c r="H1793"/>
      <c r="I1793"/>
      <c r="J1793"/>
      <c r="K1793"/>
    </row>
    <row r="1794" spans="1:11" ht="13.5" customHeight="1">
      <c r="A1794"/>
      <c r="B1794"/>
      <c r="C1794"/>
      <c r="D1794"/>
      <c r="E1794"/>
      <c r="F1794"/>
      <c r="G1794"/>
      <c r="H1794"/>
      <c r="I1794"/>
      <c r="J1794"/>
      <c r="K1794"/>
    </row>
    <row r="1795" spans="1:11" ht="13.5" customHeight="1">
      <c r="A1795"/>
      <c r="B1795"/>
      <c r="C1795"/>
      <c r="D1795"/>
      <c r="E1795"/>
      <c r="F1795"/>
      <c r="G1795"/>
      <c r="H1795"/>
      <c r="I1795"/>
      <c r="J1795"/>
      <c r="K1795"/>
    </row>
    <row r="1796" spans="1:11" ht="13.5" customHeight="1">
      <c r="A1796"/>
      <c r="B1796"/>
      <c r="C1796"/>
      <c r="D1796"/>
      <c r="E1796"/>
      <c r="F1796"/>
      <c r="G1796"/>
      <c r="H1796"/>
      <c r="I1796"/>
      <c r="J1796"/>
      <c r="K1796"/>
    </row>
    <row r="1797" spans="1:11" ht="13.5" customHeight="1">
      <c r="A1797"/>
      <c r="B1797"/>
      <c r="C1797"/>
      <c r="D1797"/>
      <c r="E1797"/>
      <c r="F1797"/>
      <c r="G1797"/>
      <c r="H1797"/>
      <c r="I1797"/>
      <c r="J1797"/>
      <c r="K1797"/>
    </row>
    <row r="1798" spans="1:11" ht="13.5" customHeight="1">
      <c r="A1798"/>
      <c r="B1798"/>
      <c r="C1798"/>
      <c r="D1798"/>
      <c r="E1798"/>
      <c r="F1798"/>
      <c r="G1798"/>
      <c r="H1798"/>
      <c r="I1798"/>
      <c r="J1798"/>
      <c r="K1798"/>
    </row>
    <row r="1799" spans="1:11" ht="13.5" customHeight="1">
      <c r="A1799"/>
      <c r="B1799"/>
      <c r="C1799"/>
      <c r="D1799"/>
      <c r="E1799"/>
      <c r="F1799"/>
      <c r="G1799"/>
      <c r="H1799"/>
      <c r="I1799"/>
      <c r="J1799"/>
      <c r="K1799"/>
    </row>
    <row r="1800" spans="1:11" ht="13.5" customHeight="1">
      <c r="A1800"/>
      <c r="B1800"/>
      <c r="C1800"/>
      <c r="D1800"/>
      <c r="E1800"/>
      <c r="F1800"/>
      <c r="G1800"/>
      <c r="H1800"/>
      <c r="I1800"/>
      <c r="J1800"/>
      <c r="K1800"/>
    </row>
    <row r="1801" spans="1:11" ht="13.5" customHeight="1">
      <c r="A1801"/>
      <c r="B1801"/>
      <c r="C1801"/>
      <c r="D1801"/>
      <c r="E1801"/>
      <c r="F1801"/>
      <c r="G1801"/>
      <c r="H1801"/>
      <c r="I1801"/>
      <c r="J1801"/>
      <c r="K1801"/>
    </row>
    <row r="1802" spans="1:11" ht="13.5" customHeight="1">
      <c r="A1802"/>
      <c r="B1802"/>
      <c r="C1802"/>
      <c r="D1802"/>
      <c r="E1802"/>
      <c r="F1802"/>
      <c r="G1802"/>
      <c r="H1802"/>
      <c r="I1802"/>
      <c r="J1802"/>
      <c r="K1802"/>
    </row>
    <row r="1803" spans="1:11" ht="13.5" customHeight="1">
      <c r="A1803"/>
      <c r="B1803"/>
      <c r="C1803"/>
      <c r="D1803"/>
      <c r="E1803"/>
      <c r="F1803"/>
      <c r="G1803"/>
      <c r="H1803"/>
      <c r="I1803"/>
      <c r="J1803"/>
      <c r="K1803"/>
    </row>
    <row r="1804" spans="1:11" ht="13.5" customHeight="1">
      <c r="A1804"/>
      <c r="B1804"/>
      <c r="C1804"/>
      <c r="D1804"/>
      <c r="E1804"/>
      <c r="F1804"/>
      <c r="G1804"/>
      <c r="H1804"/>
      <c r="I1804"/>
      <c r="J1804"/>
      <c r="K1804"/>
    </row>
    <row r="1805" spans="1:11" ht="13.5" customHeight="1">
      <c r="A1805"/>
      <c r="B1805"/>
      <c r="C1805"/>
      <c r="D1805"/>
      <c r="E1805"/>
      <c r="F1805"/>
      <c r="G1805"/>
      <c r="H1805"/>
      <c r="I1805"/>
      <c r="J1805"/>
      <c r="K1805"/>
    </row>
    <row r="1806" spans="1:11" ht="13.5" customHeight="1">
      <c r="A1806"/>
      <c r="B1806"/>
      <c r="C1806"/>
      <c r="D1806"/>
      <c r="E1806"/>
      <c r="F1806"/>
      <c r="G1806"/>
      <c r="H1806"/>
      <c r="I1806"/>
      <c r="J1806"/>
      <c r="K1806"/>
    </row>
    <row r="1807" spans="1:11" ht="13.5" customHeight="1">
      <c r="A1807"/>
      <c r="B1807"/>
      <c r="C1807"/>
      <c r="D1807"/>
      <c r="E1807"/>
      <c r="F1807"/>
      <c r="G1807"/>
      <c r="H1807"/>
      <c r="I1807"/>
      <c r="J1807"/>
      <c r="K1807"/>
    </row>
    <row r="1808" spans="1:11" ht="13.5" customHeight="1">
      <c r="A1808"/>
      <c r="B1808"/>
      <c r="C1808"/>
      <c r="D1808"/>
      <c r="E1808"/>
      <c r="F1808"/>
      <c r="G1808"/>
      <c r="H1808"/>
      <c r="I1808"/>
      <c r="J1808"/>
      <c r="K1808"/>
    </row>
    <row r="1809" spans="1:11" ht="13.5" customHeight="1">
      <c r="A1809"/>
      <c r="B1809"/>
      <c r="C1809"/>
      <c r="D1809"/>
      <c r="E1809"/>
      <c r="F1809"/>
      <c r="G1809"/>
      <c r="H1809"/>
      <c r="I1809"/>
      <c r="J1809"/>
      <c r="K1809"/>
    </row>
    <row r="1810" spans="1:11" ht="13.5" customHeight="1">
      <c r="A1810"/>
      <c r="B1810"/>
      <c r="C1810"/>
      <c r="D1810"/>
      <c r="E1810"/>
      <c r="F1810"/>
      <c r="G1810"/>
      <c r="H1810"/>
      <c r="I1810"/>
      <c r="J1810"/>
      <c r="K1810"/>
    </row>
    <row r="1811" spans="1:11" ht="13.5" customHeight="1">
      <c r="A1811"/>
      <c r="B1811"/>
      <c r="C1811"/>
      <c r="D1811"/>
      <c r="E1811"/>
      <c r="F1811"/>
      <c r="G1811"/>
      <c r="H1811"/>
      <c r="I1811"/>
      <c r="J1811"/>
      <c r="K1811"/>
    </row>
    <row r="1812" spans="1:11" ht="13.5" customHeight="1">
      <c r="A1812"/>
      <c r="B1812"/>
      <c r="C1812"/>
      <c r="D1812"/>
      <c r="E1812"/>
      <c r="F1812"/>
      <c r="G1812"/>
      <c r="H1812"/>
      <c r="I1812"/>
      <c r="J1812"/>
      <c r="K1812"/>
    </row>
    <row r="1813" spans="1:11" ht="13.5" customHeight="1">
      <c r="A1813"/>
      <c r="B1813"/>
      <c r="C1813"/>
      <c r="D1813"/>
      <c r="E1813"/>
      <c r="F1813"/>
      <c r="G1813"/>
      <c r="H1813"/>
      <c r="I1813"/>
      <c r="J1813"/>
      <c r="K1813"/>
    </row>
    <row r="1814" spans="1:11" ht="13.5" customHeight="1">
      <c r="A1814"/>
      <c r="B1814"/>
      <c r="C1814"/>
      <c r="D1814"/>
      <c r="E1814"/>
      <c r="F1814"/>
      <c r="G1814"/>
      <c r="H1814"/>
      <c r="I1814"/>
      <c r="J1814"/>
      <c r="K1814"/>
    </row>
    <row r="1815" spans="1:11" ht="13.5" customHeight="1">
      <c r="A1815"/>
      <c r="B1815"/>
      <c r="C1815"/>
      <c r="D1815"/>
      <c r="E1815"/>
      <c r="F1815"/>
      <c r="G1815"/>
      <c r="H1815"/>
      <c r="I1815"/>
      <c r="J1815"/>
      <c r="K1815"/>
    </row>
    <row r="1816" spans="1:11" ht="13.5" customHeight="1">
      <c r="A1816"/>
      <c r="B1816"/>
      <c r="C1816"/>
      <c r="D1816"/>
      <c r="E1816"/>
      <c r="F1816"/>
      <c r="G1816"/>
      <c r="H1816"/>
      <c r="I1816"/>
      <c r="J1816"/>
      <c r="K1816"/>
    </row>
    <row r="1817" spans="1:11" ht="13.5" customHeight="1">
      <c r="A1817"/>
      <c r="B1817"/>
      <c r="C1817"/>
      <c r="D1817"/>
      <c r="E1817"/>
      <c r="F1817"/>
      <c r="G1817"/>
      <c r="H1817"/>
      <c r="I1817"/>
      <c r="J1817"/>
      <c r="K1817"/>
    </row>
    <row r="1818" spans="1:11" ht="13.5" customHeight="1">
      <c r="A1818"/>
      <c r="B1818"/>
      <c r="C1818"/>
      <c r="D1818"/>
      <c r="E1818"/>
      <c r="F1818"/>
      <c r="G1818"/>
      <c r="H1818"/>
      <c r="I1818"/>
      <c r="J1818"/>
      <c r="K1818"/>
    </row>
    <row r="1819" spans="1:11" ht="13.5" customHeight="1">
      <c r="A1819"/>
      <c r="B1819"/>
      <c r="C1819"/>
      <c r="D1819"/>
      <c r="E1819"/>
      <c r="F1819"/>
      <c r="G1819"/>
      <c r="H1819"/>
      <c r="I1819"/>
      <c r="J1819"/>
      <c r="K1819"/>
    </row>
    <row r="1820" spans="1:11" ht="13.5" customHeight="1">
      <c r="A1820"/>
      <c r="B1820"/>
      <c r="C1820"/>
      <c r="D1820"/>
      <c r="E1820"/>
      <c r="F1820"/>
      <c r="G1820"/>
      <c r="H1820"/>
      <c r="I1820"/>
      <c r="J1820"/>
      <c r="K1820"/>
    </row>
    <row r="1821" spans="1:11" ht="13.5" customHeight="1">
      <c r="A1821"/>
      <c r="B1821"/>
      <c r="C1821"/>
      <c r="D1821"/>
      <c r="E1821"/>
      <c r="F1821"/>
      <c r="G1821"/>
      <c r="H1821"/>
      <c r="I1821"/>
      <c r="J1821"/>
      <c r="K1821"/>
    </row>
    <row r="1822" spans="1:11" ht="13.5" customHeight="1">
      <c r="A1822"/>
      <c r="B1822"/>
      <c r="C1822"/>
      <c r="D1822"/>
      <c r="E1822"/>
      <c r="F1822"/>
      <c r="G1822"/>
      <c r="H1822"/>
      <c r="I1822"/>
      <c r="J1822"/>
      <c r="K1822"/>
    </row>
    <row r="1823" spans="1:11" ht="13.5" customHeight="1">
      <c r="A1823"/>
      <c r="B1823"/>
      <c r="C1823"/>
      <c r="D1823"/>
      <c r="E1823"/>
      <c r="F1823"/>
      <c r="G1823"/>
      <c r="H1823"/>
      <c r="I1823"/>
      <c r="J1823"/>
      <c r="K1823"/>
    </row>
    <row r="1824" spans="1:11" ht="13.5" customHeight="1">
      <c r="A1824"/>
      <c r="B1824"/>
      <c r="C1824"/>
      <c r="D1824"/>
      <c r="E1824"/>
      <c r="F1824"/>
      <c r="G1824"/>
      <c r="H1824"/>
      <c r="I1824"/>
      <c r="J1824"/>
      <c r="K1824"/>
    </row>
    <row r="1825" spans="1:11" ht="13.5" customHeight="1">
      <c r="A1825"/>
      <c r="B1825"/>
      <c r="C1825"/>
      <c r="D1825"/>
      <c r="E1825"/>
      <c r="F1825"/>
      <c r="G1825"/>
      <c r="H1825"/>
      <c r="I1825"/>
      <c r="J1825"/>
      <c r="K1825"/>
    </row>
    <row r="1826" spans="1:11" ht="13.5" customHeight="1">
      <c r="A1826"/>
      <c r="B1826"/>
      <c r="C1826"/>
      <c r="D1826"/>
      <c r="E1826"/>
      <c r="F1826"/>
      <c r="G1826"/>
      <c r="H1826"/>
      <c r="I1826"/>
      <c r="J1826"/>
      <c r="K1826"/>
    </row>
    <row r="1827" spans="1:11" ht="13.5" customHeight="1">
      <c r="A1827"/>
      <c r="B1827"/>
      <c r="C1827"/>
      <c r="D1827"/>
      <c r="E1827"/>
      <c r="F1827"/>
      <c r="G1827"/>
      <c r="H1827"/>
      <c r="I1827"/>
      <c r="J1827"/>
      <c r="K1827"/>
    </row>
    <row r="1828" spans="1:11" ht="13.5" customHeight="1">
      <c r="A1828"/>
      <c r="B1828"/>
      <c r="C1828"/>
      <c r="D1828"/>
      <c r="E1828"/>
      <c r="F1828"/>
      <c r="G1828"/>
      <c r="H1828"/>
      <c r="I1828"/>
      <c r="J1828"/>
      <c r="K1828"/>
    </row>
    <row r="1829" spans="1:11" ht="13.5" customHeight="1">
      <c r="A1829"/>
      <c r="B1829"/>
      <c r="C1829"/>
      <c r="D1829"/>
      <c r="E1829"/>
      <c r="F1829"/>
      <c r="G1829"/>
      <c r="H1829"/>
      <c r="I1829"/>
      <c r="J1829"/>
      <c r="K1829"/>
    </row>
    <row r="1830" spans="1:11" ht="13.5" customHeight="1">
      <c r="A1830"/>
      <c r="B1830"/>
      <c r="C1830"/>
      <c r="D1830"/>
      <c r="E1830"/>
      <c r="F1830"/>
      <c r="G1830"/>
      <c r="H1830"/>
      <c r="I1830"/>
      <c r="J1830"/>
      <c r="K1830"/>
    </row>
    <row r="1831" spans="1:11" ht="13.5" customHeight="1">
      <c r="A1831"/>
      <c r="B1831"/>
      <c r="C1831"/>
      <c r="D1831"/>
      <c r="E1831"/>
      <c r="F1831"/>
      <c r="G1831"/>
      <c r="H1831"/>
      <c r="I1831"/>
      <c r="J1831"/>
      <c r="K1831"/>
    </row>
    <row r="1832" spans="1:11" ht="13.5" customHeight="1">
      <c r="A1832"/>
      <c r="B1832"/>
      <c r="C1832"/>
      <c r="D1832"/>
      <c r="E1832"/>
      <c r="F1832"/>
      <c r="G1832"/>
      <c r="H1832"/>
      <c r="I1832"/>
      <c r="J1832"/>
      <c r="K1832"/>
    </row>
    <row r="1833" spans="1:11" ht="13.5" customHeight="1">
      <c r="A1833"/>
      <c r="B1833"/>
      <c r="C1833"/>
      <c r="D1833"/>
      <c r="E1833"/>
      <c r="F1833"/>
      <c r="G1833"/>
      <c r="H1833"/>
      <c r="I1833"/>
      <c r="J1833"/>
      <c r="K1833"/>
    </row>
    <row r="1834" spans="1:11" ht="13.5" customHeight="1">
      <c r="A1834"/>
      <c r="B1834"/>
      <c r="C1834"/>
      <c r="D1834"/>
      <c r="E1834"/>
      <c r="F1834"/>
      <c r="G1834"/>
      <c r="H1834"/>
      <c r="I1834"/>
      <c r="J1834"/>
      <c r="K1834"/>
    </row>
    <row r="1835" spans="1:11" ht="13.5" customHeight="1">
      <c r="A1835"/>
      <c r="B1835"/>
      <c r="C1835"/>
      <c r="D1835"/>
      <c r="E1835"/>
      <c r="F1835"/>
      <c r="G1835"/>
      <c r="H1835"/>
      <c r="I1835"/>
      <c r="J1835"/>
      <c r="K1835"/>
    </row>
    <row r="1836" spans="1:11" ht="13.5" customHeight="1">
      <c r="A1836"/>
      <c r="B1836"/>
      <c r="C1836"/>
      <c r="D1836"/>
      <c r="E1836"/>
      <c r="F1836"/>
      <c r="G1836"/>
      <c r="H1836"/>
      <c r="I1836"/>
      <c r="J1836"/>
      <c r="K1836"/>
    </row>
    <row r="1837" spans="1:11" ht="13.5" customHeight="1">
      <c r="A1837"/>
      <c r="B1837"/>
      <c r="C1837"/>
      <c r="D1837"/>
      <c r="E1837"/>
      <c r="F1837"/>
      <c r="G1837"/>
      <c r="H1837"/>
      <c r="I1837"/>
      <c r="J1837"/>
      <c r="K1837"/>
    </row>
    <row r="1838" spans="1:11" ht="13.5" customHeight="1">
      <c r="A1838"/>
      <c r="B1838"/>
      <c r="C1838"/>
      <c r="D1838"/>
      <c r="E1838"/>
      <c r="F1838"/>
      <c r="G1838"/>
      <c r="H1838"/>
      <c r="I1838"/>
      <c r="J1838"/>
      <c r="K1838"/>
    </row>
    <row r="1839" spans="1:11" ht="13.5" customHeight="1">
      <c r="A1839"/>
      <c r="B1839"/>
      <c r="C1839"/>
      <c r="D1839"/>
      <c r="E1839"/>
      <c r="F1839"/>
      <c r="G1839"/>
      <c r="H1839"/>
      <c r="I1839"/>
      <c r="J1839"/>
      <c r="K1839"/>
    </row>
    <row r="1840" spans="1:11" ht="13.5" customHeight="1">
      <c r="A1840"/>
      <c r="B1840"/>
      <c r="C1840"/>
      <c r="D1840"/>
      <c r="E1840"/>
      <c r="F1840"/>
      <c r="G1840"/>
      <c r="H1840"/>
      <c r="I1840"/>
      <c r="J1840"/>
      <c r="K1840"/>
    </row>
    <row r="1841" spans="1:11" ht="13.5" customHeight="1">
      <c r="A1841"/>
      <c r="B1841"/>
      <c r="C1841"/>
      <c r="D1841"/>
      <c r="E1841"/>
      <c r="F1841"/>
      <c r="G1841"/>
      <c r="H1841"/>
      <c r="I1841"/>
      <c r="J1841"/>
      <c r="K1841"/>
    </row>
    <row r="1842" spans="1:11" ht="13.5" customHeight="1">
      <c r="A1842"/>
      <c r="B1842"/>
      <c r="C1842"/>
      <c r="D1842"/>
      <c r="E1842"/>
      <c r="F1842"/>
      <c r="G1842"/>
      <c r="H1842"/>
      <c r="I1842"/>
      <c r="J1842"/>
      <c r="K1842"/>
    </row>
    <row r="1843" spans="1:11" ht="13.5" customHeight="1">
      <c r="A1843"/>
      <c r="B1843"/>
      <c r="C1843"/>
      <c r="D1843"/>
      <c r="E1843"/>
      <c r="F1843"/>
      <c r="G1843"/>
      <c r="H1843"/>
      <c r="I1843"/>
      <c r="J1843"/>
      <c r="K1843"/>
    </row>
    <row r="1844" spans="1:11" ht="13.5" customHeight="1">
      <c r="A1844"/>
      <c r="B1844"/>
      <c r="C1844"/>
      <c r="D1844"/>
      <c r="E1844"/>
      <c r="F1844"/>
      <c r="G1844"/>
      <c r="H1844"/>
      <c r="I1844"/>
      <c r="J1844"/>
      <c r="K1844"/>
    </row>
    <row r="1845" spans="1:11" ht="13.5" customHeight="1">
      <c r="A1845"/>
      <c r="B1845"/>
      <c r="C1845"/>
      <c r="D1845"/>
      <c r="E1845"/>
      <c r="F1845"/>
      <c r="G1845"/>
      <c r="H1845"/>
      <c r="I1845"/>
      <c r="J1845"/>
      <c r="K1845"/>
    </row>
    <row r="1846" spans="1:11" ht="13.5" customHeight="1">
      <c r="A1846"/>
      <c r="B1846"/>
      <c r="C1846"/>
      <c r="D1846"/>
      <c r="E1846"/>
      <c r="F1846"/>
      <c r="G1846"/>
      <c r="H1846"/>
      <c r="I1846"/>
      <c r="J1846"/>
      <c r="K1846"/>
    </row>
    <row r="1847" spans="1:11" ht="13.5" customHeight="1">
      <c r="A1847"/>
      <c r="B1847"/>
      <c r="C1847"/>
      <c r="D1847"/>
      <c r="E1847"/>
      <c r="F1847"/>
      <c r="G1847"/>
      <c r="H1847"/>
      <c r="I1847"/>
      <c r="J1847"/>
      <c r="K1847"/>
    </row>
    <row r="1848" spans="1:11" ht="13.5" customHeight="1">
      <c r="A1848"/>
      <c r="B1848"/>
      <c r="C1848"/>
      <c r="D1848"/>
      <c r="E1848"/>
      <c r="F1848"/>
      <c r="G1848"/>
      <c r="H1848"/>
      <c r="I1848"/>
      <c r="J1848"/>
      <c r="K1848"/>
    </row>
    <row r="1849" spans="1:11" ht="13.5" customHeight="1">
      <c r="A1849"/>
      <c r="B1849"/>
      <c r="C1849"/>
      <c r="D1849"/>
      <c r="E1849"/>
      <c r="F1849"/>
      <c r="G1849"/>
      <c r="H1849"/>
      <c r="I1849"/>
      <c r="J1849"/>
      <c r="K1849"/>
    </row>
    <row r="1850" spans="1:11" ht="13.5" customHeight="1">
      <c r="A1850"/>
      <c r="B1850"/>
      <c r="C1850"/>
      <c r="D1850"/>
      <c r="E1850"/>
      <c r="F1850"/>
      <c r="G1850"/>
      <c r="H1850"/>
      <c r="I1850"/>
      <c r="J1850"/>
      <c r="K1850"/>
    </row>
    <row r="1851" spans="1:11" ht="13.5" customHeight="1">
      <c r="A1851"/>
      <c r="B1851"/>
      <c r="C1851"/>
      <c r="D1851"/>
      <c r="E1851"/>
      <c r="F1851"/>
      <c r="G1851"/>
      <c r="H1851"/>
      <c r="I1851"/>
      <c r="J1851"/>
      <c r="K1851"/>
    </row>
    <row r="1852" spans="1:11" ht="13.5" customHeight="1">
      <c r="A1852"/>
      <c r="B1852"/>
      <c r="C1852"/>
      <c r="D1852"/>
      <c r="E1852"/>
      <c r="F1852"/>
      <c r="G1852"/>
      <c r="H1852"/>
      <c r="I1852"/>
      <c r="J1852"/>
      <c r="K1852"/>
    </row>
    <row r="1853" spans="1:11" ht="13.5" customHeight="1">
      <c r="A1853"/>
      <c r="B1853"/>
      <c r="C1853"/>
      <c r="D1853"/>
      <c r="E1853"/>
      <c r="F1853"/>
      <c r="G1853"/>
      <c r="H1853"/>
      <c r="I1853"/>
      <c r="J1853"/>
      <c r="K1853"/>
    </row>
    <row r="1854" spans="1:11" ht="13.5" customHeight="1">
      <c r="A1854"/>
      <c r="B1854"/>
      <c r="C1854"/>
      <c r="D1854"/>
      <c r="E1854"/>
      <c r="F1854"/>
      <c r="G1854"/>
      <c r="H1854"/>
      <c r="I1854"/>
      <c r="J1854"/>
      <c r="K1854"/>
    </row>
    <row r="1855" spans="1:11" ht="13.5" customHeight="1">
      <c r="A1855"/>
      <c r="B1855"/>
      <c r="C1855"/>
      <c r="D1855"/>
      <c r="E1855"/>
      <c r="F1855"/>
      <c r="G1855"/>
      <c r="H1855"/>
      <c r="I1855"/>
      <c r="J1855"/>
      <c r="K1855"/>
    </row>
    <row r="1856" spans="1:11" ht="13.5" customHeight="1">
      <c r="A1856"/>
      <c r="B1856"/>
      <c r="C1856"/>
      <c r="D1856"/>
      <c r="E1856"/>
      <c r="F1856"/>
      <c r="G1856"/>
      <c r="H1856"/>
      <c r="I1856"/>
      <c r="J1856"/>
      <c r="K1856"/>
    </row>
    <row r="1857" spans="1:11" ht="13.5" customHeight="1">
      <c r="A1857"/>
      <c r="B1857"/>
      <c r="C1857"/>
      <c r="D1857"/>
      <c r="E1857"/>
      <c r="F1857"/>
      <c r="G1857"/>
      <c r="H1857"/>
      <c r="I1857"/>
      <c r="J1857"/>
      <c r="K1857"/>
    </row>
    <row r="1858" spans="1:11" ht="13.5" customHeight="1">
      <c r="A1858"/>
      <c r="B1858"/>
      <c r="C1858"/>
      <c r="D1858"/>
      <c r="E1858"/>
      <c r="F1858"/>
      <c r="G1858"/>
      <c r="H1858"/>
      <c r="I1858"/>
      <c r="J1858"/>
      <c r="K1858"/>
    </row>
    <row r="1859" spans="1:11" ht="13.5" customHeight="1">
      <c r="A1859"/>
      <c r="B1859"/>
      <c r="C1859"/>
      <c r="D1859"/>
      <c r="E1859"/>
      <c r="F1859"/>
      <c r="G1859"/>
      <c r="H1859"/>
      <c r="I1859"/>
      <c r="J1859"/>
      <c r="K1859"/>
    </row>
    <row r="1860" spans="1:11" ht="13.5" customHeight="1">
      <c r="A1860"/>
      <c r="B1860"/>
      <c r="C1860"/>
      <c r="D1860"/>
      <c r="E1860"/>
      <c r="F1860"/>
      <c r="G1860"/>
      <c r="H1860"/>
      <c r="I1860"/>
      <c r="J1860"/>
      <c r="K1860"/>
    </row>
    <row r="1861" spans="1:11" ht="13.5" customHeight="1">
      <c r="A1861"/>
      <c r="B1861"/>
      <c r="C1861"/>
      <c r="D1861"/>
      <c r="E1861"/>
      <c r="F1861"/>
      <c r="G1861"/>
      <c r="H1861"/>
      <c r="I1861"/>
      <c r="J1861"/>
      <c r="K1861"/>
    </row>
    <row r="1862" spans="1:11" ht="13.5" customHeight="1">
      <c r="A1862"/>
      <c r="B1862"/>
      <c r="C1862"/>
      <c r="D1862"/>
      <c r="E1862"/>
      <c r="F1862"/>
      <c r="G1862"/>
      <c r="H1862"/>
      <c r="I1862"/>
      <c r="J1862"/>
      <c r="K1862"/>
    </row>
    <row r="1863" spans="1:11" ht="13.5" customHeight="1">
      <c r="A1863"/>
      <c r="B1863"/>
      <c r="C1863"/>
      <c r="D1863"/>
      <c r="E1863"/>
      <c r="F1863"/>
      <c r="G1863"/>
      <c r="H1863"/>
      <c r="I1863"/>
      <c r="J1863"/>
      <c r="K1863"/>
    </row>
    <row r="1864" spans="1:11" ht="13.5" customHeight="1">
      <c r="A1864"/>
      <c r="B1864"/>
      <c r="C1864"/>
      <c r="D1864"/>
      <c r="E1864"/>
      <c r="F1864"/>
      <c r="G1864"/>
      <c r="H1864"/>
      <c r="I1864"/>
      <c r="J1864"/>
      <c r="K1864"/>
    </row>
    <row r="1865" spans="1:11" ht="13.5" customHeight="1">
      <c r="A1865"/>
      <c r="B1865"/>
      <c r="C1865"/>
      <c r="D1865"/>
      <c r="E1865"/>
      <c r="F1865"/>
      <c r="G1865"/>
      <c r="H1865"/>
      <c r="I1865"/>
      <c r="J1865"/>
      <c r="K1865"/>
    </row>
    <row r="1866" spans="1:11" ht="13.5" customHeight="1">
      <c r="A1866"/>
      <c r="B1866"/>
      <c r="C1866"/>
      <c r="D1866"/>
      <c r="E1866"/>
      <c r="F1866"/>
      <c r="G1866"/>
      <c r="H1866"/>
      <c r="I1866"/>
      <c r="J1866"/>
      <c r="K1866"/>
    </row>
    <row r="1867" spans="1:11" ht="13.5" customHeight="1">
      <c r="A1867"/>
      <c r="B1867"/>
      <c r="C1867"/>
      <c r="D1867"/>
      <c r="E1867"/>
      <c r="F1867"/>
      <c r="G1867"/>
      <c r="H1867"/>
      <c r="I1867"/>
      <c r="J1867"/>
      <c r="K1867"/>
    </row>
    <row r="1868" spans="1:11" ht="13.5" customHeight="1">
      <c r="A1868"/>
      <c r="B1868"/>
      <c r="C1868"/>
      <c r="D1868"/>
      <c r="E1868"/>
      <c r="F1868"/>
      <c r="G1868"/>
      <c r="H1868"/>
      <c r="I1868"/>
      <c r="J1868"/>
      <c r="K1868"/>
    </row>
    <row r="1869" spans="1:11" ht="13.5" customHeight="1">
      <c r="A1869"/>
      <c r="B1869"/>
      <c r="C1869"/>
      <c r="D1869"/>
      <c r="E1869"/>
      <c r="F1869"/>
      <c r="G1869"/>
      <c r="H1869"/>
      <c r="I1869"/>
      <c r="J1869"/>
      <c r="K1869"/>
    </row>
    <row r="1870" spans="1:11" ht="13.5" customHeight="1">
      <c r="A1870"/>
      <c r="B1870"/>
      <c r="C1870"/>
      <c r="D1870"/>
      <c r="E1870"/>
      <c r="F1870"/>
      <c r="G1870"/>
      <c r="H1870"/>
      <c r="I1870"/>
      <c r="J1870"/>
      <c r="K1870"/>
    </row>
    <row r="1871" spans="1:11" ht="13.5" customHeight="1">
      <c r="A1871"/>
      <c r="B1871"/>
      <c r="C1871"/>
      <c r="D1871"/>
      <c r="E1871"/>
      <c r="F1871"/>
      <c r="G1871"/>
      <c r="H1871"/>
      <c r="I1871"/>
      <c r="J1871"/>
      <c r="K1871"/>
    </row>
    <row r="1872" spans="1:11" ht="13.5" customHeight="1">
      <c r="A1872"/>
      <c r="B1872"/>
      <c r="C1872"/>
      <c r="D1872"/>
      <c r="E1872"/>
      <c r="F1872"/>
      <c r="G1872"/>
      <c r="H1872"/>
      <c r="I1872"/>
      <c r="J1872"/>
      <c r="K1872"/>
    </row>
    <row r="1873" spans="1:11" ht="13.5" customHeight="1">
      <c r="A1873"/>
      <c r="B1873"/>
      <c r="C1873"/>
      <c r="D1873"/>
      <c r="E1873"/>
      <c r="F1873"/>
      <c r="G1873"/>
      <c r="H1873"/>
      <c r="I1873"/>
      <c r="J1873"/>
      <c r="K1873"/>
    </row>
    <row r="1874" spans="1:11" ht="13.5" customHeight="1">
      <c r="A1874"/>
      <c r="B1874"/>
      <c r="C1874"/>
      <c r="D1874"/>
      <c r="E1874"/>
      <c r="F1874"/>
      <c r="G1874"/>
      <c r="H1874"/>
      <c r="I1874"/>
      <c r="J1874"/>
      <c r="K1874"/>
    </row>
    <row r="1875" spans="1:11" ht="13.5" customHeight="1">
      <c r="A1875"/>
      <c r="B1875"/>
      <c r="C1875"/>
      <c r="D1875"/>
      <c r="E1875"/>
      <c r="F1875"/>
      <c r="G1875"/>
      <c r="H1875"/>
      <c r="I1875"/>
      <c r="J1875"/>
      <c r="K1875"/>
    </row>
    <row r="1876" spans="1:11" ht="13.5" customHeight="1">
      <c r="A1876"/>
      <c r="B1876"/>
      <c r="C1876"/>
      <c r="D1876"/>
      <c r="E1876"/>
      <c r="F1876"/>
      <c r="G1876"/>
      <c r="H1876"/>
      <c r="I1876"/>
      <c r="J1876"/>
      <c r="K1876"/>
    </row>
    <row r="1877" spans="1:11" ht="13.5" customHeight="1">
      <c r="A1877"/>
      <c r="B1877"/>
      <c r="C1877"/>
      <c r="D1877"/>
      <c r="E1877"/>
      <c r="F1877"/>
      <c r="G1877"/>
      <c r="H1877"/>
      <c r="I1877"/>
      <c r="J1877"/>
      <c r="K1877"/>
    </row>
    <row r="1878" spans="1:11" ht="13.5" customHeight="1">
      <c r="A1878"/>
      <c r="B1878"/>
      <c r="C1878"/>
      <c r="D1878"/>
      <c r="E1878"/>
      <c r="F1878"/>
      <c r="G1878"/>
      <c r="H1878"/>
      <c r="I1878"/>
      <c r="J1878"/>
      <c r="K1878"/>
    </row>
    <row r="1879" spans="1:11" ht="13.5" customHeight="1">
      <c r="A1879"/>
      <c r="B1879"/>
      <c r="C1879"/>
      <c r="D1879"/>
      <c r="E1879"/>
      <c r="F1879"/>
      <c r="G1879"/>
      <c r="H1879"/>
      <c r="I1879"/>
      <c r="J1879"/>
      <c r="K1879"/>
    </row>
    <row r="1880" spans="1:11" ht="13.5" customHeight="1">
      <c r="A1880"/>
      <c r="B1880"/>
      <c r="C1880"/>
      <c r="D1880"/>
      <c r="E1880"/>
      <c r="F1880"/>
      <c r="G1880"/>
      <c r="H1880"/>
      <c r="I1880"/>
      <c r="J1880"/>
      <c r="K1880"/>
    </row>
    <row r="1881" spans="1:11" ht="13.5" customHeight="1">
      <c r="A1881"/>
      <c r="B1881"/>
      <c r="C1881"/>
      <c r="D1881"/>
      <c r="E1881"/>
      <c r="F1881"/>
      <c r="G1881"/>
      <c r="H1881"/>
      <c r="I1881"/>
      <c r="J1881"/>
      <c r="K1881"/>
    </row>
    <row r="1882" spans="1:11" ht="13.5" customHeight="1">
      <c r="A1882"/>
      <c r="B1882"/>
      <c r="C1882"/>
      <c r="D1882"/>
      <c r="E1882"/>
      <c r="F1882"/>
      <c r="G1882"/>
      <c r="H1882"/>
      <c r="I1882"/>
      <c r="J1882"/>
      <c r="K1882"/>
    </row>
    <row r="1883" spans="1:11" ht="13.5" customHeight="1">
      <c r="A1883"/>
      <c r="B1883"/>
      <c r="C1883"/>
      <c r="D1883"/>
      <c r="E1883"/>
      <c r="F1883"/>
      <c r="G1883"/>
      <c r="H1883"/>
      <c r="I1883"/>
      <c r="J1883"/>
      <c r="K1883"/>
    </row>
    <row r="1884" spans="1:11" ht="13.5" customHeight="1">
      <c r="A1884"/>
      <c r="B1884"/>
      <c r="C1884"/>
      <c r="D1884"/>
      <c r="E1884"/>
      <c r="F1884"/>
      <c r="G1884"/>
      <c r="H1884"/>
      <c r="I1884"/>
      <c r="J1884"/>
      <c r="K1884"/>
    </row>
    <row r="1885" spans="1:11" ht="13.5" customHeight="1">
      <c r="A1885"/>
      <c r="B1885"/>
      <c r="C1885"/>
      <c r="D1885"/>
      <c r="E1885"/>
      <c r="F1885"/>
      <c r="G1885"/>
      <c r="H1885"/>
      <c r="I1885"/>
      <c r="J1885"/>
      <c r="K1885"/>
    </row>
    <row r="1886" spans="1:11" ht="13.5" customHeight="1">
      <c r="A1886"/>
      <c r="B1886"/>
      <c r="C1886"/>
      <c r="D1886"/>
      <c r="E1886"/>
      <c r="F1886"/>
      <c r="G1886"/>
      <c r="H1886"/>
      <c r="I1886"/>
      <c r="J1886"/>
      <c r="K1886"/>
    </row>
    <row r="1887" spans="1:11" ht="13.5" customHeight="1">
      <c r="A1887"/>
      <c r="B1887"/>
      <c r="C1887"/>
      <c r="D1887"/>
      <c r="E1887"/>
      <c r="F1887"/>
      <c r="G1887"/>
      <c r="H1887"/>
      <c r="I1887"/>
      <c r="J1887"/>
      <c r="K1887"/>
    </row>
    <row r="1888" spans="1:11" ht="13.5" customHeight="1">
      <c r="A1888"/>
      <c r="B1888"/>
      <c r="C1888"/>
      <c r="D1888"/>
      <c r="E1888"/>
      <c r="F1888"/>
      <c r="G1888"/>
      <c r="H1888"/>
      <c r="I1888"/>
      <c r="J1888"/>
      <c r="K1888"/>
    </row>
    <row r="1889" spans="1:11" ht="13.5" customHeight="1">
      <c r="A1889"/>
      <c r="B1889"/>
      <c r="C1889"/>
      <c r="D1889"/>
      <c r="E1889"/>
      <c r="F1889"/>
      <c r="G1889"/>
      <c r="H1889"/>
      <c r="I1889"/>
      <c r="J1889"/>
      <c r="K1889"/>
    </row>
    <row r="1890" spans="1:11" ht="13.5" customHeight="1">
      <c r="A1890"/>
      <c r="B1890"/>
      <c r="C1890"/>
      <c r="D1890"/>
      <c r="E1890"/>
      <c r="F1890"/>
      <c r="G1890"/>
      <c r="H1890"/>
      <c r="I1890"/>
      <c r="J1890"/>
      <c r="K1890"/>
    </row>
    <row r="1891" spans="1:11" ht="13.5" customHeight="1">
      <c r="A1891"/>
      <c r="B1891"/>
      <c r="C1891"/>
      <c r="D1891"/>
      <c r="E1891"/>
      <c r="F1891"/>
      <c r="G1891"/>
      <c r="H1891"/>
      <c r="I1891"/>
      <c r="J1891"/>
      <c r="K1891"/>
    </row>
    <row r="1892" spans="1:11" ht="13.5" customHeight="1">
      <c r="A1892"/>
      <c r="B1892"/>
      <c r="C1892"/>
      <c r="D1892"/>
      <c r="E1892"/>
      <c r="F1892"/>
      <c r="G1892"/>
      <c r="H1892"/>
      <c r="I1892"/>
      <c r="J1892"/>
      <c r="K1892"/>
    </row>
    <row r="1893" spans="1:11" ht="13.5" customHeight="1">
      <c r="A1893"/>
      <c r="B1893"/>
      <c r="C1893"/>
      <c r="D1893"/>
      <c r="E1893"/>
      <c r="F1893"/>
      <c r="G1893"/>
      <c r="H1893"/>
      <c r="I1893"/>
      <c r="J1893"/>
      <c r="K1893"/>
    </row>
    <row r="1894" spans="1:11" ht="13.5" customHeight="1">
      <c r="A1894"/>
      <c r="B1894"/>
      <c r="C1894"/>
      <c r="D1894"/>
      <c r="E1894"/>
      <c r="F1894"/>
      <c r="G1894"/>
      <c r="H1894"/>
      <c r="I1894"/>
      <c r="J1894"/>
      <c r="K1894"/>
    </row>
    <row r="1895" spans="1:11" ht="13.5" customHeight="1">
      <c r="A1895"/>
      <c r="B1895"/>
      <c r="C1895"/>
      <c r="D1895"/>
      <c r="E1895"/>
      <c r="F1895"/>
      <c r="G1895"/>
      <c r="H1895"/>
      <c r="I1895"/>
      <c r="J1895"/>
      <c r="K1895"/>
    </row>
    <row r="1896" spans="1:11" ht="13.5" customHeight="1">
      <c r="A1896"/>
      <c r="B1896"/>
      <c r="C1896"/>
      <c r="D1896"/>
      <c r="E1896"/>
      <c r="F1896"/>
      <c r="G1896"/>
      <c r="H1896"/>
      <c r="I1896"/>
      <c r="J1896"/>
      <c r="K1896"/>
    </row>
    <row r="1897" spans="1:11" ht="13.5" customHeight="1">
      <c r="A1897"/>
      <c r="B1897"/>
      <c r="C1897"/>
      <c r="D1897"/>
      <c r="E1897"/>
      <c r="F1897"/>
      <c r="G1897"/>
      <c r="H1897"/>
      <c r="I1897"/>
      <c r="J1897"/>
      <c r="K1897"/>
    </row>
    <row r="1898" spans="1:11" ht="13.5" customHeight="1">
      <c r="A1898"/>
      <c r="B1898"/>
      <c r="C1898"/>
      <c r="D1898"/>
      <c r="E1898"/>
      <c r="F1898"/>
      <c r="G1898"/>
      <c r="H1898"/>
      <c r="I1898"/>
      <c r="J1898"/>
      <c r="K1898"/>
    </row>
    <row r="1899" spans="1:11" ht="13.5" customHeight="1">
      <c r="A1899"/>
      <c r="B1899"/>
      <c r="C1899"/>
      <c r="D1899"/>
      <c r="E1899"/>
      <c r="F1899"/>
      <c r="G1899"/>
      <c r="H1899"/>
      <c r="I1899"/>
      <c r="J1899"/>
      <c r="K1899"/>
    </row>
    <row r="1900" spans="1:11" ht="13.5" customHeight="1">
      <c r="A1900"/>
      <c r="B1900"/>
      <c r="C1900"/>
      <c r="D1900"/>
      <c r="E1900"/>
      <c r="F1900"/>
      <c r="G1900"/>
      <c r="H1900"/>
      <c r="I1900"/>
      <c r="J1900"/>
      <c r="K1900"/>
    </row>
    <row r="1901" spans="1:11" ht="13.5" customHeight="1">
      <c r="A1901"/>
      <c r="B1901"/>
      <c r="C1901"/>
      <c r="D1901"/>
      <c r="E1901"/>
      <c r="F1901"/>
      <c r="G1901"/>
      <c r="H1901"/>
      <c r="I1901"/>
      <c r="J1901"/>
      <c r="K1901"/>
    </row>
    <row r="1902" spans="1:11" ht="13.5" customHeight="1">
      <c r="A1902"/>
      <c r="B1902"/>
      <c r="C1902"/>
      <c r="D1902"/>
      <c r="E1902"/>
      <c r="F1902"/>
      <c r="G1902"/>
      <c r="H1902"/>
      <c r="I1902"/>
      <c r="J1902"/>
      <c r="K1902"/>
    </row>
    <row r="1903" spans="1:11" ht="13.5" customHeight="1">
      <c r="A1903"/>
      <c r="B1903"/>
      <c r="C1903"/>
      <c r="D1903"/>
      <c r="E1903"/>
      <c r="F1903"/>
      <c r="G1903"/>
      <c r="H1903"/>
      <c r="I1903"/>
      <c r="J1903"/>
      <c r="K1903"/>
    </row>
    <row r="1904" spans="1:11" ht="13.5" customHeight="1">
      <c r="A1904"/>
      <c r="B1904"/>
      <c r="C1904"/>
      <c r="D1904"/>
      <c r="E1904"/>
      <c r="F1904"/>
      <c r="G1904"/>
      <c r="H1904"/>
      <c r="I1904"/>
      <c r="J1904"/>
      <c r="K1904"/>
    </row>
    <row r="1905" spans="1:11" ht="13.5" customHeight="1">
      <c r="A1905"/>
      <c r="B1905"/>
      <c r="C1905"/>
      <c r="D1905"/>
      <c r="E1905"/>
      <c r="F1905"/>
      <c r="G1905"/>
      <c r="H1905"/>
      <c r="I1905"/>
      <c r="J1905"/>
      <c r="K1905"/>
    </row>
    <row r="1906" spans="1:11" ht="13.5" customHeight="1">
      <c r="A1906"/>
      <c r="B1906"/>
      <c r="C1906"/>
      <c r="D1906"/>
      <c r="E1906"/>
      <c r="F1906"/>
      <c r="G1906"/>
      <c r="H1906"/>
      <c r="I1906"/>
      <c r="J1906"/>
      <c r="K1906"/>
    </row>
    <row r="1907" spans="1:11" ht="13.5" customHeight="1">
      <c r="A1907"/>
      <c r="B1907"/>
      <c r="C1907"/>
      <c r="D1907"/>
      <c r="E1907"/>
      <c r="F1907"/>
      <c r="G1907"/>
      <c r="H1907"/>
      <c r="I1907"/>
      <c r="J1907"/>
      <c r="K1907"/>
    </row>
    <row r="1908" spans="1:11" ht="13.5" customHeight="1">
      <c r="A1908"/>
      <c r="B1908"/>
      <c r="C1908"/>
      <c r="D1908"/>
      <c r="E1908"/>
      <c r="F1908"/>
      <c r="G1908"/>
      <c r="H1908"/>
      <c r="I1908"/>
      <c r="J1908"/>
      <c r="K1908"/>
    </row>
    <row r="1909" spans="1:11" ht="13.5" customHeight="1">
      <c r="A1909"/>
      <c r="B1909"/>
      <c r="C1909"/>
      <c r="D1909"/>
      <c r="E1909"/>
      <c r="F1909"/>
      <c r="G1909"/>
      <c r="H1909"/>
      <c r="I1909"/>
      <c r="J1909"/>
      <c r="K1909"/>
    </row>
    <row r="1910" spans="1:11" ht="13.5" customHeight="1">
      <c r="A1910"/>
      <c r="B1910"/>
      <c r="C1910"/>
      <c r="D1910"/>
      <c r="E1910"/>
      <c r="F1910"/>
      <c r="G1910"/>
      <c r="H1910"/>
      <c r="I1910"/>
      <c r="J1910"/>
      <c r="K1910"/>
    </row>
    <row r="1911" spans="1:11" ht="13.5" customHeight="1">
      <c r="A1911"/>
      <c r="B1911"/>
      <c r="C1911"/>
      <c r="D1911"/>
      <c r="E1911"/>
      <c r="F1911"/>
      <c r="G1911"/>
      <c r="H1911"/>
      <c r="I1911"/>
      <c r="J1911"/>
      <c r="K1911"/>
    </row>
    <row r="1912" spans="1:11" ht="13.5" customHeight="1">
      <c r="A1912"/>
      <c r="B1912"/>
      <c r="C1912"/>
      <c r="D1912"/>
      <c r="E1912"/>
      <c r="F1912"/>
      <c r="G1912"/>
      <c r="H1912"/>
      <c r="I1912"/>
      <c r="J1912"/>
      <c r="K1912"/>
    </row>
    <row r="1913" spans="1:11" ht="13.5" customHeight="1">
      <c r="A1913"/>
      <c r="B1913"/>
      <c r="C1913"/>
      <c r="D1913"/>
      <c r="E1913"/>
      <c r="F1913"/>
      <c r="G1913"/>
      <c r="H1913"/>
      <c r="I1913"/>
      <c r="J1913"/>
      <c r="K1913"/>
    </row>
    <row r="1914" spans="1:11" ht="13.5" customHeight="1">
      <c r="A1914"/>
      <c r="B1914"/>
      <c r="C1914"/>
      <c r="D1914"/>
      <c r="E1914"/>
      <c r="F1914"/>
      <c r="G1914"/>
      <c r="H1914"/>
      <c r="I1914"/>
      <c r="J1914"/>
      <c r="K1914"/>
    </row>
    <row r="1915" spans="1:11" ht="13.5" customHeight="1">
      <c r="A1915"/>
      <c r="B1915"/>
      <c r="C1915"/>
      <c r="D1915"/>
      <c r="E1915"/>
      <c r="F1915"/>
      <c r="G1915"/>
      <c r="H1915"/>
      <c r="I1915"/>
      <c r="J1915"/>
      <c r="K1915"/>
    </row>
    <row r="1916" spans="1:11" ht="13.5" customHeight="1">
      <c r="A1916"/>
      <c r="B1916"/>
      <c r="C1916"/>
      <c r="D1916"/>
      <c r="E1916"/>
      <c r="F1916"/>
      <c r="G1916"/>
      <c r="H1916"/>
      <c r="I1916"/>
      <c r="J1916"/>
      <c r="K1916"/>
    </row>
    <row r="1917" spans="1:11" ht="13.5" customHeight="1">
      <c r="A1917"/>
      <c r="B1917"/>
      <c r="C1917"/>
      <c r="D1917"/>
      <c r="E1917"/>
      <c r="F1917"/>
      <c r="G1917"/>
      <c r="H1917"/>
      <c r="I1917"/>
      <c r="J1917"/>
      <c r="K1917"/>
    </row>
    <row r="1918" spans="1:11" ht="13.5" customHeight="1">
      <c r="A1918"/>
      <c r="B1918"/>
      <c r="C1918"/>
      <c r="D1918"/>
      <c r="E1918"/>
      <c r="F1918"/>
      <c r="G1918"/>
      <c r="H1918"/>
      <c r="I1918"/>
      <c r="J1918"/>
      <c r="K1918"/>
    </row>
    <row r="1919" spans="1:11" ht="13.5" customHeight="1">
      <c r="A1919"/>
      <c r="B1919"/>
      <c r="C1919"/>
      <c r="D1919"/>
      <c r="E1919"/>
      <c r="F1919"/>
      <c r="G1919"/>
      <c r="H1919"/>
      <c r="I1919"/>
      <c r="J1919"/>
      <c r="K1919"/>
    </row>
    <row r="1920" spans="1:11" ht="13.5" customHeight="1">
      <c r="A1920"/>
      <c r="B1920"/>
      <c r="C1920"/>
      <c r="D1920"/>
      <c r="E1920"/>
      <c r="F1920"/>
      <c r="G1920"/>
      <c r="H1920"/>
      <c r="I1920"/>
      <c r="J1920"/>
      <c r="K1920"/>
    </row>
    <row r="1921" spans="1:11" ht="13.5" customHeight="1">
      <c r="A1921"/>
      <c r="B1921"/>
      <c r="C1921"/>
      <c r="D1921"/>
      <c r="E1921"/>
      <c r="F1921"/>
      <c r="G1921"/>
      <c r="H1921"/>
      <c r="I1921"/>
      <c r="J1921"/>
      <c r="K1921"/>
    </row>
    <row r="1922" spans="1:11" ht="13.5" customHeight="1">
      <c r="A1922"/>
      <c r="B1922"/>
      <c r="C1922"/>
      <c r="D1922"/>
      <c r="E1922"/>
      <c r="F1922"/>
      <c r="G1922"/>
      <c r="H1922"/>
      <c r="I1922"/>
      <c r="J1922"/>
      <c r="K1922"/>
    </row>
    <row r="1923" spans="1:11" ht="13.5" customHeight="1">
      <c r="A1923"/>
      <c r="B1923"/>
      <c r="C1923"/>
      <c r="D1923"/>
      <c r="E1923"/>
      <c r="F1923"/>
      <c r="G1923"/>
      <c r="H1923"/>
      <c r="I1923"/>
      <c r="J1923"/>
      <c r="K1923"/>
    </row>
    <row r="1924" spans="1:11" ht="13.5" customHeight="1">
      <c r="A1924"/>
      <c r="B1924"/>
      <c r="C1924"/>
      <c r="D1924"/>
      <c r="E1924"/>
      <c r="F1924"/>
      <c r="G1924"/>
      <c r="H1924"/>
      <c r="I1924"/>
      <c r="J1924"/>
      <c r="K1924"/>
    </row>
    <row r="1925" spans="1:11" ht="13.5" customHeight="1">
      <c r="A1925"/>
      <c r="B1925"/>
      <c r="C1925"/>
      <c r="D1925"/>
      <c r="E1925"/>
      <c r="F1925"/>
      <c r="G1925"/>
      <c r="H1925"/>
      <c r="I1925"/>
      <c r="J1925"/>
      <c r="K1925"/>
    </row>
    <row r="1926" spans="1:11" ht="13.5" customHeight="1">
      <c r="A1926"/>
      <c r="B1926"/>
      <c r="C1926"/>
      <c r="D1926"/>
      <c r="E1926"/>
      <c r="F1926"/>
      <c r="G1926"/>
      <c r="H1926"/>
      <c r="I1926"/>
      <c r="J1926"/>
      <c r="K1926"/>
    </row>
    <row r="1927" spans="1:11" ht="13.5" customHeight="1">
      <c r="A1927"/>
      <c r="B1927"/>
      <c r="C1927"/>
      <c r="D1927"/>
      <c r="E1927"/>
      <c r="F1927"/>
      <c r="G1927"/>
      <c r="H1927"/>
      <c r="I1927"/>
      <c r="J1927"/>
      <c r="K1927"/>
    </row>
    <row r="1928" spans="1:11" ht="13.5" customHeight="1">
      <c r="A1928"/>
      <c r="B1928"/>
      <c r="C1928"/>
      <c r="D1928"/>
      <c r="E1928"/>
      <c r="F1928"/>
      <c r="G1928"/>
      <c r="H1928"/>
      <c r="I1928"/>
      <c r="J1928"/>
      <c r="K1928"/>
    </row>
    <row r="1929" spans="1:11" ht="13.5" customHeight="1">
      <c r="A1929"/>
      <c r="B1929"/>
      <c r="C1929"/>
      <c r="D1929"/>
      <c r="E1929"/>
      <c r="F1929"/>
      <c r="G1929"/>
      <c r="H1929"/>
      <c r="I1929"/>
      <c r="J1929"/>
      <c r="K1929"/>
    </row>
    <row r="1930" spans="1:11" ht="13.5" customHeight="1">
      <c r="A1930"/>
      <c r="B1930"/>
      <c r="C1930"/>
      <c r="D1930"/>
      <c r="E1930"/>
      <c r="F1930"/>
      <c r="G1930"/>
      <c r="H1930"/>
      <c r="I1930"/>
      <c r="J1930"/>
      <c r="K1930"/>
    </row>
    <row r="1931" spans="1:11" ht="13.5" customHeight="1">
      <c r="A1931"/>
      <c r="B1931"/>
      <c r="C1931"/>
      <c r="D1931"/>
      <c r="E1931"/>
      <c r="F1931"/>
      <c r="G1931"/>
      <c r="H1931"/>
      <c r="I1931"/>
      <c r="J1931"/>
      <c r="K1931"/>
    </row>
    <row r="1932" spans="1:11" ht="13.5" customHeight="1">
      <c r="A1932"/>
      <c r="B1932"/>
      <c r="C1932"/>
      <c r="D1932"/>
      <c r="E1932"/>
      <c r="F1932"/>
      <c r="G1932"/>
      <c r="H1932"/>
      <c r="I1932"/>
      <c r="J1932"/>
      <c r="K1932"/>
    </row>
    <row r="1933" spans="1:11" ht="13.5" customHeight="1">
      <c r="A1933"/>
      <c r="B1933"/>
      <c r="C1933"/>
      <c r="D1933"/>
      <c r="E1933"/>
      <c r="F1933"/>
      <c r="G1933"/>
      <c r="H1933"/>
      <c r="I1933"/>
      <c r="J1933"/>
      <c r="K1933"/>
    </row>
    <row r="1934" spans="1:11" ht="13.5" customHeight="1">
      <c r="A1934"/>
      <c r="B1934"/>
      <c r="C1934"/>
      <c r="D1934"/>
      <c r="E1934"/>
      <c r="F1934"/>
      <c r="G1934"/>
      <c r="H1934"/>
      <c r="I1934"/>
      <c r="J1934"/>
      <c r="K1934"/>
    </row>
    <row r="1935" spans="1:11" ht="13.5" customHeight="1">
      <c r="A1935"/>
      <c r="B1935"/>
      <c r="C1935"/>
      <c r="D1935"/>
      <c r="E1935"/>
      <c r="F1935"/>
      <c r="G1935"/>
      <c r="H1935"/>
      <c r="I1935"/>
      <c r="J1935"/>
      <c r="K1935"/>
    </row>
    <row r="1936" spans="1:11" ht="13.5" customHeight="1">
      <c r="A1936"/>
      <c r="B1936"/>
      <c r="C1936"/>
      <c r="D1936"/>
      <c r="E1936"/>
      <c r="F1936"/>
      <c r="G1936"/>
      <c r="H1936"/>
      <c r="I1936"/>
      <c r="J1936"/>
      <c r="K1936"/>
    </row>
    <row r="1937" spans="1:11" ht="13.5" customHeight="1">
      <c r="A1937"/>
      <c r="B1937"/>
      <c r="C1937"/>
      <c r="D1937"/>
      <c r="E1937"/>
      <c r="F1937"/>
      <c r="G1937"/>
      <c r="H1937"/>
      <c r="I1937"/>
      <c r="J1937"/>
      <c r="K1937"/>
    </row>
    <row r="1938" spans="1:11" ht="13.5" customHeight="1">
      <c r="A1938"/>
      <c r="B1938"/>
      <c r="C1938"/>
      <c r="D1938"/>
      <c r="E1938"/>
      <c r="F1938"/>
      <c r="G1938"/>
      <c r="H1938"/>
      <c r="I1938"/>
      <c r="J1938"/>
      <c r="K1938"/>
    </row>
    <row r="1939" spans="1:11" ht="13.5" customHeight="1">
      <c r="A1939"/>
      <c r="B1939"/>
      <c r="C1939"/>
      <c r="D1939"/>
      <c r="E1939"/>
      <c r="F1939"/>
      <c r="G1939"/>
      <c r="H1939"/>
      <c r="I1939"/>
      <c r="J1939"/>
      <c r="K1939"/>
    </row>
    <row r="1940" spans="1:11" ht="13.5" customHeight="1">
      <c r="A1940"/>
      <c r="B1940"/>
      <c r="C1940"/>
      <c r="D1940"/>
      <c r="E1940"/>
      <c r="F1940"/>
      <c r="G1940"/>
      <c r="H1940"/>
      <c r="I1940"/>
      <c r="J1940"/>
      <c r="K1940"/>
    </row>
    <row r="1941" spans="1:11" ht="13.5" customHeight="1">
      <c r="A1941"/>
      <c r="B1941"/>
      <c r="C1941"/>
      <c r="D1941"/>
      <c r="E1941"/>
      <c r="F1941"/>
      <c r="G1941"/>
      <c r="H1941"/>
      <c r="I1941"/>
      <c r="J1941"/>
      <c r="K1941"/>
    </row>
    <row r="1942" spans="1:11" ht="13.5" customHeight="1">
      <c r="A1942"/>
      <c r="B1942"/>
      <c r="C1942"/>
      <c r="D1942"/>
      <c r="E1942"/>
      <c r="F1942"/>
      <c r="G1942"/>
      <c r="H1942"/>
      <c r="I1942"/>
      <c r="J1942"/>
      <c r="K1942"/>
    </row>
    <row r="1943" spans="1:11" ht="13.5" customHeight="1">
      <c r="A1943"/>
      <c r="B1943"/>
      <c r="C1943"/>
      <c r="D1943"/>
      <c r="E1943"/>
      <c r="F1943"/>
      <c r="G1943"/>
      <c r="H1943"/>
      <c r="I1943"/>
      <c r="J1943"/>
      <c r="K1943"/>
    </row>
    <row r="1944" spans="1:11" ht="13.5" customHeight="1">
      <c r="A1944"/>
      <c r="B1944"/>
      <c r="C1944"/>
      <c r="D1944"/>
      <c r="E1944"/>
      <c r="F1944"/>
      <c r="G1944"/>
      <c r="H1944"/>
      <c r="I1944"/>
      <c r="J1944"/>
      <c r="K1944"/>
    </row>
    <row r="1945" spans="1:11" ht="13.5" customHeight="1">
      <c r="A1945"/>
      <c r="B1945"/>
      <c r="C1945"/>
      <c r="D1945"/>
      <c r="E1945"/>
      <c r="F1945"/>
      <c r="G1945"/>
      <c r="H1945"/>
      <c r="I1945"/>
      <c r="J1945"/>
      <c r="K1945"/>
    </row>
    <row r="1946" spans="1:11" ht="13.5" customHeight="1">
      <c r="A1946"/>
      <c r="B1946"/>
      <c r="C1946"/>
      <c r="D1946"/>
      <c r="E1946"/>
      <c r="F1946"/>
      <c r="G1946"/>
      <c r="H1946"/>
      <c r="I1946"/>
      <c r="J1946"/>
      <c r="K1946"/>
    </row>
    <row r="1947" spans="1:11" ht="13.5" customHeight="1">
      <c r="A1947"/>
      <c r="B1947"/>
      <c r="C1947"/>
      <c r="D1947"/>
      <c r="E1947"/>
      <c r="F1947"/>
      <c r="G1947"/>
      <c r="H1947"/>
      <c r="I1947"/>
      <c r="J1947"/>
      <c r="K1947"/>
    </row>
    <row r="1948" spans="1:11" ht="13.5" customHeight="1">
      <c r="A1948"/>
      <c r="B1948"/>
      <c r="C1948"/>
      <c r="D1948"/>
      <c r="E1948"/>
      <c r="F1948"/>
      <c r="G1948"/>
      <c r="H1948"/>
      <c r="I1948"/>
      <c r="J1948"/>
      <c r="K1948"/>
    </row>
    <row r="1949" spans="1:11" ht="13.5" customHeight="1">
      <c r="A1949"/>
      <c r="B1949"/>
      <c r="C1949"/>
      <c r="D1949"/>
      <c r="E1949"/>
      <c r="F1949"/>
      <c r="G1949"/>
      <c r="H1949"/>
      <c r="I1949"/>
      <c r="J1949"/>
      <c r="K1949"/>
    </row>
    <row r="1950" spans="1:11" ht="13.5" customHeight="1">
      <c r="A1950"/>
      <c r="B1950"/>
      <c r="C1950"/>
      <c r="D1950"/>
      <c r="E1950"/>
      <c r="F1950"/>
      <c r="G1950"/>
      <c r="H1950"/>
      <c r="I1950"/>
      <c r="J1950"/>
      <c r="K1950"/>
    </row>
    <row r="1951" spans="1:11" ht="13.5" customHeight="1">
      <c r="A1951"/>
      <c r="B1951"/>
      <c r="C1951"/>
      <c r="D1951"/>
      <c r="E1951"/>
      <c r="F1951"/>
      <c r="G1951"/>
      <c r="H1951"/>
      <c r="I1951"/>
      <c r="J1951"/>
      <c r="K1951"/>
    </row>
    <row r="1952" spans="1:11" ht="13.5" customHeight="1">
      <c r="A1952"/>
      <c r="B1952"/>
      <c r="C1952"/>
      <c r="D1952"/>
      <c r="E1952"/>
      <c r="F1952"/>
      <c r="G1952"/>
      <c r="H1952"/>
      <c r="I1952"/>
      <c r="J1952"/>
      <c r="K1952"/>
    </row>
    <row r="1953" spans="1:11" ht="13.5" customHeight="1">
      <c r="A1953"/>
      <c r="B1953"/>
      <c r="C1953"/>
      <c r="D1953"/>
      <c r="E1953"/>
      <c r="F1953"/>
      <c r="G1953"/>
      <c r="H1953"/>
      <c r="I1953"/>
      <c r="J1953"/>
      <c r="K1953"/>
    </row>
    <row r="1954" spans="1:11" ht="13.5" customHeight="1">
      <c r="A1954"/>
      <c r="B1954"/>
      <c r="C1954"/>
      <c r="D1954"/>
      <c r="E1954"/>
      <c r="F1954"/>
      <c r="G1954"/>
      <c r="H1954"/>
      <c r="I1954"/>
      <c r="J1954"/>
      <c r="K1954"/>
    </row>
    <row r="1955" spans="1:11" ht="13.5" customHeight="1">
      <c r="A1955"/>
      <c r="B1955"/>
      <c r="C1955"/>
      <c r="D1955"/>
      <c r="E1955"/>
      <c r="F1955"/>
      <c r="G1955"/>
      <c r="H1955"/>
      <c r="I1955"/>
      <c r="J1955"/>
      <c r="K1955"/>
    </row>
    <row r="1956" spans="1:11" ht="13.5" customHeight="1">
      <c r="A1956"/>
      <c r="B1956"/>
      <c r="C1956"/>
      <c r="D1956"/>
      <c r="E1956"/>
      <c r="F1956"/>
      <c r="G1956"/>
      <c r="H1956"/>
      <c r="I1956"/>
      <c r="J1956"/>
      <c r="K1956"/>
    </row>
    <row r="1957" spans="1:11" ht="13.5" customHeight="1">
      <c r="A1957"/>
      <c r="B1957"/>
      <c r="C1957"/>
      <c r="D1957"/>
      <c r="E1957"/>
      <c r="F1957"/>
      <c r="G1957"/>
      <c r="H1957"/>
      <c r="I1957"/>
      <c r="J1957"/>
      <c r="K1957"/>
    </row>
    <row r="1958" spans="1:11" ht="13.5" customHeight="1">
      <c r="A1958"/>
      <c r="B1958"/>
      <c r="C1958"/>
      <c r="D1958"/>
      <c r="E1958"/>
      <c r="F1958"/>
      <c r="G1958"/>
      <c r="H1958"/>
      <c r="I1958"/>
      <c r="J1958"/>
      <c r="K1958"/>
    </row>
    <row r="1959" spans="1:11" ht="13.5" customHeight="1">
      <c r="A1959"/>
      <c r="B1959"/>
      <c r="C1959"/>
      <c r="D1959"/>
      <c r="E1959"/>
      <c r="F1959"/>
      <c r="G1959"/>
      <c r="H1959"/>
      <c r="I1959"/>
      <c r="J1959"/>
      <c r="K1959"/>
    </row>
    <row r="1960" spans="1:11" ht="13.5" customHeight="1">
      <c r="A1960"/>
      <c r="B1960"/>
      <c r="C1960"/>
      <c r="D1960"/>
      <c r="E1960"/>
      <c r="F1960"/>
      <c r="G1960"/>
      <c r="H1960"/>
      <c r="I1960"/>
      <c r="J1960"/>
      <c r="K1960"/>
    </row>
    <row r="1961" spans="1:11" ht="13.5" customHeight="1">
      <c r="A1961"/>
      <c r="B1961"/>
      <c r="C1961"/>
      <c r="D1961"/>
      <c r="E1961"/>
      <c r="F1961"/>
      <c r="G1961"/>
      <c r="H1961"/>
      <c r="I1961"/>
      <c r="J1961"/>
      <c r="K1961"/>
    </row>
    <row r="1962" spans="1:11" ht="13.5" customHeight="1">
      <c r="A1962"/>
      <c r="B1962"/>
      <c r="C1962"/>
      <c r="D1962"/>
      <c r="E1962"/>
      <c r="F1962"/>
      <c r="G1962"/>
      <c r="H1962"/>
      <c r="I1962"/>
      <c r="J1962"/>
      <c r="K1962"/>
    </row>
    <row r="1963" spans="1:11" ht="13.5" customHeight="1">
      <c r="A1963"/>
      <c r="B1963"/>
      <c r="C1963"/>
      <c r="D1963"/>
      <c r="E1963"/>
      <c r="F1963"/>
      <c r="G1963"/>
      <c r="H1963"/>
      <c r="I1963"/>
      <c r="J1963"/>
      <c r="K1963"/>
    </row>
    <row r="1964" spans="1:11" ht="13.5" customHeight="1">
      <c r="A1964"/>
      <c r="B1964"/>
      <c r="C1964"/>
      <c r="D1964"/>
      <c r="E1964"/>
      <c r="F1964"/>
      <c r="G1964"/>
      <c r="H1964"/>
      <c r="I1964"/>
      <c r="J1964"/>
      <c r="K1964"/>
    </row>
    <row r="1965" spans="1:11" ht="13.5" customHeight="1">
      <c r="A1965"/>
      <c r="B1965"/>
      <c r="C1965"/>
      <c r="D1965"/>
      <c r="E1965"/>
      <c r="F1965"/>
      <c r="G1965"/>
      <c r="H1965"/>
      <c r="I1965"/>
      <c r="J1965"/>
      <c r="K1965"/>
    </row>
    <row r="1966" spans="1:11" ht="13.5" customHeight="1">
      <c r="A1966"/>
      <c r="B1966"/>
      <c r="C1966"/>
      <c r="D1966"/>
      <c r="E1966"/>
      <c r="F1966"/>
      <c r="G1966"/>
      <c r="H1966"/>
      <c r="I1966"/>
      <c r="J1966"/>
      <c r="K1966"/>
    </row>
    <row r="1967" spans="1:11" ht="13.5" customHeight="1">
      <c r="A1967"/>
      <c r="B1967"/>
      <c r="C1967"/>
      <c r="D1967"/>
      <c r="E1967"/>
      <c r="F1967"/>
      <c r="G1967"/>
      <c r="H1967"/>
      <c r="I1967"/>
      <c r="J1967"/>
      <c r="K1967"/>
    </row>
    <row r="1968" spans="1:11" ht="13.5" customHeight="1">
      <c r="A1968"/>
      <c r="B1968"/>
      <c r="C1968"/>
      <c r="D1968"/>
      <c r="E1968"/>
      <c r="F1968"/>
      <c r="G1968"/>
      <c r="H1968"/>
      <c r="I1968"/>
      <c r="J1968"/>
      <c r="K1968"/>
    </row>
    <row r="1969" spans="1:11" ht="13.5" customHeight="1">
      <c r="A1969"/>
      <c r="B1969"/>
      <c r="C1969"/>
      <c r="D1969"/>
      <c r="E1969"/>
      <c r="F1969"/>
      <c r="G1969"/>
      <c r="H1969"/>
      <c r="I1969"/>
      <c r="J1969"/>
      <c r="K1969"/>
    </row>
    <row r="1970" spans="1:11" ht="13.5" customHeight="1">
      <c r="A1970"/>
      <c r="B1970"/>
      <c r="C1970"/>
      <c r="D1970"/>
      <c r="E1970"/>
      <c r="F1970"/>
      <c r="G1970"/>
      <c r="H1970"/>
      <c r="I1970"/>
      <c r="J1970"/>
      <c r="K1970"/>
    </row>
    <row r="1971" spans="1:11" ht="13.5" customHeight="1">
      <c r="A1971"/>
      <c r="B1971"/>
      <c r="C1971"/>
      <c r="D1971"/>
      <c r="E1971"/>
      <c r="F1971"/>
      <c r="G1971"/>
      <c r="H1971"/>
      <c r="I1971"/>
      <c r="J1971"/>
      <c r="K1971"/>
    </row>
    <row r="1972" spans="1:11" ht="13.5" customHeight="1">
      <c r="A1972"/>
      <c r="B1972"/>
      <c r="C1972"/>
      <c r="D1972"/>
      <c r="E1972"/>
      <c r="F1972"/>
      <c r="G1972"/>
      <c r="H1972"/>
      <c r="I1972"/>
      <c r="J1972"/>
      <c r="K1972"/>
    </row>
    <row r="1973" spans="1:11" ht="13.5" customHeight="1">
      <c r="A1973"/>
      <c r="B1973"/>
      <c r="C1973"/>
      <c r="D1973"/>
      <c r="E1973"/>
      <c r="F1973"/>
      <c r="G1973"/>
      <c r="H1973"/>
      <c r="I1973"/>
      <c r="J1973"/>
      <c r="K1973"/>
    </row>
    <row r="1974" spans="1:11" ht="13.5" customHeight="1">
      <c r="A1974"/>
      <c r="B1974"/>
      <c r="C1974"/>
      <c r="D1974"/>
      <c r="E1974"/>
      <c r="F1974"/>
      <c r="G1974"/>
      <c r="H1974"/>
      <c r="I1974"/>
      <c r="J1974"/>
      <c r="K1974"/>
    </row>
  </sheetData>
  <sheetProtection sheet="1" objects="1" scenarios="1" sort="0" autoFilter="0"/>
  <mergeCells count="45">
    <mergeCell ref="A586:B586"/>
    <mergeCell ref="A427:E431"/>
    <mergeCell ref="A438:B438"/>
    <mergeCell ref="A455:B455"/>
    <mergeCell ref="A466:B466"/>
    <mergeCell ref="A511:B511"/>
    <mergeCell ref="A527:B527"/>
    <mergeCell ref="A539:C540"/>
    <mergeCell ref="A541:E543"/>
    <mergeCell ref="A551:B551"/>
    <mergeCell ref="A571:B571"/>
    <mergeCell ref="A369:D372"/>
    <mergeCell ref="A379:B379"/>
    <mergeCell ref="A402:B402"/>
    <mergeCell ref="A415:B415"/>
    <mergeCell ref="A479:E483"/>
    <mergeCell ref="A490:B490"/>
    <mergeCell ref="A292:C293"/>
    <mergeCell ref="A294:E297"/>
    <mergeCell ref="A304:B304"/>
    <mergeCell ref="A333:B333"/>
    <mergeCell ref="A352:B352"/>
    <mergeCell ref="A367:B368"/>
    <mergeCell ref="A205:B205"/>
    <mergeCell ref="A219:B219"/>
    <mergeCell ref="A230:E233"/>
    <mergeCell ref="A240:B240"/>
    <mergeCell ref="A266:B266"/>
    <mergeCell ref="A282:B282"/>
    <mergeCell ref="A118:B118"/>
    <mergeCell ref="A148:B148"/>
    <mergeCell ref="A161:B161"/>
    <mergeCell ref="A170:C171"/>
    <mergeCell ref="A172:E174"/>
    <mergeCell ref="A181:B181"/>
    <mergeCell ref="A591:B591"/>
    <mergeCell ref="A4:C5"/>
    <mergeCell ref="A6:E10"/>
    <mergeCell ref="A17:B17"/>
    <mergeCell ref="A40:B40"/>
    <mergeCell ref="A62:B62"/>
    <mergeCell ref="A82:B82"/>
    <mergeCell ref="A91:B91"/>
    <mergeCell ref="A100:C101"/>
    <mergeCell ref="A102:E111"/>
  </mergeCell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sheetPr>
    <tabColor rgb="FF7030A0"/>
  </sheetPr>
  <dimension ref="A1:Y318"/>
  <sheetViews>
    <sheetView zoomScalePageLayoutView="0" workbookViewId="0" topLeftCell="A1">
      <selection activeCell="F1" sqref="F1:F16384"/>
    </sheetView>
  </sheetViews>
  <sheetFormatPr defaultColWidth="11.421875" defaultRowHeight="12.75"/>
  <cols>
    <col min="1" max="1" width="9.7109375" style="3" customWidth="1"/>
    <col min="2" max="2" width="44.28125" style="3" customWidth="1"/>
    <col min="3" max="3" width="14.8515625" style="18" customWidth="1"/>
    <col min="4" max="4" width="12.00390625" style="18" customWidth="1"/>
    <col min="5" max="5" width="18.7109375" style="18" customWidth="1"/>
    <col min="6" max="6" width="13.8515625" style="3" customWidth="1"/>
    <col min="7" max="7" width="17.7109375" style="3" customWidth="1"/>
    <col min="8" max="16384" width="11.421875" style="3" customWidth="1"/>
  </cols>
  <sheetData>
    <row r="1" spans="1:7" ht="15.75">
      <c r="A1" s="787" t="s">
        <v>1005</v>
      </c>
      <c r="F1" s="797"/>
      <c r="G1" s="789"/>
    </row>
    <row r="2" spans="1:7" ht="15.75">
      <c r="A2" s="74"/>
      <c r="B2" s="788" t="s">
        <v>796</v>
      </c>
      <c r="G2" s="324"/>
    </row>
    <row r="3" spans="1:7" ht="15.75">
      <c r="A3" s="74"/>
      <c r="B3" s="788"/>
      <c r="G3" s="324"/>
    </row>
    <row r="4" spans="1:7" s="71" customFormat="1" ht="12.75" customHeight="1" thickBot="1">
      <c r="A4" s="11"/>
      <c r="B4" s="11"/>
      <c r="C4" s="31"/>
      <c r="D4" s="31"/>
      <c r="E4" s="31"/>
      <c r="F4" s="10"/>
      <c r="G4" s="326"/>
    </row>
    <row r="5" spans="1:7" ht="12.75">
      <c r="A5" s="988" t="s">
        <v>662</v>
      </c>
      <c r="B5" s="1009"/>
      <c r="C5" s="989"/>
      <c r="D5" s="627" t="s">
        <v>6</v>
      </c>
      <c r="E5" s="757" t="s">
        <v>836</v>
      </c>
      <c r="G5" s="324"/>
    </row>
    <row r="6" spans="1:7" ht="13.5" thickBot="1">
      <c r="A6" s="990"/>
      <c r="B6" s="1010"/>
      <c r="C6" s="991"/>
      <c r="D6" s="744"/>
      <c r="E6" s="653"/>
      <c r="G6" s="324"/>
    </row>
    <row r="7" spans="1:7" ht="12.75">
      <c r="A7" s="1021" t="s">
        <v>941</v>
      </c>
      <c r="B7" s="1022"/>
      <c r="C7" s="1022"/>
      <c r="D7" s="1022"/>
      <c r="E7" s="1023"/>
      <c r="G7" s="324"/>
    </row>
    <row r="8" spans="1:8" ht="12.75">
      <c r="A8" s="1024"/>
      <c r="B8" s="1025"/>
      <c r="C8" s="1025"/>
      <c r="D8" s="1025"/>
      <c r="E8" s="1026"/>
      <c r="G8" s="580"/>
      <c r="H8" s="1"/>
    </row>
    <row r="9" spans="1:8" ht="12.75">
      <c r="A9" s="1024"/>
      <c r="B9" s="1025"/>
      <c r="C9" s="1025"/>
      <c r="D9" s="1025"/>
      <c r="E9" s="1026"/>
      <c r="G9" s="580"/>
      <c r="H9" s="1"/>
    </row>
    <row r="10" spans="1:8" s="10" customFormat="1" ht="30.75" customHeight="1" thickBot="1">
      <c r="A10" s="1024"/>
      <c r="B10" s="1025"/>
      <c r="C10" s="1025"/>
      <c r="D10" s="1025"/>
      <c r="E10" s="1026"/>
      <c r="F10" s="3"/>
      <c r="G10" s="580"/>
      <c r="H10" s="187"/>
    </row>
    <row r="11" spans="1:7" s="10" customFormat="1" ht="13.5">
      <c r="A11" s="116" t="s">
        <v>809</v>
      </c>
      <c r="B11" s="167"/>
      <c r="C11" s="400"/>
      <c r="D11" s="400"/>
      <c r="E11" s="402"/>
      <c r="G11" s="325"/>
    </row>
    <row r="12" spans="1:7" s="10" customFormat="1" ht="13.5">
      <c r="A12" s="40" t="s">
        <v>574</v>
      </c>
      <c r="B12" s="12"/>
      <c r="C12" s="24"/>
      <c r="D12" s="24"/>
      <c r="E12" s="303"/>
      <c r="G12" s="325"/>
    </row>
    <row r="13" spans="1:7" s="187" customFormat="1" ht="13.5">
      <c r="A13" s="40" t="s">
        <v>575</v>
      </c>
      <c r="B13" s="12"/>
      <c r="C13" s="24"/>
      <c r="D13" s="24"/>
      <c r="E13" s="303"/>
      <c r="F13" s="10"/>
      <c r="G13" s="325"/>
    </row>
    <row r="14" spans="1:7" s="187" customFormat="1" ht="14.25" thickBot="1">
      <c r="A14" s="75" t="s">
        <v>13</v>
      </c>
      <c r="B14" s="135"/>
      <c r="C14" s="360"/>
      <c r="D14" s="360"/>
      <c r="E14" s="361"/>
      <c r="F14" s="10"/>
      <c r="G14" s="325"/>
    </row>
    <row r="15" spans="1:7" s="71" customFormat="1" ht="12.75" customHeight="1" thickBot="1">
      <c r="A15" s="697" t="s">
        <v>14</v>
      </c>
      <c r="B15" s="698"/>
      <c r="C15" s="699"/>
      <c r="D15" s="701"/>
      <c r="E15" s="707">
        <f>+C17+C28</f>
        <v>5316940</v>
      </c>
      <c r="F15" s="28"/>
      <c r="G15" s="326"/>
    </row>
    <row r="16" spans="1:7" s="71" customFormat="1" ht="12.75" customHeight="1" thickBot="1">
      <c r="A16" s="11"/>
      <c r="B16" s="11"/>
      <c r="C16" s="31"/>
      <c r="D16" s="31"/>
      <c r="E16" s="31"/>
      <c r="F16" s="10"/>
      <c r="G16" s="326"/>
    </row>
    <row r="17" spans="1:7" s="12" customFormat="1" ht="13.5" customHeight="1" thickBot="1">
      <c r="A17" s="992" t="s">
        <v>2</v>
      </c>
      <c r="B17" s="993"/>
      <c r="C17" s="602">
        <f>+C18+C21+C23+C25</f>
        <v>244940</v>
      </c>
      <c r="D17" s="18"/>
      <c r="E17" s="18"/>
      <c r="F17" s="3"/>
      <c r="G17" s="324"/>
    </row>
    <row r="18" spans="1:8" s="71" customFormat="1" ht="13.5" customHeight="1">
      <c r="A18" s="11" t="s">
        <v>105</v>
      </c>
      <c r="B18" s="249" t="s">
        <v>106</v>
      </c>
      <c r="C18" s="31">
        <f>SUM(C19:C20)</f>
        <v>112440</v>
      </c>
      <c r="D18" s="22"/>
      <c r="E18" s="31"/>
      <c r="F18" s="12"/>
      <c r="G18" s="95"/>
      <c r="H18" s="12"/>
    </row>
    <row r="19" spans="1:7" s="5" customFormat="1" ht="13.5" hidden="1">
      <c r="A19" s="12" t="s">
        <v>67</v>
      </c>
      <c r="B19" s="71" t="s">
        <v>68</v>
      </c>
      <c r="C19" s="24"/>
      <c r="D19" s="95"/>
      <c r="E19" s="31"/>
      <c r="F19" s="12"/>
      <c r="G19" s="95"/>
    </row>
    <row r="20" spans="1:8" s="71" customFormat="1" ht="13.5" customHeight="1">
      <c r="A20" s="12" t="s">
        <v>86</v>
      </c>
      <c r="B20" s="71" t="s">
        <v>66</v>
      </c>
      <c r="C20" s="24">
        <v>112440</v>
      </c>
      <c r="D20" s="22"/>
      <c r="E20" s="31"/>
      <c r="F20" s="12"/>
      <c r="G20" s="95"/>
      <c r="H20" s="12"/>
    </row>
    <row r="21" spans="1:8" s="71" customFormat="1" ht="13.5" customHeight="1">
      <c r="A21" s="11" t="s">
        <v>107</v>
      </c>
      <c r="B21" s="249" t="s">
        <v>108</v>
      </c>
      <c r="C21" s="31">
        <f>SUM(C22)</f>
        <v>105000</v>
      </c>
      <c r="D21" s="22"/>
      <c r="E21" s="31"/>
      <c r="F21" s="12"/>
      <c r="G21" s="95"/>
      <c r="H21" s="12"/>
    </row>
    <row r="22" spans="1:8" s="71" customFormat="1" ht="13.5" customHeight="1">
      <c r="A22" s="12" t="s">
        <v>47</v>
      </c>
      <c r="B22" s="23" t="s">
        <v>48</v>
      </c>
      <c r="C22" s="24">
        <v>105000</v>
      </c>
      <c r="D22" s="78"/>
      <c r="E22" s="25"/>
      <c r="F22" s="100"/>
      <c r="G22" s="95"/>
      <c r="H22" s="12"/>
    </row>
    <row r="23" spans="1:8" s="71" customFormat="1" ht="13.5" customHeight="1">
      <c r="A23" s="249" t="s">
        <v>124</v>
      </c>
      <c r="B23" s="25" t="s">
        <v>123</v>
      </c>
      <c r="C23" s="31">
        <f>SUM(C24)</f>
        <v>15000</v>
      </c>
      <c r="D23" s="21"/>
      <c r="E23" s="21"/>
      <c r="F23" s="5"/>
      <c r="G23" s="333"/>
      <c r="H23" s="119"/>
    </row>
    <row r="24" spans="1:8" s="71" customFormat="1" ht="13.5" customHeight="1">
      <c r="A24" s="71" t="s">
        <v>93</v>
      </c>
      <c r="B24" s="23" t="s">
        <v>72</v>
      </c>
      <c r="C24" s="24">
        <v>15000</v>
      </c>
      <c r="D24" s="21"/>
      <c r="E24" s="21"/>
      <c r="F24" s="5"/>
      <c r="G24" s="333"/>
      <c r="H24" s="119"/>
    </row>
    <row r="25" spans="1:8" s="71" customFormat="1" ht="13.5" customHeight="1">
      <c r="A25" s="249" t="s">
        <v>150</v>
      </c>
      <c r="B25" s="25" t="s">
        <v>125</v>
      </c>
      <c r="C25" s="31">
        <f>SUM(C26:C26)</f>
        <v>12500</v>
      </c>
      <c r="D25" s="21"/>
      <c r="E25" s="21"/>
      <c r="F25" s="5"/>
      <c r="G25" s="333"/>
      <c r="H25" s="119"/>
    </row>
    <row r="26" spans="1:7" s="5" customFormat="1" ht="13.5">
      <c r="A26" s="71" t="s">
        <v>154</v>
      </c>
      <c r="B26" s="23" t="s">
        <v>125</v>
      </c>
      <c r="C26" s="24">
        <v>12500</v>
      </c>
      <c r="D26" s="77"/>
      <c r="E26" s="25"/>
      <c r="F26" s="281"/>
      <c r="G26" s="95"/>
    </row>
    <row r="27" spans="1:7" s="5" customFormat="1" ht="14.25" thickBot="1">
      <c r="A27" s="71"/>
      <c r="B27" s="23"/>
      <c r="C27" s="23"/>
      <c r="D27" s="77"/>
      <c r="E27" s="25"/>
      <c r="F27" s="281"/>
      <c r="G27" s="95"/>
    </row>
    <row r="28" spans="1:8" s="71" customFormat="1" ht="13.5" customHeight="1" thickBot="1">
      <c r="A28" s="994" t="s">
        <v>3</v>
      </c>
      <c r="B28" s="995"/>
      <c r="C28" s="603">
        <f>+C29+C32+C34</f>
        <v>5072000</v>
      </c>
      <c r="D28" s="21"/>
      <c r="E28" s="21"/>
      <c r="F28" s="5"/>
      <c r="G28" s="333"/>
      <c r="H28" s="24"/>
    </row>
    <row r="29" spans="1:8" s="71" customFormat="1" ht="13.5" customHeight="1">
      <c r="A29" s="249" t="s">
        <v>112</v>
      </c>
      <c r="B29" s="11" t="s">
        <v>156</v>
      </c>
      <c r="C29" s="31">
        <f>SUM(C30:C31)</f>
        <v>4290000</v>
      </c>
      <c r="D29" s="78"/>
      <c r="E29" s="25"/>
      <c r="F29" s="100"/>
      <c r="G29" s="95"/>
      <c r="H29" s="12"/>
    </row>
    <row r="30" spans="1:7" s="142" customFormat="1" ht="13.5">
      <c r="A30" s="71" t="s">
        <v>49</v>
      </c>
      <c r="B30" s="23" t="s">
        <v>87</v>
      </c>
      <c r="C30" s="24">
        <v>830000</v>
      </c>
      <c r="D30" s="24"/>
      <c r="G30" s="334"/>
    </row>
    <row r="31" spans="1:25" s="200" customFormat="1" ht="13.5">
      <c r="A31" s="71" t="s">
        <v>638</v>
      </c>
      <c r="B31" s="42" t="s">
        <v>637</v>
      </c>
      <c r="C31" s="54">
        <v>3460000</v>
      </c>
      <c r="E31" s="570"/>
      <c r="F31" s="117"/>
      <c r="L31" s="571"/>
      <c r="M31" s="571"/>
      <c r="N31" s="571"/>
      <c r="O31" s="572"/>
      <c r="P31" s="571"/>
      <c r="Q31" s="571"/>
      <c r="R31" s="573"/>
      <c r="S31" s="573"/>
      <c r="T31" s="573"/>
      <c r="U31" s="573"/>
      <c r="V31" s="573"/>
      <c r="W31" s="573"/>
      <c r="X31" s="573"/>
      <c r="Y31" s="573"/>
    </row>
    <row r="32" spans="1:7" s="142" customFormat="1" ht="13.5">
      <c r="A32" s="249" t="s">
        <v>132</v>
      </c>
      <c r="B32" s="25" t="s">
        <v>56</v>
      </c>
      <c r="C32" s="31">
        <f>SUM(C33)</f>
        <v>57000</v>
      </c>
      <c r="D32" s="24"/>
      <c r="E32" s="117"/>
      <c r="F32" s="117"/>
      <c r="G32" s="334"/>
    </row>
    <row r="33" spans="1:7" s="142" customFormat="1" ht="13.5">
      <c r="A33" s="71" t="s">
        <v>55</v>
      </c>
      <c r="B33" s="71" t="s">
        <v>56</v>
      </c>
      <c r="C33" s="24">
        <v>57000</v>
      </c>
      <c r="D33" s="24"/>
      <c r="E33" s="117"/>
      <c r="F33" s="117"/>
      <c r="G33" s="334"/>
    </row>
    <row r="34" spans="1:7" s="142" customFormat="1" ht="13.5">
      <c r="A34" s="249" t="s">
        <v>115</v>
      </c>
      <c r="B34" s="25" t="s">
        <v>8</v>
      </c>
      <c r="C34" s="31">
        <f>SUM(C35:C35)</f>
        <v>725000</v>
      </c>
      <c r="D34" s="24"/>
      <c r="E34" s="117"/>
      <c r="F34" s="117"/>
      <c r="G34" s="334"/>
    </row>
    <row r="35" spans="1:12" s="142" customFormat="1" ht="13.5">
      <c r="A35" s="71" t="s">
        <v>89</v>
      </c>
      <c r="B35" s="23" t="s">
        <v>8</v>
      </c>
      <c r="C35" s="24">
        <v>725000</v>
      </c>
      <c r="D35" s="24"/>
      <c r="E35" s="117"/>
      <c r="F35" s="117"/>
      <c r="G35" s="333"/>
      <c r="H35" s="5"/>
      <c r="I35" s="5"/>
      <c r="J35" s="5"/>
      <c r="K35" s="5"/>
      <c r="L35" s="5"/>
    </row>
    <row r="36" spans="1:12" s="142" customFormat="1" ht="13.5">
      <c r="A36" s="71"/>
      <c r="B36" s="23"/>
      <c r="C36" s="24"/>
      <c r="D36" s="24"/>
      <c r="E36" s="117"/>
      <c r="F36" s="117"/>
      <c r="G36" s="333"/>
      <c r="H36" s="5"/>
      <c r="I36" s="5"/>
      <c r="J36" s="5"/>
      <c r="K36" s="5"/>
      <c r="L36" s="5"/>
    </row>
    <row r="37" spans="1:7" s="5" customFormat="1" ht="14.25" thickBot="1">
      <c r="A37" s="71"/>
      <c r="B37" s="23"/>
      <c r="C37" s="24"/>
      <c r="D37" s="23"/>
      <c r="E37" s="21"/>
      <c r="G37" s="333"/>
    </row>
    <row r="38" spans="1:7" ht="12.75" customHeight="1">
      <c r="A38" s="988" t="s">
        <v>942</v>
      </c>
      <c r="B38" s="989"/>
      <c r="C38" s="627" t="s">
        <v>6</v>
      </c>
      <c r="D38" s="757" t="s">
        <v>1006</v>
      </c>
      <c r="G38" s="324"/>
    </row>
    <row r="39" spans="1:7" ht="13.5" thickBot="1">
      <c r="A39" s="990"/>
      <c r="B39" s="991"/>
      <c r="C39" s="744"/>
      <c r="D39" s="653"/>
      <c r="E39" s="117"/>
      <c r="G39" s="324"/>
    </row>
    <row r="40" spans="1:7" ht="12.75">
      <c r="A40" s="979" t="s">
        <v>943</v>
      </c>
      <c r="B40" s="980"/>
      <c r="C40" s="980"/>
      <c r="D40" s="981"/>
      <c r="E40" s="117"/>
      <c r="G40" s="324"/>
    </row>
    <row r="41" spans="1:8" ht="12.75">
      <c r="A41" s="982"/>
      <c r="B41" s="983"/>
      <c r="C41" s="983"/>
      <c r="D41" s="984"/>
      <c r="E41" s="117"/>
      <c r="G41" s="580"/>
      <c r="H41" s="1"/>
    </row>
    <row r="42" spans="1:8" ht="12.75">
      <c r="A42" s="982"/>
      <c r="B42" s="983"/>
      <c r="C42" s="983"/>
      <c r="D42" s="984"/>
      <c r="E42" s="117"/>
      <c r="G42" s="580"/>
      <c r="H42" s="1"/>
    </row>
    <row r="43" spans="1:8" s="10" customFormat="1" ht="13.5">
      <c r="A43" s="982"/>
      <c r="B43" s="983"/>
      <c r="C43" s="983"/>
      <c r="D43" s="984"/>
      <c r="E43" s="117"/>
      <c r="F43" s="3"/>
      <c r="G43" s="580"/>
      <c r="H43" s="187"/>
    </row>
    <row r="44" spans="1:8" s="10" customFormat="1" ht="14.25" thickBot="1">
      <c r="A44" s="982"/>
      <c r="B44" s="983"/>
      <c r="C44" s="983"/>
      <c r="D44" s="984"/>
      <c r="E44" s="117"/>
      <c r="F44" s="3"/>
      <c r="G44" s="580"/>
      <c r="H44" s="187"/>
    </row>
    <row r="45" spans="1:7" s="10" customFormat="1" ht="13.5">
      <c r="A45" s="116" t="s">
        <v>809</v>
      </c>
      <c r="B45" s="167"/>
      <c r="C45" s="400"/>
      <c r="D45" s="402"/>
      <c r="E45" s="24"/>
      <c r="G45" s="325"/>
    </row>
    <row r="46" spans="1:7" s="10" customFormat="1" ht="13.5">
      <c r="A46" s="40" t="s">
        <v>574</v>
      </c>
      <c r="B46" s="12"/>
      <c r="C46" s="24"/>
      <c r="D46" s="303"/>
      <c r="E46" s="24"/>
      <c r="G46" s="325"/>
    </row>
    <row r="47" spans="1:7" s="187" customFormat="1" ht="13.5">
      <c r="A47" s="40" t="s">
        <v>575</v>
      </c>
      <c r="B47" s="12"/>
      <c r="C47" s="24"/>
      <c r="D47" s="303"/>
      <c r="E47" s="24"/>
      <c r="F47" s="10"/>
      <c r="G47" s="325"/>
    </row>
    <row r="48" spans="1:7" s="187" customFormat="1" ht="14.25" thickBot="1">
      <c r="A48" s="75" t="s">
        <v>13</v>
      </c>
      <c r="B48" s="135"/>
      <c r="C48" s="360"/>
      <c r="D48" s="361"/>
      <c r="E48" s="24"/>
      <c r="F48" s="10"/>
      <c r="G48" s="325"/>
    </row>
    <row r="49" spans="1:7" s="71" customFormat="1" ht="12.75" customHeight="1" thickBot="1">
      <c r="A49" s="697" t="s">
        <v>1009</v>
      </c>
      <c r="B49" s="698"/>
      <c r="C49" s="699"/>
      <c r="D49" s="701"/>
      <c r="E49" s="31"/>
      <c r="F49" s="10"/>
      <c r="G49" s="326"/>
    </row>
    <row r="50" spans="1:7" s="71" customFormat="1" ht="12.75" customHeight="1" thickBot="1">
      <c r="A50" s="11"/>
      <c r="B50" s="11"/>
      <c r="C50" s="31"/>
      <c r="D50" s="31"/>
      <c r="E50" s="31"/>
      <c r="G50" s="78"/>
    </row>
    <row r="51" spans="1:7" ht="12.75" customHeight="1">
      <c r="A51" s="988" t="s">
        <v>944</v>
      </c>
      <c r="B51" s="989"/>
      <c r="C51" s="627" t="s">
        <v>6</v>
      </c>
      <c r="D51" s="757" t="s">
        <v>1007</v>
      </c>
      <c r="G51" s="324"/>
    </row>
    <row r="52" spans="1:7" ht="13.5" thickBot="1">
      <c r="A52" s="990"/>
      <c r="B52" s="991"/>
      <c r="C52" s="630"/>
      <c r="D52" s="653"/>
      <c r="E52" s="117"/>
      <c r="G52" s="324"/>
    </row>
    <row r="53" spans="1:7" ht="12.75">
      <c r="A53" s="979" t="s">
        <v>945</v>
      </c>
      <c r="B53" s="980"/>
      <c r="C53" s="980"/>
      <c r="D53" s="981"/>
      <c r="E53" s="117"/>
      <c r="G53" s="324"/>
    </row>
    <row r="54" spans="1:8" ht="12.75">
      <c r="A54" s="982"/>
      <c r="B54" s="983"/>
      <c r="C54" s="983"/>
      <c r="D54" s="984"/>
      <c r="E54" s="117"/>
      <c r="G54" s="580"/>
      <c r="H54" s="1"/>
    </row>
    <row r="55" spans="1:8" ht="12.75">
      <c r="A55" s="982"/>
      <c r="B55" s="983"/>
      <c r="C55" s="983"/>
      <c r="D55" s="984"/>
      <c r="E55" s="117"/>
      <c r="G55" s="580"/>
      <c r="H55" s="1"/>
    </row>
    <row r="56" spans="1:8" s="10" customFormat="1" ht="13.5">
      <c r="A56" s="982"/>
      <c r="B56" s="983"/>
      <c r="C56" s="983"/>
      <c r="D56" s="984"/>
      <c r="E56" s="117"/>
      <c r="F56" s="3"/>
      <c r="G56" s="580"/>
      <c r="H56" s="187"/>
    </row>
    <row r="57" spans="1:8" s="10" customFormat="1" ht="14.25" thickBot="1">
      <c r="A57" s="985"/>
      <c r="B57" s="986"/>
      <c r="C57" s="986"/>
      <c r="D57" s="987"/>
      <c r="E57" s="117"/>
      <c r="F57" s="3"/>
      <c r="G57" s="580"/>
      <c r="H57" s="187"/>
    </row>
    <row r="58" spans="1:7" s="10" customFormat="1" ht="13.5">
      <c r="A58" s="116" t="s">
        <v>809</v>
      </c>
      <c r="B58" s="167"/>
      <c r="C58" s="400"/>
      <c r="D58" s="402"/>
      <c r="E58" s="24"/>
      <c r="G58" s="325"/>
    </row>
    <row r="59" spans="1:7" s="10" customFormat="1" ht="13.5">
      <c r="A59" s="40" t="s">
        <v>574</v>
      </c>
      <c r="B59" s="12"/>
      <c r="C59" s="24"/>
      <c r="D59" s="303"/>
      <c r="E59" s="24"/>
      <c r="G59" s="325"/>
    </row>
    <row r="60" spans="1:7" s="187" customFormat="1" ht="13.5">
      <c r="A60" s="40" t="s">
        <v>575</v>
      </c>
      <c r="B60" s="12"/>
      <c r="C60" s="24"/>
      <c r="D60" s="303"/>
      <c r="E60" s="24"/>
      <c r="F60" s="10"/>
      <c r="G60" s="325"/>
    </row>
    <row r="61" spans="1:7" s="187" customFormat="1" ht="14.25" thickBot="1">
      <c r="A61" s="75" t="s">
        <v>13</v>
      </c>
      <c r="B61" s="135"/>
      <c r="C61" s="360"/>
      <c r="D61" s="361"/>
      <c r="E61" s="24"/>
      <c r="F61" s="10"/>
      <c r="G61" s="325"/>
    </row>
    <row r="62" spans="1:7" s="71" customFormat="1" ht="12.75" customHeight="1" thickBot="1">
      <c r="A62" s="697" t="s">
        <v>1009</v>
      </c>
      <c r="B62" s="698"/>
      <c r="C62" s="699"/>
      <c r="D62" s="701"/>
      <c r="E62" s="31"/>
      <c r="F62" s="10"/>
      <c r="G62" s="326"/>
    </row>
    <row r="63" spans="1:7" s="71" customFormat="1" ht="12.75" customHeight="1" thickBot="1">
      <c r="A63" s="11"/>
      <c r="B63" s="11"/>
      <c r="C63" s="31"/>
      <c r="D63" s="31"/>
      <c r="E63" s="31"/>
      <c r="G63" s="78"/>
    </row>
    <row r="64" spans="1:7" ht="12.75" customHeight="1">
      <c r="A64" s="988" t="s">
        <v>946</v>
      </c>
      <c r="B64" s="989"/>
      <c r="C64" s="627" t="s">
        <v>6</v>
      </c>
      <c r="D64" s="757" t="s">
        <v>1008</v>
      </c>
      <c r="E64" s="581"/>
      <c r="G64" s="324"/>
    </row>
    <row r="65" spans="1:7" ht="13.5" thickBot="1">
      <c r="A65" s="990"/>
      <c r="B65" s="991"/>
      <c r="C65" s="744"/>
      <c r="D65" s="653"/>
      <c r="E65" s="581"/>
      <c r="G65" s="324"/>
    </row>
    <row r="66" spans="1:7" ht="12.75">
      <c r="A66" s="1021" t="s">
        <v>947</v>
      </c>
      <c r="B66" s="1022"/>
      <c r="C66" s="1022"/>
      <c r="D66" s="1023"/>
      <c r="E66" s="117"/>
      <c r="G66" s="324"/>
    </row>
    <row r="67" spans="1:8" ht="13.5" thickBot="1">
      <c r="A67" s="1024"/>
      <c r="B67" s="1025"/>
      <c r="C67" s="1025"/>
      <c r="D67" s="1026"/>
      <c r="E67" s="117"/>
      <c r="G67" s="580"/>
      <c r="H67" s="1"/>
    </row>
    <row r="68" spans="1:7" s="10" customFormat="1" ht="13.5">
      <c r="A68" s="116" t="s">
        <v>809</v>
      </c>
      <c r="B68" s="167"/>
      <c r="C68" s="400"/>
      <c r="D68" s="402"/>
      <c r="E68" s="24"/>
      <c r="G68" s="325"/>
    </row>
    <row r="69" spans="1:7" s="10" customFormat="1" ht="13.5">
      <c r="A69" s="40" t="s">
        <v>574</v>
      </c>
      <c r="B69" s="12"/>
      <c r="C69" s="24"/>
      <c r="D69" s="303"/>
      <c r="E69" s="24"/>
      <c r="G69" s="325"/>
    </row>
    <row r="70" spans="1:7" s="187" customFormat="1" ht="13.5">
      <c r="A70" s="40" t="s">
        <v>575</v>
      </c>
      <c r="B70" s="12"/>
      <c r="C70" s="24"/>
      <c r="D70" s="303"/>
      <c r="E70" s="24"/>
      <c r="F70" s="10"/>
      <c r="G70" s="325"/>
    </row>
    <row r="71" spans="1:7" s="187" customFormat="1" ht="14.25" thickBot="1">
      <c r="A71" s="75" t="s">
        <v>13</v>
      </c>
      <c r="B71" s="135"/>
      <c r="C71" s="360"/>
      <c r="D71" s="361"/>
      <c r="E71" s="24"/>
      <c r="F71" s="10"/>
      <c r="G71" s="325"/>
    </row>
    <row r="72" spans="1:7" s="71" customFormat="1" ht="12.75" customHeight="1" thickBot="1">
      <c r="A72" s="697" t="s">
        <v>1009</v>
      </c>
      <c r="B72" s="698"/>
      <c r="C72" s="699"/>
      <c r="D72" s="701"/>
      <c r="E72" s="31"/>
      <c r="F72" s="10"/>
      <c r="G72" s="326"/>
    </row>
    <row r="74" ht="13.5" thickBot="1"/>
    <row r="75" spans="1:13" ht="12.75">
      <c r="A75" s="988" t="s">
        <v>948</v>
      </c>
      <c r="B75" s="1009"/>
      <c r="C75" s="989"/>
      <c r="D75" s="627" t="s">
        <v>6</v>
      </c>
      <c r="E75" s="757" t="s">
        <v>838</v>
      </c>
      <c r="F75" s="540"/>
      <c r="G75" s="540"/>
      <c r="H75" s="540"/>
      <c r="I75" s="540"/>
      <c r="J75" s="540"/>
      <c r="K75" s="540"/>
      <c r="L75" s="540"/>
      <c r="M75" s="540"/>
    </row>
    <row r="76" spans="1:13" ht="13.5" thickBot="1">
      <c r="A76" s="990"/>
      <c r="B76" s="1010"/>
      <c r="C76" s="991"/>
      <c r="D76" s="669"/>
      <c r="E76" s="670"/>
      <c r="F76" s="1"/>
      <c r="G76" s="1"/>
      <c r="H76" s="1"/>
      <c r="I76" s="1"/>
      <c r="J76" s="1"/>
      <c r="K76" s="1"/>
      <c r="L76" s="1"/>
      <c r="M76" s="1"/>
    </row>
    <row r="77" spans="1:5" ht="12.75">
      <c r="A77" s="979" t="s">
        <v>949</v>
      </c>
      <c r="B77" s="980"/>
      <c r="C77" s="980"/>
      <c r="D77" s="980"/>
      <c r="E77" s="981"/>
    </row>
    <row r="78" spans="1:5" ht="12.75">
      <c r="A78" s="982"/>
      <c r="B78" s="983"/>
      <c r="C78" s="983"/>
      <c r="D78" s="983"/>
      <c r="E78" s="984"/>
    </row>
    <row r="79" spans="1:5" ht="12.75">
      <c r="A79" s="982"/>
      <c r="B79" s="983"/>
      <c r="C79" s="983"/>
      <c r="D79" s="983"/>
      <c r="E79" s="984"/>
    </row>
    <row r="80" spans="1:5" ht="12.75">
      <c r="A80" s="982"/>
      <c r="B80" s="983"/>
      <c r="C80" s="983"/>
      <c r="D80" s="983"/>
      <c r="E80" s="984"/>
    </row>
    <row r="81" spans="1:5" ht="13.5" thickBot="1">
      <c r="A81" s="985"/>
      <c r="B81" s="986"/>
      <c r="C81" s="986"/>
      <c r="D81" s="986"/>
      <c r="E81" s="987"/>
    </row>
    <row r="82" spans="1:5" ht="13.5">
      <c r="A82" s="40" t="s">
        <v>809</v>
      </c>
      <c r="B82" s="12"/>
      <c r="C82" s="24"/>
      <c r="D82" s="24"/>
      <c r="E82" s="303"/>
    </row>
    <row r="83" spans="1:5" ht="13.5">
      <c r="A83" s="40" t="s">
        <v>624</v>
      </c>
      <c r="B83" s="12"/>
      <c r="C83" s="24"/>
      <c r="D83" s="24"/>
      <c r="E83" s="303"/>
    </row>
    <row r="84" spans="1:5" ht="13.5">
      <c r="A84" s="40" t="s">
        <v>594</v>
      </c>
      <c r="B84" s="12"/>
      <c r="C84" s="24"/>
      <c r="D84" s="24"/>
      <c r="E84" s="303"/>
    </row>
    <row r="85" spans="1:5" ht="14.25" thickBot="1">
      <c r="A85" s="75" t="s">
        <v>13</v>
      </c>
      <c r="B85" s="135"/>
      <c r="C85" s="360"/>
      <c r="D85" s="360"/>
      <c r="E85" s="361"/>
    </row>
    <row r="86" spans="1:7" ht="14.25" thickBot="1">
      <c r="A86" s="697" t="s">
        <v>14</v>
      </c>
      <c r="B86" s="698"/>
      <c r="C86" s="699"/>
      <c r="D86" s="701"/>
      <c r="E86" s="707">
        <f>+C88+C101+C114</f>
        <v>1925510</v>
      </c>
      <c r="F86" s="18"/>
      <c r="G86" s="18"/>
    </row>
    <row r="87" spans="1:5" ht="14.25" thickBot="1">
      <c r="A87" s="11"/>
      <c r="B87" s="11"/>
      <c r="C87" s="31"/>
      <c r="D87" s="31"/>
      <c r="E87" s="3"/>
    </row>
    <row r="88" spans="1:5" ht="14.25" thickBot="1">
      <c r="A88" s="992" t="s">
        <v>2</v>
      </c>
      <c r="B88" s="993"/>
      <c r="C88" s="602">
        <f>(C89+C91+C93+C95+C97)</f>
        <v>409910</v>
      </c>
      <c r="D88" s="117"/>
      <c r="E88" s="3"/>
    </row>
    <row r="89" spans="1:5" ht="13.5">
      <c r="A89" s="11" t="s">
        <v>103</v>
      </c>
      <c r="B89" s="281" t="s">
        <v>104</v>
      </c>
      <c r="C89" s="32">
        <f>SUM(C90)</f>
        <v>19860</v>
      </c>
      <c r="D89" s="223"/>
      <c r="E89" s="332"/>
    </row>
    <row r="90" spans="1:5" ht="13.5">
      <c r="A90" s="12" t="s">
        <v>46</v>
      </c>
      <c r="B90" s="71" t="s">
        <v>45</v>
      </c>
      <c r="C90" s="24">
        <f>15600+4260</f>
        <v>19860</v>
      </c>
      <c r="D90" s="117"/>
      <c r="E90" s="21"/>
    </row>
    <row r="91" spans="1:5" ht="13.5">
      <c r="A91" s="11" t="s">
        <v>105</v>
      </c>
      <c r="B91" s="249" t="s">
        <v>106</v>
      </c>
      <c r="C91" s="31">
        <f>SUM(C92)</f>
        <v>26000</v>
      </c>
      <c r="D91" s="117"/>
      <c r="E91" s="21"/>
    </row>
    <row r="92" spans="1:5" ht="13.5">
      <c r="A92" s="12" t="s">
        <v>86</v>
      </c>
      <c r="B92" s="71" t="s">
        <v>66</v>
      </c>
      <c r="C92" s="24">
        <v>26000</v>
      </c>
      <c r="D92" s="117"/>
      <c r="E92" s="21"/>
    </row>
    <row r="93" spans="1:5" ht="13.5">
      <c r="A93" s="11" t="s">
        <v>107</v>
      </c>
      <c r="B93" s="249" t="s">
        <v>108</v>
      </c>
      <c r="C93" s="31">
        <f>SUM(C94)</f>
        <v>278000</v>
      </c>
      <c r="D93" s="117"/>
      <c r="E93" s="21"/>
    </row>
    <row r="94" spans="1:5" ht="13.5">
      <c r="A94" s="12" t="s">
        <v>47</v>
      </c>
      <c r="B94" s="23" t="s">
        <v>48</v>
      </c>
      <c r="C94" s="24">
        <v>278000</v>
      </c>
      <c r="D94" s="117"/>
      <c r="E94" s="21"/>
    </row>
    <row r="95" spans="1:5" ht="13.5">
      <c r="A95" s="249" t="s">
        <v>119</v>
      </c>
      <c r="B95" s="25" t="s">
        <v>109</v>
      </c>
      <c r="C95" s="31">
        <f>SUM(C96)</f>
        <v>20550</v>
      </c>
      <c r="D95" s="117"/>
      <c r="E95" s="21"/>
    </row>
    <row r="96" spans="1:5" ht="13.5">
      <c r="A96" s="71" t="s">
        <v>149</v>
      </c>
      <c r="B96" s="23" t="s">
        <v>69</v>
      </c>
      <c r="C96" s="24">
        <v>20550</v>
      </c>
      <c r="D96" s="22"/>
      <c r="E96" s="25"/>
    </row>
    <row r="97" spans="1:5" ht="13.5">
      <c r="A97" s="249" t="s">
        <v>150</v>
      </c>
      <c r="B97" s="25" t="s">
        <v>125</v>
      </c>
      <c r="C97" s="31">
        <f>SUM(C98:C99)</f>
        <v>65500</v>
      </c>
      <c r="D97" s="117"/>
      <c r="E97" s="21"/>
    </row>
    <row r="98" spans="1:5" ht="13.5">
      <c r="A98" s="71" t="s">
        <v>151</v>
      </c>
      <c r="B98" s="23" t="s">
        <v>65</v>
      </c>
      <c r="C98" s="24">
        <v>8000</v>
      </c>
      <c r="D98" s="117"/>
      <c r="E98" s="21"/>
    </row>
    <row r="99" spans="1:5" ht="13.5">
      <c r="A99" s="71" t="s">
        <v>154</v>
      </c>
      <c r="B99" s="23" t="s">
        <v>133</v>
      </c>
      <c r="C99" s="24">
        <v>57500</v>
      </c>
      <c r="D99" s="117"/>
      <c r="E99" s="21"/>
    </row>
    <row r="100" spans="1:5" ht="14.25" thickBot="1">
      <c r="A100" s="71"/>
      <c r="B100" s="23"/>
      <c r="C100" s="23"/>
      <c r="D100" s="117"/>
      <c r="E100" s="21"/>
    </row>
    <row r="101" spans="1:5" ht="14.25" thickBot="1">
      <c r="A101" s="994" t="s">
        <v>3</v>
      </c>
      <c r="B101" s="995"/>
      <c r="C101" s="603">
        <f>(C102+C104+C106+C109)</f>
        <v>1464250</v>
      </c>
      <c r="D101" s="117"/>
      <c r="E101" s="21"/>
    </row>
    <row r="102" spans="1:5" ht="13.5">
      <c r="A102" s="11" t="s">
        <v>110</v>
      </c>
      <c r="B102" s="11" t="s">
        <v>111</v>
      </c>
      <c r="C102" s="32">
        <f>SUM(C103)</f>
        <v>24400</v>
      </c>
      <c r="D102" s="117"/>
      <c r="E102" s="21"/>
    </row>
    <row r="103" spans="1:5" ht="13.5">
      <c r="A103" s="12" t="s">
        <v>52</v>
      </c>
      <c r="B103" s="12" t="s">
        <v>15</v>
      </c>
      <c r="C103" s="24">
        <v>24400</v>
      </c>
      <c r="D103" s="95"/>
      <c r="E103" s="95"/>
    </row>
    <row r="104" spans="1:5" ht="13.5">
      <c r="A104" s="11" t="s">
        <v>120</v>
      </c>
      <c r="B104" s="25" t="s">
        <v>121</v>
      </c>
      <c r="C104" s="31">
        <f>SUM(C105)</f>
        <v>20500</v>
      </c>
      <c r="D104" s="12"/>
      <c r="E104" s="12"/>
    </row>
    <row r="105" spans="1:5" ht="13.5">
      <c r="A105" s="12" t="s">
        <v>136</v>
      </c>
      <c r="B105" s="12" t="s">
        <v>71</v>
      </c>
      <c r="C105" s="24">
        <v>20500</v>
      </c>
      <c r="D105" s="12"/>
      <c r="E105" s="12"/>
    </row>
    <row r="106" spans="1:5" ht="13.5">
      <c r="A106" s="249" t="s">
        <v>112</v>
      </c>
      <c r="B106" s="11" t="s">
        <v>156</v>
      </c>
      <c r="C106" s="31">
        <f>SUM(C107:C108)</f>
        <v>610500</v>
      </c>
      <c r="D106" s="12"/>
      <c r="E106" s="71"/>
    </row>
    <row r="107" spans="1:6" ht="13.5">
      <c r="A107" s="71" t="s">
        <v>138</v>
      </c>
      <c r="B107" s="58" t="s">
        <v>810</v>
      </c>
      <c r="C107" s="24">
        <v>15500</v>
      </c>
      <c r="D107" s="12"/>
      <c r="E107" s="71"/>
      <c r="F107" s="18"/>
    </row>
    <row r="108" spans="1:5" ht="13.5">
      <c r="A108" s="71" t="s">
        <v>49</v>
      </c>
      <c r="B108" s="23" t="s">
        <v>87</v>
      </c>
      <c r="C108" s="24">
        <v>595000</v>
      </c>
      <c r="D108" s="12"/>
      <c r="E108" s="539"/>
    </row>
    <row r="109" spans="1:5" ht="13.5">
      <c r="A109" s="249" t="s">
        <v>115</v>
      </c>
      <c r="B109" s="25" t="s">
        <v>8</v>
      </c>
      <c r="C109" s="31">
        <f>SUM(C110:C112)</f>
        <v>808850</v>
      </c>
      <c r="D109" s="117"/>
      <c r="E109" s="21"/>
    </row>
    <row r="110" spans="1:5" ht="13.5">
      <c r="A110" s="71" t="s">
        <v>92</v>
      </c>
      <c r="B110" s="23" t="s">
        <v>8</v>
      </c>
      <c r="C110" s="24">
        <v>698000</v>
      </c>
      <c r="D110" s="223"/>
      <c r="E110" s="331"/>
    </row>
    <row r="111" spans="1:5" ht="13.5">
      <c r="A111" s="71" t="s">
        <v>94</v>
      </c>
      <c r="B111" s="23" t="s">
        <v>50</v>
      </c>
      <c r="C111" s="24">
        <v>15850</v>
      </c>
      <c r="D111" s="24"/>
      <c r="E111" s="28"/>
    </row>
    <row r="112" spans="1:5" ht="13.5">
      <c r="A112" s="71" t="s">
        <v>90</v>
      </c>
      <c r="B112" s="23" t="s">
        <v>7</v>
      </c>
      <c r="C112" s="24">
        <v>95000</v>
      </c>
      <c r="D112" s="95"/>
      <c r="E112" s="95"/>
    </row>
    <row r="113" spans="1:5" ht="14.25" thickBot="1">
      <c r="A113" s="71"/>
      <c r="B113" s="23"/>
      <c r="C113" s="23"/>
      <c r="D113" s="24"/>
      <c r="E113" s="23"/>
    </row>
    <row r="114" spans="1:5" ht="14.25" thickBot="1">
      <c r="A114" s="996" t="s">
        <v>4</v>
      </c>
      <c r="B114" s="997"/>
      <c r="C114" s="605">
        <f>C115+C117</f>
        <v>51350</v>
      </c>
      <c r="D114" s="142"/>
      <c r="E114" s="21"/>
    </row>
    <row r="115" spans="1:5" ht="13.5">
      <c r="A115" s="249" t="s">
        <v>116</v>
      </c>
      <c r="B115" s="249" t="s">
        <v>117</v>
      </c>
      <c r="C115" s="31">
        <f>SUM(C116)</f>
        <v>30600</v>
      </c>
      <c r="D115" s="117"/>
      <c r="E115" s="21"/>
    </row>
    <row r="116" spans="1:5" ht="13.5">
      <c r="A116" s="71" t="s">
        <v>91</v>
      </c>
      <c r="B116" s="71" t="s">
        <v>139</v>
      </c>
      <c r="C116" s="24">
        <v>30600</v>
      </c>
      <c r="D116" s="24"/>
      <c r="E116" s="23"/>
    </row>
    <row r="117" spans="1:5" ht="13.5">
      <c r="A117" s="249" t="s">
        <v>165</v>
      </c>
      <c r="B117" s="25" t="s">
        <v>135</v>
      </c>
      <c r="C117" s="31">
        <f>SUM(C118)</f>
        <v>20750</v>
      </c>
      <c r="D117" s="142"/>
      <c r="E117" s="21"/>
    </row>
    <row r="118" spans="1:3" ht="13.5">
      <c r="A118" s="71" t="s">
        <v>166</v>
      </c>
      <c r="B118" s="23" t="s">
        <v>51</v>
      </c>
      <c r="C118" s="24">
        <v>20750</v>
      </c>
    </row>
    <row r="119" spans="1:7" s="5" customFormat="1" ht="13.5">
      <c r="A119" s="71"/>
      <c r="B119" s="23"/>
      <c r="C119" s="23"/>
      <c r="D119" s="18"/>
      <c r="E119" s="332"/>
      <c r="F119" s="1"/>
      <c r="G119" s="324"/>
    </row>
    <row r="120" spans="1:7" s="5" customFormat="1" ht="14.25" thickBot="1">
      <c r="A120" s="71"/>
      <c r="B120" s="23"/>
      <c r="C120" s="23"/>
      <c r="D120" s="18"/>
      <c r="E120" s="332"/>
      <c r="F120" s="1"/>
      <c r="G120" s="324"/>
    </row>
    <row r="121" spans="1:7" s="5" customFormat="1" ht="12.75">
      <c r="A121" s="583" t="s">
        <v>629</v>
      </c>
      <c r="B121" s="584"/>
      <c r="C121" s="625"/>
      <c r="D121" s="627" t="s">
        <v>6</v>
      </c>
      <c r="E121" s="757" t="s">
        <v>842</v>
      </c>
      <c r="F121" s="1"/>
      <c r="G121" s="324"/>
    </row>
    <row r="122" spans="1:7" s="5" customFormat="1" ht="13.5" thickBot="1">
      <c r="A122" s="642"/>
      <c r="B122" s="663"/>
      <c r="C122" s="668"/>
      <c r="D122" s="669"/>
      <c r="E122" s="670"/>
      <c r="F122" s="1"/>
      <c r="G122" s="324"/>
    </row>
    <row r="123" spans="1:7" s="142" customFormat="1" ht="12.75">
      <c r="A123" s="49" t="s">
        <v>751</v>
      </c>
      <c r="B123" s="145"/>
      <c r="C123" s="50"/>
      <c r="D123" s="50"/>
      <c r="E123" s="299"/>
      <c r="F123" s="1"/>
      <c r="G123" s="332"/>
    </row>
    <row r="124" spans="1:7" s="142" customFormat="1" ht="12.75">
      <c r="A124" s="37" t="s">
        <v>635</v>
      </c>
      <c r="C124" s="117"/>
      <c r="D124" s="117"/>
      <c r="E124" s="300"/>
      <c r="F124" s="1"/>
      <c r="G124" s="332"/>
    </row>
    <row r="125" spans="1:7" s="142" customFormat="1" ht="12.75">
      <c r="A125" s="37" t="s">
        <v>636</v>
      </c>
      <c r="C125" s="117"/>
      <c r="D125" s="117"/>
      <c r="E125" s="300"/>
      <c r="F125" s="1"/>
      <c r="G125" s="332"/>
    </row>
    <row r="126" spans="1:7" s="142" customFormat="1" ht="12.75">
      <c r="A126" s="982" t="s">
        <v>951</v>
      </c>
      <c r="B126" s="983"/>
      <c r="C126" s="983"/>
      <c r="D126" s="983"/>
      <c r="E126" s="984"/>
      <c r="F126" s="1"/>
      <c r="G126" s="332"/>
    </row>
    <row r="127" spans="1:7" s="142" customFormat="1" ht="12.75">
      <c r="A127" s="982"/>
      <c r="B127" s="983"/>
      <c r="C127" s="983"/>
      <c r="D127" s="983"/>
      <c r="E127" s="984"/>
      <c r="F127" s="1"/>
      <c r="G127" s="332"/>
    </row>
    <row r="128" spans="1:7" s="142" customFormat="1" ht="13.5" thickBot="1">
      <c r="A128" s="985"/>
      <c r="B128" s="986"/>
      <c r="C128" s="986"/>
      <c r="D128" s="986"/>
      <c r="E128" s="987"/>
      <c r="F128" s="1"/>
      <c r="G128" s="332"/>
    </row>
    <row r="129" spans="1:7" s="5" customFormat="1" ht="13.5">
      <c r="A129" s="40" t="s">
        <v>809</v>
      </c>
      <c r="B129" s="12"/>
      <c r="C129" s="24"/>
      <c r="D129" s="24"/>
      <c r="E129" s="303"/>
      <c r="F129" s="1"/>
      <c r="G129" s="324"/>
    </row>
    <row r="130" spans="1:7" s="5" customFormat="1" ht="13.5">
      <c r="A130" s="40" t="s">
        <v>596</v>
      </c>
      <c r="B130" s="12"/>
      <c r="C130" s="24"/>
      <c r="D130" s="24"/>
      <c r="E130" s="303"/>
      <c r="F130" s="1"/>
      <c r="G130" s="324"/>
    </row>
    <row r="131" spans="1:7" s="5" customFormat="1" ht="13.5">
      <c r="A131" s="40" t="s">
        <v>595</v>
      </c>
      <c r="B131" s="12"/>
      <c r="C131" s="24"/>
      <c r="D131" s="24"/>
      <c r="E131" s="303"/>
      <c r="F131" s="1"/>
      <c r="G131" s="324"/>
    </row>
    <row r="132" spans="1:7" s="5" customFormat="1" ht="14.25" thickBot="1">
      <c r="A132" s="75" t="s">
        <v>13</v>
      </c>
      <c r="B132" s="135"/>
      <c r="C132" s="360"/>
      <c r="D132" s="360"/>
      <c r="E132" s="361"/>
      <c r="F132" s="1"/>
      <c r="G132" s="324"/>
    </row>
    <row r="133" spans="1:7" s="5" customFormat="1" ht="14.25" thickBot="1">
      <c r="A133" s="697" t="s">
        <v>14</v>
      </c>
      <c r="B133" s="698"/>
      <c r="C133" s="699"/>
      <c r="D133" s="701"/>
      <c r="E133" s="707">
        <f>+C135+C148+C161</f>
        <v>1538170</v>
      </c>
      <c r="F133" s="14"/>
      <c r="G133" s="87"/>
    </row>
    <row r="134" spans="1:7" s="5" customFormat="1" ht="14.25" thickBot="1">
      <c r="A134" s="11"/>
      <c r="B134" s="11"/>
      <c r="C134" s="31"/>
      <c r="D134" s="31"/>
      <c r="E134" s="3"/>
      <c r="F134" s="1"/>
      <c r="G134" s="324"/>
    </row>
    <row r="135" spans="1:7" s="5" customFormat="1" ht="14.25" thickBot="1">
      <c r="A135" s="992" t="s">
        <v>2</v>
      </c>
      <c r="B135" s="993"/>
      <c r="C135" s="602">
        <f>(C136+C138+C140+C142+C144)</f>
        <v>322870</v>
      </c>
      <c r="D135" s="117"/>
      <c r="E135" s="3"/>
      <c r="F135" s="1"/>
      <c r="G135" s="324"/>
    </row>
    <row r="136" spans="1:7" s="5" customFormat="1" ht="13.5">
      <c r="A136" s="11" t="s">
        <v>103</v>
      </c>
      <c r="B136" s="281" t="s">
        <v>104</v>
      </c>
      <c r="C136" s="32">
        <f>SUM(C137)</f>
        <v>15670</v>
      </c>
      <c r="D136" s="223"/>
      <c r="E136" s="332"/>
      <c r="F136" s="1"/>
      <c r="G136" s="324"/>
    </row>
    <row r="137" spans="1:7" s="5" customFormat="1" ht="13.5">
      <c r="A137" s="12" t="s">
        <v>46</v>
      </c>
      <c r="B137" s="71" t="s">
        <v>45</v>
      </c>
      <c r="C137" s="24">
        <v>15670</v>
      </c>
      <c r="D137" s="117"/>
      <c r="E137" s="21"/>
      <c r="F137" s="1"/>
      <c r="G137" s="324"/>
    </row>
    <row r="138" spans="1:7" s="5" customFormat="1" ht="13.5">
      <c r="A138" s="11" t="s">
        <v>105</v>
      </c>
      <c r="B138" s="249" t="s">
        <v>106</v>
      </c>
      <c r="C138" s="31">
        <f>SUM(C139)</f>
        <v>35000</v>
      </c>
      <c r="D138" s="117"/>
      <c r="E138" s="21"/>
      <c r="F138" s="1"/>
      <c r="G138" s="324"/>
    </row>
    <row r="139" spans="1:7" s="5" customFormat="1" ht="13.5">
      <c r="A139" s="12" t="s">
        <v>86</v>
      </c>
      <c r="B139" s="71" t="s">
        <v>66</v>
      </c>
      <c r="C139" s="24">
        <v>35000</v>
      </c>
      <c r="D139" s="117"/>
      <c r="E139" s="21"/>
      <c r="F139" s="1"/>
      <c r="G139" s="324"/>
    </row>
    <row r="140" spans="1:7" s="5" customFormat="1" ht="13.5">
      <c r="A140" s="11" t="s">
        <v>107</v>
      </c>
      <c r="B140" s="249" t="s">
        <v>108</v>
      </c>
      <c r="C140" s="31">
        <f>SUM(C141)</f>
        <v>215000</v>
      </c>
      <c r="D140" s="117"/>
      <c r="E140" s="21"/>
      <c r="F140" s="1"/>
      <c r="G140" s="324"/>
    </row>
    <row r="141" spans="1:7" s="5" customFormat="1" ht="13.5">
      <c r="A141" s="12" t="s">
        <v>47</v>
      </c>
      <c r="B141" s="23" t="s">
        <v>48</v>
      </c>
      <c r="C141" s="24">
        <v>215000</v>
      </c>
      <c r="D141" s="117"/>
      <c r="E141" s="21"/>
      <c r="F141" s="1"/>
      <c r="G141" s="324"/>
    </row>
    <row r="142" spans="1:7" s="5" customFormat="1" ht="13.5">
      <c r="A142" s="249" t="s">
        <v>119</v>
      </c>
      <c r="B142" s="25" t="s">
        <v>109</v>
      </c>
      <c r="C142" s="31">
        <f>SUM(C143)</f>
        <v>15000</v>
      </c>
      <c r="D142" s="117"/>
      <c r="E142" s="21"/>
      <c r="F142" s="1"/>
      <c r="G142" s="324"/>
    </row>
    <row r="143" spans="1:7" s="5" customFormat="1" ht="13.5">
      <c r="A143" s="71" t="s">
        <v>149</v>
      </c>
      <c r="B143" s="23" t="s">
        <v>69</v>
      </c>
      <c r="C143" s="24">
        <v>15000</v>
      </c>
      <c r="D143" s="22"/>
      <c r="E143" s="25"/>
      <c r="F143" s="1"/>
      <c r="G143" s="324"/>
    </row>
    <row r="144" spans="1:7" s="5" customFormat="1" ht="13.5">
      <c r="A144" s="249" t="s">
        <v>150</v>
      </c>
      <c r="B144" s="25" t="s">
        <v>125</v>
      </c>
      <c r="C144" s="31">
        <f>SUM(C145:C146)</f>
        <v>42200</v>
      </c>
      <c r="D144" s="117"/>
      <c r="E144" s="21"/>
      <c r="F144" s="1"/>
      <c r="G144" s="324"/>
    </row>
    <row r="145" spans="1:7" s="5" customFormat="1" ht="13.5">
      <c r="A145" s="71" t="s">
        <v>151</v>
      </c>
      <c r="B145" s="23" t="s">
        <v>65</v>
      </c>
      <c r="C145" s="24">
        <v>6500</v>
      </c>
      <c r="D145" s="117"/>
      <c r="E145" s="21"/>
      <c r="F145" s="1"/>
      <c r="G145" s="324"/>
    </row>
    <row r="146" spans="1:7" s="5" customFormat="1" ht="13.5">
      <c r="A146" s="71" t="s">
        <v>154</v>
      </c>
      <c r="B146" s="23" t="s">
        <v>133</v>
      </c>
      <c r="C146" s="24">
        <v>35700</v>
      </c>
      <c r="D146" s="117"/>
      <c r="E146" s="21"/>
      <c r="F146" s="1"/>
      <c r="G146" s="324"/>
    </row>
    <row r="147" spans="1:7" s="5" customFormat="1" ht="14.25" thickBot="1">
      <c r="A147" s="71"/>
      <c r="B147" s="23"/>
      <c r="C147" s="23"/>
      <c r="D147" s="117"/>
      <c r="E147" s="21"/>
      <c r="F147" s="1"/>
      <c r="G147" s="324"/>
    </row>
    <row r="148" spans="1:7" s="5" customFormat="1" ht="14.25" thickBot="1">
      <c r="A148" s="994" t="s">
        <v>3</v>
      </c>
      <c r="B148" s="995"/>
      <c r="C148" s="603">
        <f>(C149+C151+C153+C156)</f>
        <v>1164600</v>
      </c>
      <c r="D148" s="117"/>
      <c r="E148" s="21"/>
      <c r="F148" s="1"/>
      <c r="G148" s="324"/>
    </row>
    <row r="149" spans="1:7" s="5" customFormat="1" ht="13.5">
      <c r="A149" s="11" t="s">
        <v>110</v>
      </c>
      <c r="B149" s="11" t="s">
        <v>111</v>
      </c>
      <c r="C149" s="32">
        <f>SUM(C150)</f>
        <v>22500</v>
      </c>
      <c r="D149" s="117"/>
      <c r="E149" s="21"/>
      <c r="F149" s="1"/>
      <c r="G149" s="324"/>
    </row>
    <row r="150" spans="1:7" s="5" customFormat="1" ht="13.5">
      <c r="A150" s="12" t="s">
        <v>52</v>
      </c>
      <c r="B150" s="12" t="s">
        <v>15</v>
      </c>
      <c r="C150" s="24">
        <v>22500</v>
      </c>
      <c r="D150" s="95"/>
      <c r="E150" s="95"/>
      <c r="F150" s="1"/>
      <c r="G150" s="324"/>
    </row>
    <row r="151" spans="1:7" s="5" customFormat="1" ht="13.5">
      <c r="A151" s="11" t="s">
        <v>120</v>
      </c>
      <c r="B151" s="25" t="s">
        <v>121</v>
      </c>
      <c r="C151" s="31">
        <f>SUM(C152)</f>
        <v>16000</v>
      </c>
      <c r="D151" s="12"/>
      <c r="E151" s="12"/>
      <c r="F151" s="1"/>
      <c r="G151" s="324"/>
    </row>
    <row r="152" spans="1:7" s="5" customFormat="1" ht="13.5">
      <c r="A152" s="12" t="s">
        <v>136</v>
      </c>
      <c r="B152" s="12" t="s">
        <v>71</v>
      </c>
      <c r="C152" s="24">
        <v>16000</v>
      </c>
      <c r="D152" s="12"/>
      <c r="E152" s="12"/>
      <c r="F152" s="14"/>
      <c r="G152" s="324"/>
    </row>
    <row r="153" spans="1:7" s="5" customFormat="1" ht="13.5">
      <c r="A153" s="249" t="s">
        <v>112</v>
      </c>
      <c r="B153" s="11" t="s">
        <v>156</v>
      </c>
      <c r="C153" s="31">
        <f>SUM(C154:C155)</f>
        <v>478500</v>
      </c>
      <c r="D153" s="12"/>
      <c r="E153" s="71"/>
      <c r="F153" s="14"/>
      <c r="G153" s="324"/>
    </row>
    <row r="154" spans="1:7" s="5" customFormat="1" ht="13.5">
      <c r="A154" s="71" t="s">
        <v>138</v>
      </c>
      <c r="B154" s="58" t="s">
        <v>810</v>
      </c>
      <c r="C154" s="24">
        <v>20500</v>
      </c>
      <c r="D154" s="12"/>
      <c r="E154" s="71"/>
      <c r="F154" s="1"/>
      <c r="G154" s="324"/>
    </row>
    <row r="155" spans="1:7" s="5" customFormat="1" ht="13.5">
      <c r="A155" s="71" t="s">
        <v>49</v>
      </c>
      <c r="B155" s="23" t="s">
        <v>87</v>
      </c>
      <c r="C155" s="24">
        <v>458000</v>
      </c>
      <c r="D155" s="12"/>
      <c r="E155" s="539"/>
      <c r="F155" s="1"/>
      <c r="G155" s="324"/>
    </row>
    <row r="156" spans="1:7" s="5" customFormat="1" ht="13.5">
      <c r="A156" s="249" t="s">
        <v>115</v>
      </c>
      <c r="B156" s="25" t="s">
        <v>8</v>
      </c>
      <c r="C156" s="31">
        <f>SUM(C157:C159)</f>
        <v>647600</v>
      </c>
      <c r="D156" s="117"/>
      <c r="E156" s="21"/>
      <c r="F156" s="1"/>
      <c r="G156" s="324"/>
    </row>
    <row r="157" spans="1:7" s="5" customFormat="1" ht="13.5">
      <c r="A157" s="71" t="s">
        <v>92</v>
      </c>
      <c r="B157" s="23" t="s">
        <v>8</v>
      </c>
      <c r="C157" s="24">
        <v>557000</v>
      </c>
      <c r="D157" s="223"/>
      <c r="E157" s="331"/>
      <c r="F157" s="1"/>
      <c r="G157" s="324"/>
    </row>
    <row r="158" spans="1:7" s="5" customFormat="1" ht="13.5">
      <c r="A158" s="71" t="s">
        <v>94</v>
      </c>
      <c r="B158" s="23" t="s">
        <v>50</v>
      </c>
      <c r="C158" s="24">
        <v>25600</v>
      </c>
      <c r="D158" s="24"/>
      <c r="E158" s="28"/>
      <c r="F158" s="1"/>
      <c r="G158" s="324"/>
    </row>
    <row r="159" spans="1:7" s="5" customFormat="1" ht="13.5">
      <c r="A159" s="71" t="s">
        <v>90</v>
      </c>
      <c r="B159" s="23" t="s">
        <v>7</v>
      </c>
      <c r="C159" s="24">
        <v>65000</v>
      </c>
      <c r="D159" s="95"/>
      <c r="E159" s="95"/>
      <c r="F159" s="1"/>
      <c r="G159" s="324"/>
    </row>
    <row r="160" spans="1:7" s="5" customFormat="1" ht="14.25" thickBot="1">
      <c r="A160" s="71"/>
      <c r="B160" s="23"/>
      <c r="C160" s="23"/>
      <c r="D160" s="24"/>
      <c r="E160" s="23"/>
      <c r="F160" s="1"/>
      <c r="G160" s="324"/>
    </row>
    <row r="161" spans="1:7" s="5" customFormat="1" ht="14.25" thickBot="1">
      <c r="A161" s="996" t="s">
        <v>4</v>
      </c>
      <c r="B161" s="997"/>
      <c r="C161" s="605">
        <f>C162+C164</f>
        <v>50700</v>
      </c>
      <c r="D161" s="142"/>
      <c r="E161" s="21"/>
      <c r="F161" s="1"/>
      <c r="G161" s="324"/>
    </row>
    <row r="162" spans="1:7" s="5" customFormat="1" ht="13.5">
      <c r="A162" s="249" t="s">
        <v>116</v>
      </c>
      <c r="B162" s="249" t="s">
        <v>117</v>
      </c>
      <c r="C162" s="31">
        <f>SUM(C163)</f>
        <v>35000</v>
      </c>
      <c r="D162" s="117"/>
      <c r="E162" s="21"/>
      <c r="F162" s="1"/>
      <c r="G162" s="324"/>
    </row>
    <row r="163" spans="1:7" s="5" customFormat="1" ht="13.5">
      <c r="A163" s="71" t="s">
        <v>91</v>
      </c>
      <c r="B163" s="71" t="s">
        <v>139</v>
      </c>
      <c r="C163" s="24">
        <v>35000</v>
      </c>
      <c r="D163" s="24"/>
      <c r="E163" s="23"/>
      <c r="F163" s="1"/>
      <c r="G163" s="324"/>
    </row>
    <row r="164" spans="1:7" s="5" customFormat="1" ht="13.5">
      <c r="A164" s="249" t="s">
        <v>165</v>
      </c>
      <c r="B164" s="25" t="s">
        <v>135</v>
      </c>
      <c r="C164" s="31">
        <f>SUM(C165)</f>
        <v>15700</v>
      </c>
      <c r="D164" s="142"/>
      <c r="E164" s="21"/>
      <c r="F164" s="1"/>
      <c r="G164" s="324"/>
    </row>
    <row r="165" spans="1:7" s="5" customFormat="1" ht="13.5">
      <c r="A165" s="71" t="s">
        <v>166</v>
      </c>
      <c r="B165" s="23" t="s">
        <v>51</v>
      </c>
      <c r="C165" s="24">
        <v>15700</v>
      </c>
      <c r="D165" s="18"/>
      <c r="E165" s="18"/>
      <c r="F165" s="1"/>
      <c r="G165" s="324"/>
    </row>
    <row r="167" ht="13.5" thickBot="1"/>
    <row r="168" spans="1:7" ht="13.5" customHeight="1">
      <c r="A168" s="988" t="s">
        <v>661</v>
      </c>
      <c r="B168" s="1009"/>
      <c r="C168" s="989"/>
      <c r="D168" s="627" t="s">
        <v>6</v>
      </c>
      <c r="E168" s="757" t="s">
        <v>1010</v>
      </c>
      <c r="G168" s="324"/>
    </row>
    <row r="169" spans="1:7" ht="13.5" thickBot="1">
      <c r="A169" s="990"/>
      <c r="B169" s="1010"/>
      <c r="C169" s="991"/>
      <c r="D169" s="744"/>
      <c r="E169" s="653"/>
      <c r="G169" s="324"/>
    </row>
    <row r="170" spans="1:7" ht="12.75">
      <c r="A170" s="1021" t="s">
        <v>952</v>
      </c>
      <c r="B170" s="1022"/>
      <c r="C170" s="1022"/>
      <c r="D170" s="1022"/>
      <c r="E170" s="1023"/>
      <c r="G170" s="324"/>
    </row>
    <row r="171" spans="1:8" ht="12.75">
      <c r="A171" s="1024"/>
      <c r="B171" s="1025"/>
      <c r="C171" s="1025"/>
      <c r="D171" s="1025"/>
      <c r="E171" s="1026"/>
      <c r="G171" s="580"/>
      <c r="H171" s="1"/>
    </row>
    <row r="172" spans="1:8" ht="12.75">
      <c r="A172" s="1024"/>
      <c r="B172" s="1025"/>
      <c r="C172" s="1025"/>
      <c r="D172" s="1025"/>
      <c r="E172" s="1026"/>
      <c r="G172" s="580"/>
      <c r="H172" s="1"/>
    </row>
    <row r="173" spans="1:8" s="10" customFormat="1" ht="13.5">
      <c r="A173" s="1024"/>
      <c r="B173" s="1025"/>
      <c r="C173" s="1025"/>
      <c r="D173" s="1025"/>
      <c r="E173" s="1026"/>
      <c r="F173" s="3"/>
      <c r="G173" s="580"/>
      <c r="H173" s="187"/>
    </row>
    <row r="174" spans="1:8" s="10" customFormat="1" ht="26.25" customHeight="1" thickBot="1">
      <c r="A174" s="1024"/>
      <c r="B174" s="1025"/>
      <c r="C174" s="1025"/>
      <c r="D174" s="1025"/>
      <c r="E174" s="1026"/>
      <c r="F174" s="3"/>
      <c r="G174" s="580"/>
      <c r="H174" s="187"/>
    </row>
    <row r="175" spans="1:7" s="10" customFormat="1" ht="13.5">
      <c r="A175" s="116" t="s">
        <v>809</v>
      </c>
      <c r="B175" s="167"/>
      <c r="C175" s="400"/>
      <c r="D175" s="400"/>
      <c r="E175" s="402"/>
      <c r="G175" s="325"/>
    </row>
    <row r="176" spans="1:7" s="10" customFormat="1" ht="13.5">
      <c r="A176" s="40" t="s">
        <v>574</v>
      </c>
      <c r="B176" s="12"/>
      <c r="C176" s="24"/>
      <c r="D176" s="24"/>
      <c r="E176" s="303"/>
      <c r="G176" s="325"/>
    </row>
    <row r="177" spans="1:7" s="187" customFormat="1" ht="13.5">
      <c r="A177" s="40" t="s">
        <v>575</v>
      </c>
      <c r="B177" s="12"/>
      <c r="C177" s="24"/>
      <c r="D177" s="24"/>
      <c r="E177" s="303"/>
      <c r="F177" s="10"/>
      <c r="G177" s="325"/>
    </row>
    <row r="178" spans="1:7" s="187" customFormat="1" ht="14.25" thickBot="1">
      <c r="A178" s="75" t="s">
        <v>13</v>
      </c>
      <c r="B178" s="135"/>
      <c r="C178" s="360"/>
      <c r="D178" s="360"/>
      <c r="E178" s="361"/>
      <c r="F178" s="10"/>
      <c r="G178" s="325"/>
    </row>
    <row r="179" spans="1:7" s="71" customFormat="1" ht="12.75" customHeight="1" thickBot="1">
      <c r="A179" s="697" t="s">
        <v>14</v>
      </c>
      <c r="B179" s="698"/>
      <c r="C179" s="699"/>
      <c r="D179" s="701"/>
      <c r="E179" s="707">
        <f>+C181+C201+C215</f>
        <v>2176500</v>
      </c>
      <c r="F179" s="28"/>
      <c r="G179" s="326"/>
    </row>
    <row r="180" spans="1:7" s="71" customFormat="1" ht="12.75" customHeight="1" thickBot="1">
      <c r="A180" s="11"/>
      <c r="B180" s="11"/>
      <c r="C180" s="31"/>
      <c r="D180" s="31"/>
      <c r="E180" s="31"/>
      <c r="F180" s="10"/>
      <c r="G180" s="326"/>
    </row>
    <row r="181" spans="1:7" s="12" customFormat="1" ht="13.5" customHeight="1" thickBot="1">
      <c r="A181" s="992" t="s">
        <v>2</v>
      </c>
      <c r="B181" s="993"/>
      <c r="C181" s="602">
        <f>C182+C184+C187+C189+C195+C198</f>
        <v>812950</v>
      </c>
      <c r="D181" s="18"/>
      <c r="E181" s="18"/>
      <c r="F181" s="3"/>
      <c r="G181" s="324"/>
    </row>
    <row r="182" spans="1:7" s="100" customFormat="1" ht="13.5" customHeight="1">
      <c r="A182" s="11" t="s">
        <v>103</v>
      </c>
      <c r="B182" s="281" t="s">
        <v>104</v>
      </c>
      <c r="C182" s="32">
        <f>SUM(C183)</f>
        <v>26000</v>
      </c>
      <c r="D182" s="331"/>
      <c r="E182" s="331"/>
      <c r="F182" s="332"/>
      <c r="G182" s="332"/>
    </row>
    <row r="183" spans="1:8" s="71" customFormat="1" ht="13.5" customHeight="1">
      <c r="A183" s="12" t="s">
        <v>46</v>
      </c>
      <c r="B183" s="71" t="s">
        <v>45</v>
      </c>
      <c r="C183" s="24">
        <v>26000</v>
      </c>
      <c r="D183" s="95"/>
      <c r="E183" s="31"/>
      <c r="F183" s="95"/>
      <c r="G183" s="95"/>
      <c r="H183" s="12"/>
    </row>
    <row r="184" spans="1:8" s="71" customFormat="1" ht="13.5" customHeight="1">
      <c r="A184" s="11" t="s">
        <v>105</v>
      </c>
      <c r="B184" s="249" t="s">
        <v>106</v>
      </c>
      <c r="C184" s="31">
        <f>SUM(C185:C186)</f>
        <v>431900</v>
      </c>
      <c r="D184" s="22"/>
      <c r="E184" s="31"/>
      <c r="F184" s="12"/>
      <c r="G184" s="95"/>
      <c r="H184" s="12"/>
    </row>
    <row r="185" spans="1:7" s="5" customFormat="1" ht="13.5" hidden="1">
      <c r="A185" s="12" t="s">
        <v>67</v>
      </c>
      <c r="B185" s="71" t="s">
        <v>68</v>
      </c>
      <c r="C185" s="24"/>
      <c r="D185" s="95"/>
      <c r="E185" s="31"/>
      <c r="F185" s="12"/>
      <c r="G185" s="95"/>
    </row>
    <row r="186" spans="1:8" s="71" customFormat="1" ht="13.5" customHeight="1">
      <c r="A186" s="12" t="s">
        <v>86</v>
      </c>
      <c r="B186" s="71" t="s">
        <v>66</v>
      </c>
      <c r="C186" s="24">
        <v>431900</v>
      </c>
      <c r="D186" s="22"/>
      <c r="E186" s="31"/>
      <c r="F186" s="12"/>
      <c r="G186" s="95"/>
      <c r="H186" s="12"/>
    </row>
    <row r="187" spans="1:8" s="71" customFormat="1" ht="13.5" customHeight="1">
      <c r="A187" s="11" t="s">
        <v>107</v>
      </c>
      <c r="B187" s="249" t="s">
        <v>108</v>
      </c>
      <c r="C187" s="31">
        <f>SUM(C188)</f>
        <v>156250</v>
      </c>
      <c r="D187" s="22"/>
      <c r="E187" s="31"/>
      <c r="F187" s="12"/>
      <c r="G187" s="95"/>
      <c r="H187" s="12"/>
    </row>
    <row r="188" spans="1:8" s="71" customFormat="1" ht="13.5" customHeight="1">
      <c r="A188" s="12" t="s">
        <v>47</v>
      </c>
      <c r="B188" s="23" t="s">
        <v>48</v>
      </c>
      <c r="C188" s="24">
        <v>156250</v>
      </c>
      <c r="D188" s="78"/>
      <c r="E188" s="25"/>
      <c r="F188" s="100"/>
      <c r="G188" s="95"/>
      <c r="H188" s="12"/>
    </row>
    <row r="189" spans="1:8" s="71" customFormat="1" ht="13.5" customHeight="1">
      <c r="A189" s="249" t="s">
        <v>119</v>
      </c>
      <c r="B189" s="25" t="s">
        <v>109</v>
      </c>
      <c r="C189" s="31">
        <f>SUM(C190:C194)</f>
        <v>121800</v>
      </c>
      <c r="D189" s="77"/>
      <c r="E189" s="25"/>
      <c r="F189" s="100"/>
      <c r="G189" s="95"/>
      <c r="H189" s="12"/>
    </row>
    <row r="190" spans="1:8" s="71" customFormat="1" ht="13.5" customHeight="1">
      <c r="A190" s="71" t="s">
        <v>149</v>
      </c>
      <c r="B190" s="23" t="s">
        <v>338</v>
      </c>
      <c r="C190" s="24">
        <v>18800</v>
      </c>
      <c r="D190" s="21"/>
      <c r="E190" s="21"/>
      <c r="F190" s="5"/>
      <c r="G190" s="333"/>
      <c r="H190" s="119"/>
    </row>
    <row r="191" spans="1:8" s="71" customFormat="1" ht="13.5" customHeight="1">
      <c r="A191" s="71" t="s">
        <v>641</v>
      </c>
      <c r="B191" s="42" t="s">
        <v>640</v>
      </c>
      <c r="C191" s="24">
        <v>10000</v>
      </c>
      <c r="D191" s="21"/>
      <c r="E191" s="21"/>
      <c r="F191" s="5"/>
      <c r="G191" s="333"/>
      <c r="H191" s="119"/>
    </row>
    <row r="192" spans="1:5" s="65" customFormat="1" ht="13.5">
      <c r="A192" s="71" t="s">
        <v>758</v>
      </c>
      <c r="B192" s="24" t="s">
        <v>753</v>
      </c>
      <c r="C192" s="24">
        <v>23000</v>
      </c>
      <c r="D192" s="77"/>
      <c r="E192" s="25"/>
    </row>
    <row r="193" spans="1:5" s="65" customFormat="1" ht="13.5">
      <c r="A193" s="71" t="s">
        <v>762</v>
      </c>
      <c r="B193" s="24" t="s">
        <v>763</v>
      </c>
      <c r="C193" s="24">
        <v>55000</v>
      </c>
      <c r="D193" s="77"/>
      <c r="E193" s="25"/>
    </row>
    <row r="194" spans="1:5" s="65" customFormat="1" ht="13.5">
      <c r="A194" s="71" t="s">
        <v>754</v>
      </c>
      <c r="B194" s="24" t="s">
        <v>755</v>
      </c>
      <c r="C194" s="24">
        <v>15000</v>
      </c>
      <c r="D194" s="77"/>
      <c r="E194" s="25"/>
    </row>
    <row r="195" spans="1:8" s="71" customFormat="1" ht="13.5" customHeight="1">
      <c r="A195" s="249" t="s">
        <v>124</v>
      </c>
      <c r="B195" s="25" t="s">
        <v>123</v>
      </c>
      <c r="C195" s="31">
        <f>SUM(C196:C197)</f>
        <v>54700</v>
      </c>
      <c r="D195" s="21"/>
      <c r="E195" s="21"/>
      <c r="F195" s="5"/>
      <c r="G195" s="333"/>
      <c r="H195" s="119"/>
    </row>
    <row r="196" spans="1:5" s="65" customFormat="1" ht="13.5">
      <c r="A196" s="12" t="s">
        <v>231</v>
      </c>
      <c r="B196" s="42" t="s">
        <v>230</v>
      </c>
      <c r="C196" s="24">
        <v>34000</v>
      </c>
      <c r="D196" s="56"/>
      <c r="E196" s="56"/>
    </row>
    <row r="197" spans="1:8" s="71" customFormat="1" ht="13.5" customHeight="1">
      <c r="A197" s="71" t="s">
        <v>93</v>
      </c>
      <c r="B197" s="23" t="s">
        <v>72</v>
      </c>
      <c r="C197" s="24">
        <v>20700</v>
      </c>
      <c r="D197" s="21"/>
      <c r="E197" s="21"/>
      <c r="F197" s="5"/>
      <c r="G197" s="333"/>
      <c r="H197" s="119"/>
    </row>
    <row r="198" spans="1:8" s="71" customFormat="1" ht="13.5" customHeight="1">
      <c r="A198" s="249" t="s">
        <v>150</v>
      </c>
      <c r="B198" s="25" t="s">
        <v>125</v>
      </c>
      <c r="C198" s="31">
        <f>SUM(C199:C199)</f>
        <v>22300</v>
      </c>
      <c r="D198" s="21"/>
      <c r="E198" s="21"/>
      <c r="F198" s="5"/>
      <c r="G198" s="333"/>
      <c r="H198" s="119"/>
    </row>
    <row r="199" spans="1:7" s="5" customFormat="1" ht="13.5">
      <c r="A199" s="71" t="s">
        <v>154</v>
      </c>
      <c r="B199" s="23" t="s">
        <v>125</v>
      </c>
      <c r="C199" s="24">
        <v>22300</v>
      </c>
      <c r="D199" s="77"/>
      <c r="E199" s="25"/>
      <c r="F199" s="281"/>
      <c r="G199" s="95"/>
    </row>
    <row r="200" spans="1:7" s="5" customFormat="1" ht="14.25" thickBot="1">
      <c r="A200" s="71"/>
      <c r="B200" s="23"/>
      <c r="C200" s="23"/>
      <c r="D200" s="77"/>
      <c r="E200" s="25"/>
      <c r="F200" s="281"/>
      <c r="G200" s="95"/>
    </row>
    <row r="201" spans="1:8" s="71" customFormat="1" ht="13.5" customHeight="1" thickBot="1">
      <c r="A201" s="994" t="s">
        <v>3</v>
      </c>
      <c r="B201" s="995"/>
      <c r="C201" s="603">
        <f>+C202+C204+C207+C209+C211</f>
        <v>1176150</v>
      </c>
      <c r="D201" s="21"/>
      <c r="E201" s="21"/>
      <c r="F201" s="5"/>
      <c r="G201" s="333"/>
      <c r="H201" s="24"/>
    </row>
    <row r="202" spans="1:9" s="71" customFormat="1" ht="13.5" customHeight="1">
      <c r="A202" s="11" t="s">
        <v>110</v>
      </c>
      <c r="B202" s="11" t="s">
        <v>111</v>
      </c>
      <c r="C202" s="31">
        <f>SUM(C203)</f>
        <v>25000</v>
      </c>
      <c r="G202" s="77"/>
      <c r="H202" s="25"/>
      <c r="I202" s="100"/>
    </row>
    <row r="203" spans="1:8" s="71" customFormat="1" ht="13.5" customHeight="1">
      <c r="A203" s="12" t="s">
        <v>52</v>
      </c>
      <c r="B203" s="12" t="s">
        <v>15</v>
      </c>
      <c r="C203" s="24">
        <v>25000</v>
      </c>
      <c r="D203" s="78"/>
      <c r="E203" s="31"/>
      <c r="F203" s="100"/>
      <c r="G203" s="95"/>
      <c r="H203" s="12"/>
    </row>
    <row r="204" spans="1:12" s="5" customFormat="1" ht="13.5">
      <c r="A204" s="11" t="s">
        <v>120</v>
      </c>
      <c r="B204" s="25" t="s">
        <v>121</v>
      </c>
      <c r="C204" s="31">
        <f>SUM(C205:C206)</f>
        <v>62800</v>
      </c>
      <c r="D204" s="25"/>
      <c r="E204" s="38"/>
      <c r="F204" s="117"/>
      <c r="G204" s="334"/>
      <c r="H204" s="142"/>
      <c r="I204" s="142"/>
      <c r="J204" s="142"/>
      <c r="K204" s="142"/>
      <c r="L204" s="142"/>
    </row>
    <row r="205" spans="1:9" s="65" customFormat="1" ht="13.5" customHeight="1">
      <c r="A205" s="58" t="s">
        <v>140</v>
      </c>
      <c r="B205" s="42" t="s">
        <v>141</v>
      </c>
      <c r="C205" s="59">
        <v>40000</v>
      </c>
      <c r="G205" s="59"/>
      <c r="H205" s="56"/>
      <c r="I205" s="56"/>
    </row>
    <row r="206" spans="1:8" s="71" customFormat="1" ht="13.5" customHeight="1">
      <c r="A206" s="12" t="s">
        <v>136</v>
      </c>
      <c r="B206" s="12" t="s">
        <v>71</v>
      </c>
      <c r="C206" s="24">
        <v>22800</v>
      </c>
      <c r="D206" s="77"/>
      <c r="E206" s="25"/>
      <c r="F206" s="217"/>
      <c r="G206" s="95"/>
      <c r="H206" s="24"/>
    </row>
    <row r="207" spans="1:8" s="71" customFormat="1" ht="13.5" customHeight="1">
      <c r="A207" s="249" t="s">
        <v>112</v>
      </c>
      <c r="B207" s="11" t="s">
        <v>156</v>
      </c>
      <c r="C207" s="31">
        <f>SUM(C208:C208)</f>
        <v>690000</v>
      </c>
      <c r="D207" s="78"/>
      <c r="E207" s="25"/>
      <c r="F207" s="100"/>
      <c r="G207" s="95"/>
      <c r="H207" s="12"/>
    </row>
    <row r="208" spans="1:7" s="142" customFormat="1" ht="13.5">
      <c r="A208" s="71" t="s">
        <v>49</v>
      </c>
      <c r="B208" s="23" t="s">
        <v>87</v>
      </c>
      <c r="C208" s="24">
        <v>690000</v>
      </c>
      <c r="D208" s="24"/>
      <c r="G208" s="334"/>
    </row>
    <row r="209" spans="1:7" s="142" customFormat="1" ht="13.5">
      <c r="A209" s="249" t="s">
        <v>132</v>
      </c>
      <c r="B209" s="25" t="s">
        <v>56</v>
      </c>
      <c r="C209" s="31">
        <f>SUM(C210)</f>
        <v>47500</v>
      </c>
      <c r="D209" s="24"/>
      <c r="E209" s="117"/>
      <c r="F209" s="117"/>
      <c r="G209" s="334"/>
    </row>
    <row r="210" spans="1:7" s="142" customFormat="1" ht="13.5">
      <c r="A210" s="71" t="s">
        <v>55</v>
      </c>
      <c r="B210" s="71" t="s">
        <v>56</v>
      </c>
      <c r="C210" s="24">
        <v>47500</v>
      </c>
      <c r="D210" s="24"/>
      <c r="E210" s="117"/>
      <c r="F210" s="117"/>
      <c r="G210" s="334"/>
    </row>
    <row r="211" spans="1:7" s="142" customFormat="1" ht="13.5">
      <c r="A211" s="249" t="s">
        <v>115</v>
      </c>
      <c r="B211" s="25" t="s">
        <v>8</v>
      </c>
      <c r="C211" s="31">
        <f>SUM(C212:C213)</f>
        <v>350850</v>
      </c>
      <c r="D211" s="24"/>
      <c r="E211" s="117"/>
      <c r="F211" s="117"/>
      <c r="G211" s="334"/>
    </row>
    <row r="212" spans="1:12" s="142" customFormat="1" ht="13.5">
      <c r="A212" s="71" t="s">
        <v>89</v>
      </c>
      <c r="B212" s="23" t="s">
        <v>8</v>
      </c>
      <c r="C212" s="24">
        <v>148000</v>
      </c>
      <c r="D212" s="24"/>
      <c r="E212" s="117"/>
      <c r="F212" s="117"/>
      <c r="G212" s="333"/>
      <c r="H212" s="5"/>
      <c r="I212" s="5"/>
      <c r="J212" s="5"/>
      <c r="K212" s="5"/>
      <c r="L212" s="5"/>
    </row>
    <row r="213" spans="1:12" s="5" customFormat="1" ht="13.5">
      <c r="A213" s="71" t="s">
        <v>90</v>
      </c>
      <c r="B213" s="23" t="s">
        <v>7</v>
      </c>
      <c r="C213" s="24">
        <v>202850</v>
      </c>
      <c r="D213" s="31"/>
      <c r="E213" s="38"/>
      <c r="F213" s="117"/>
      <c r="G213" s="334"/>
      <c r="H213" s="142"/>
      <c r="I213" s="142"/>
      <c r="J213" s="142"/>
      <c r="K213" s="142"/>
      <c r="L213" s="142"/>
    </row>
    <row r="214" spans="1:8" s="71" customFormat="1" ht="13.5" customHeight="1" thickBot="1">
      <c r="A214" s="12"/>
      <c r="B214" s="12"/>
      <c r="C214" s="24"/>
      <c r="D214" s="77"/>
      <c r="E214" s="25"/>
      <c r="F214" s="217"/>
      <c r="G214" s="95"/>
      <c r="H214" s="24"/>
    </row>
    <row r="215" spans="1:7" s="5" customFormat="1" ht="14.25" thickBot="1">
      <c r="A215" s="996" t="s">
        <v>4</v>
      </c>
      <c r="B215" s="997"/>
      <c r="C215" s="605">
        <f>(C216+C220)</f>
        <v>187400</v>
      </c>
      <c r="D215" s="21"/>
      <c r="E215" s="21"/>
      <c r="G215" s="333"/>
    </row>
    <row r="216" spans="1:7" s="5" customFormat="1" ht="13.5">
      <c r="A216" s="249" t="s">
        <v>116</v>
      </c>
      <c r="B216" s="249" t="s">
        <v>117</v>
      </c>
      <c r="C216" s="31">
        <f>SUM(C217:C219)</f>
        <v>170000</v>
      </c>
      <c r="D216" s="23"/>
      <c r="E216" s="21"/>
      <c r="G216" s="333"/>
    </row>
    <row r="217" spans="1:7" s="5" customFormat="1" ht="13.5">
      <c r="A217" s="71" t="s">
        <v>91</v>
      </c>
      <c r="B217" s="71" t="s">
        <v>139</v>
      </c>
      <c r="C217" s="24">
        <v>75000</v>
      </c>
      <c r="D217" s="21"/>
      <c r="E217" s="21"/>
      <c r="G217" s="333"/>
    </row>
    <row r="218" spans="1:7" s="5" customFormat="1" ht="13.5">
      <c r="A218" s="71" t="s">
        <v>57</v>
      </c>
      <c r="B218" s="71" t="s">
        <v>58</v>
      </c>
      <c r="C218" s="24">
        <v>60000</v>
      </c>
      <c r="D218" s="21"/>
      <c r="E218" s="21"/>
      <c r="G218" s="333"/>
    </row>
    <row r="219" spans="1:8" s="8" customFormat="1" ht="13.5" customHeight="1">
      <c r="A219" s="71" t="s">
        <v>756</v>
      </c>
      <c r="B219" s="23" t="s">
        <v>757</v>
      </c>
      <c r="C219" s="24">
        <v>35000</v>
      </c>
      <c r="D219" s="77"/>
      <c r="E219" s="25"/>
      <c r="F219" s="98"/>
      <c r="G219" s="54"/>
      <c r="H219" s="42"/>
    </row>
    <row r="220" spans="1:7" s="5" customFormat="1" ht="13.5">
      <c r="A220" s="249" t="s">
        <v>165</v>
      </c>
      <c r="B220" s="25" t="s">
        <v>135</v>
      </c>
      <c r="C220" s="31">
        <f>SUM(C221)</f>
        <v>17400</v>
      </c>
      <c r="D220" s="21"/>
      <c r="E220" s="21"/>
      <c r="G220" s="333"/>
    </row>
    <row r="221" spans="1:7" s="5" customFormat="1" ht="13.5">
      <c r="A221" s="71" t="s">
        <v>166</v>
      </c>
      <c r="B221" s="23" t="s">
        <v>51</v>
      </c>
      <c r="C221" s="24">
        <v>17400</v>
      </c>
      <c r="D221" s="23"/>
      <c r="E221" s="21"/>
      <c r="G221" s="333"/>
    </row>
    <row r="223" ht="13.5" thickBot="1"/>
    <row r="224" spans="1:11" s="125" customFormat="1" ht="13.5">
      <c r="A224" s="1124" t="s">
        <v>953</v>
      </c>
      <c r="B224" s="1125"/>
      <c r="C224" s="1126"/>
      <c r="D224" s="627" t="s">
        <v>6</v>
      </c>
      <c r="E224" s="757" t="s">
        <v>1011</v>
      </c>
      <c r="F224" s="127"/>
      <c r="G224" s="126"/>
      <c r="H224" s="126"/>
      <c r="I224" s="126"/>
      <c r="J224" s="126"/>
      <c r="K224" s="126"/>
    </row>
    <row r="225" spans="1:11" s="125" customFormat="1" ht="14.25" thickBot="1">
      <c r="A225" s="1127"/>
      <c r="B225" s="1128"/>
      <c r="C225" s="1129"/>
      <c r="D225" s="630"/>
      <c r="E225" s="653"/>
      <c r="F225" s="127"/>
      <c r="G225" s="126"/>
      <c r="H225" s="126"/>
      <c r="I225" s="126"/>
      <c r="J225" s="126"/>
      <c r="K225" s="126"/>
    </row>
    <row r="226" spans="1:11" s="854" customFormat="1" ht="39.75" customHeight="1" thickBot="1">
      <c r="A226" s="1021" t="s">
        <v>954</v>
      </c>
      <c r="B226" s="1022"/>
      <c r="C226" s="1022"/>
      <c r="D226" s="1022"/>
      <c r="E226" s="1023"/>
      <c r="F226" s="852"/>
      <c r="G226" s="853"/>
      <c r="H226" s="853"/>
      <c r="I226" s="853"/>
      <c r="J226" s="853"/>
      <c r="K226" s="853"/>
    </row>
    <row r="227" spans="1:11" s="125" customFormat="1" ht="13.5">
      <c r="A227" s="116" t="s">
        <v>809</v>
      </c>
      <c r="B227" s="167"/>
      <c r="C227" s="400"/>
      <c r="D227" s="400"/>
      <c r="E227" s="402"/>
      <c r="F227" s="127"/>
      <c r="G227" s="126"/>
      <c r="H227" s="126"/>
      <c r="I227" s="126"/>
      <c r="J227" s="126"/>
      <c r="K227" s="126"/>
    </row>
    <row r="228" spans="1:11" s="125" customFormat="1" ht="13.5">
      <c r="A228" s="40" t="s">
        <v>577</v>
      </c>
      <c r="B228" s="12"/>
      <c r="C228" s="24"/>
      <c r="D228" s="24"/>
      <c r="E228" s="303"/>
      <c r="F228" s="127"/>
      <c r="G228" s="126"/>
      <c r="H228" s="126"/>
      <c r="I228" s="126"/>
      <c r="J228" s="126"/>
      <c r="K228" s="126"/>
    </row>
    <row r="229" spans="1:11" s="125" customFormat="1" ht="13.5">
      <c r="A229" s="40" t="s">
        <v>580</v>
      </c>
      <c r="B229" s="12"/>
      <c r="C229" s="24"/>
      <c r="D229" s="24"/>
      <c r="E229" s="303"/>
      <c r="F229" s="127"/>
      <c r="G229" s="126"/>
      <c r="H229" s="126"/>
      <c r="I229" s="126"/>
      <c r="J229" s="126"/>
      <c r="K229" s="126"/>
    </row>
    <row r="230" spans="1:11" s="125" customFormat="1" ht="14.25" thickBot="1">
      <c r="A230" s="75" t="s">
        <v>13</v>
      </c>
      <c r="B230" s="135"/>
      <c r="C230" s="360"/>
      <c r="D230" s="360"/>
      <c r="E230" s="361"/>
      <c r="F230" s="127"/>
      <c r="G230" s="126"/>
      <c r="H230" s="126"/>
      <c r="I230" s="126"/>
      <c r="J230" s="126"/>
      <c r="K230" s="126"/>
    </row>
    <row r="231" spans="1:11" s="125" customFormat="1" ht="14.25" thickBot="1">
      <c r="A231" s="697" t="s">
        <v>14</v>
      </c>
      <c r="B231" s="698"/>
      <c r="C231" s="699"/>
      <c r="D231" s="701"/>
      <c r="E231" s="707">
        <f>+C233+C242+C254</f>
        <v>4367600</v>
      </c>
      <c r="F231" s="565"/>
      <c r="G231" s="126"/>
      <c r="H231" s="126"/>
      <c r="I231" s="126"/>
      <c r="J231" s="126"/>
      <c r="K231" s="126"/>
    </row>
    <row r="232" spans="1:11" s="125" customFormat="1" ht="14.25" thickBot="1">
      <c r="A232" s="11"/>
      <c r="B232" s="11"/>
      <c r="C232" s="31"/>
      <c r="D232" s="31"/>
      <c r="E232" s="3"/>
      <c r="F232" s="127"/>
      <c r="G232" s="126"/>
      <c r="H232" s="126"/>
      <c r="I232" s="126"/>
      <c r="J232" s="126"/>
      <c r="K232" s="126"/>
    </row>
    <row r="233" spans="1:11" s="125" customFormat="1" ht="14.25" thickBot="1">
      <c r="A233" s="992" t="s">
        <v>2</v>
      </c>
      <c r="B233" s="993"/>
      <c r="C233" s="602">
        <f>(C234+C236+C239)</f>
        <v>63750</v>
      </c>
      <c r="D233" s="18"/>
      <c r="E233" s="3"/>
      <c r="F233" s="127"/>
      <c r="G233" s="126"/>
      <c r="H233" s="126"/>
      <c r="I233" s="126"/>
      <c r="J233" s="126"/>
      <c r="K233" s="126"/>
    </row>
    <row r="234" spans="1:11" s="125" customFormat="1" ht="13.5">
      <c r="A234" s="11" t="s">
        <v>107</v>
      </c>
      <c r="B234" s="249" t="s">
        <v>108</v>
      </c>
      <c r="C234" s="32">
        <f>SUM(C235)</f>
        <v>16500</v>
      </c>
      <c r="D234" s="331"/>
      <c r="E234" s="332"/>
      <c r="F234" s="127"/>
      <c r="G234" s="126"/>
      <c r="H234" s="126"/>
      <c r="I234" s="126"/>
      <c r="J234" s="126"/>
      <c r="K234" s="126"/>
    </row>
    <row r="235" spans="1:11" s="125" customFormat="1" ht="13.5">
      <c r="A235" s="12" t="s">
        <v>47</v>
      </c>
      <c r="B235" s="23" t="s">
        <v>48</v>
      </c>
      <c r="C235" s="24">
        <v>16500</v>
      </c>
      <c r="D235" s="21"/>
      <c r="E235" s="21"/>
      <c r="F235" s="127"/>
      <c r="G235" s="126"/>
      <c r="H235" s="126"/>
      <c r="I235" s="126"/>
      <c r="J235" s="126"/>
      <c r="K235" s="126"/>
    </row>
    <row r="236" spans="1:11" s="125" customFormat="1" ht="13.5">
      <c r="A236" s="249" t="s">
        <v>119</v>
      </c>
      <c r="B236" s="25" t="s">
        <v>109</v>
      </c>
      <c r="C236" s="31">
        <f>SUM(C237:C238)</f>
        <v>36000</v>
      </c>
      <c r="D236" s="21"/>
      <c r="E236" s="21"/>
      <c r="F236" s="127"/>
      <c r="G236" s="126"/>
      <c r="H236" s="126"/>
      <c r="I236" s="126"/>
      <c r="J236" s="126"/>
      <c r="K236" s="126"/>
    </row>
    <row r="237" spans="1:11" s="125" customFormat="1" ht="13.5">
      <c r="A237" s="71" t="s">
        <v>149</v>
      </c>
      <c r="B237" s="23" t="s">
        <v>338</v>
      </c>
      <c r="C237" s="24">
        <v>11000</v>
      </c>
      <c r="D237" s="21"/>
      <c r="E237" s="21"/>
      <c r="F237" s="127"/>
      <c r="G237" s="126"/>
      <c r="H237" s="126"/>
      <c r="I237" s="126"/>
      <c r="J237" s="126"/>
      <c r="K237" s="126"/>
    </row>
    <row r="238" spans="1:11" s="125" customFormat="1" ht="13.5">
      <c r="A238" s="12" t="s">
        <v>545</v>
      </c>
      <c r="B238" s="42" t="s">
        <v>558</v>
      </c>
      <c r="C238" s="24">
        <v>25000</v>
      </c>
      <c r="D238" s="77"/>
      <c r="E238" s="25"/>
      <c r="F238" s="127"/>
      <c r="G238" s="126"/>
      <c r="H238" s="126"/>
      <c r="I238" s="126"/>
      <c r="J238" s="126"/>
      <c r="K238" s="126"/>
    </row>
    <row r="239" spans="1:11" s="125" customFormat="1" ht="13.5">
      <c r="A239" s="249" t="s">
        <v>150</v>
      </c>
      <c r="B239" s="25" t="s">
        <v>125</v>
      </c>
      <c r="C239" s="31">
        <f>SUM(C240:C240)</f>
        <v>11250</v>
      </c>
      <c r="D239" s="21"/>
      <c r="E239" s="21"/>
      <c r="F239" s="127"/>
      <c r="G239" s="126"/>
      <c r="H239" s="126"/>
      <c r="I239" s="126"/>
      <c r="J239" s="126"/>
      <c r="K239" s="126"/>
    </row>
    <row r="240" spans="1:11" s="125" customFormat="1" ht="13.5">
      <c r="A240" s="71" t="s">
        <v>154</v>
      </c>
      <c r="B240" s="23" t="s">
        <v>133</v>
      </c>
      <c r="C240" s="24">
        <v>11250</v>
      </c>
      <c r="D240" s="21"/>
      <c r="E240" s="21"/>
      <c r="F240" s="127"/>
      <c r="G240" s="126"/>
      <c r="H240" s="126"/>
      <c r="I240" s="126"/>
      <c r="J240" s="126"/>
      <c r="K240" s="126"/>
    </row>
    <row r="241" spans="1:11" s="125" customFormat="1" ht="14.25" thickBot="1">
      <c r="A241" s="71"/>
      <c r="B241" s="23"/>
      <c r="C241" s="23"/>
      <c r="D241" s="21"/>
      <c r="E241" s="21"/>
      <c r="F241" s="127"/>
      <c r="G241" s="126"/>
      <c r="H241" s="126"/>
      <c r="I241" s="126"/>
      <c r="J241" s="126"/>
      <c r="K241" s="126"/>
    </row>
    <row r="242" spans="1:11" s="125" customFormat="1" ht="14.25" thickBot="1">
      <c r="A242" s="994" t="s">
        <v>3</v>
      </c>
      <c r="B242" s="995"/>
      <c r="C242" s="603">
        <f>(C243+C245+C249)</f>
        <v>4222150</v>
      </c>
      <c r="D242" s="21"/>
      <c r="E242" s="21"/>
      <c r="F242" s="127"/>
      <c r="G242" s="126"/>
      <c r="H242" s="126"/>
      <c r="I242" s="126"/>
      <c r="J242" s="126"/>
      <c r="K242" s="126"/>
    </row>
    <row r="243" spans="1:11" s="125" customFormat="1" ht="13.5">
      <c r="A243" s="11" t="s">
        <v>120</v>
      </c>
      <c r="B243" s="25" t="s">
        <v>121</v>
      </c>
      <c r="C243" s="31">
        <f>SUM(C244:C244)</f>
        <v>28250</v>
      </c>
      <c r="D243" s="12"/>
      <c r="E243" s="12"/>
      <c r="F243" s="127"/>
      <c r="G243" s="126"/>
      <c r="H243" s="126"/>
      <c r="I243" s="126"/>
      <c r="J243" s="126"/>
      <c r="K243" s="126"/>
    </row>
    <row r="244" spans="1:11" s="125" customFormat="1" ht="13.5">
      <c r="A244" s="12" t="s">
        <v>136</v>
      </c>
      <c r="B244" s="12" t="s">
        <v>71</v>
      </c>
      <c r="C244" s="24">
        <f>23250+5000</f>
        <v>28250</v>
      </c>
      <c r="D244" s="71"/>
      <c r="E244" s="71"/>
      <c r="F244" s="127"/>
      <c r="G244" s="126"/>
      <c r="H244" s="126"/>
      <c r="I244" s="126"/>
      <c r="J244" s="126"/>
      <c r="K244" s="126"/>
    </row>
    <row r="245" spans="1:11" s="125" customFormat="1" ht="13.5">
      <c r="A245" s="249" t="s">
        <v>112</v>
      </c>
      <c r="B245" s="11" t="s">
        <v>156</v>
      </c>
      <c r="C245" s="31">
        <f>SUM(C246:C248)</f>
        <v>2661000</v>
      </c>
      <c r="D245" s="71"/>
      <c r="E245" s="71"/>
      <c r="F245" s="127"/>
      <c r="G245" s="126"/>
      <c r="H245" s="126"/>
      <c r="I245" s="126"/>
      <c r="J245" s="126"/>
      <c r="K245" s="126"/>
    </row>
    <row r="246" spans="1:11" s="125" customFormat="1" ht="13.5">
      <c r="A246" s="12" t="s">
        <v>138</v>
      </c>
      <c r="B246" s="12" t="s">
        <v>137</v>
      </c>
      <c r="C246" s="24">
        <v>18000</v>
      </c>
      <c r="D246" s="71"/>
      <c r="E246" s="71"/>
      <c r="F246" s="127"/>
      <c r="G246" s="126"/>
      <c r="H246" s="126"/>
      <c r="I246" s="126"/>
      <c r="J246" s="126"/>
      <c r="K246" s="126"/>
    </row>
    <row r="247" spans="1:11" s="125" customFormat="1" ht="13.5">
      <c r="A247" s="71" t="s">
        <v>155</v>
      </c>
      <c r="B247" s="12" t="s">
        <v>87</v>
      </c>
      <c r="C247" s="24">
        <v>343000</v>
      </c>
      <c r="D247" s="71"/>
      <c r="E247" s="71"/>
      <c r="F247" s="127"/>
      <c r="G247" s="126"/>
      <c r="H247" s="126"/>
      <c r="I247" s="126"/>
      <c r="J247" s="126"/>
      <c r="K247" s="126"/>
    </row>
    <row r="248" spans="1:11" s="125" customFormat="1" ht="13.5">
      <c r="A248" s="71" t="s">
        <v>638</v>
      </c>
      <c r="B248" s="42" t="s">
        <v>637</v>
      </c>
      <c r="C248" s="24">
        <v>2300000</v>
      </c>
      <c r="D248" s="71"/>
      <c r="E248" s="71"/>
      <c r="F248" s="127"/>
      <c r="G248" s="126"/>
      <c r="H248" s="126"/>
      <c r="I248" s="126"/>
      <c r="J248" s="126"/>
      <c r="K248" s="126"/>
    </row>
    <row r="249" spans="1:11" s="125" customFormat="1" ht="13.5">
      <c r="A249" s="249" t="s">
        <v>115</v>
      </c>
      <c r="B249" s="249" t="s">
        <v>8</v>
      </c>
      <c r="C249" s="31">
        <f>SUM(C250:C252)</f>
        <v>1532900</v>
      </c>
      <c r="D249" s="71"/>
      <c r="E249" s="71"/>
      <c r="F249" s="127"/>
      <c r="G249" s="126"/>
      <c r="H249" s="126"/>
      <c r="I249" s="126"/>
      <c r="J249" s="126"/>
      <c r="K249" s="126"/>
    </row>
    <row r="250" spans="1:11" s="125" customFormat="1" ht="13.5">
      <c r="A250" s="71" t="s">
        <v>89</v>
      </c>
      <c r="B250" s="71" t="s">
        <v>8</v>
      </c>
      <c r="C250" s="24">
        <v>800000</v>
      </c>
      <c r="D250" s="71"/>
      <c r="E250" s="71"/>
      <c r="F250" s="127"/>
      <c r="G250" s="126"/>
      <c r="H250" s="126"/>
      <c r="I250" s="126"/>
      <c r="J250" s="126"/>
      <c r="K250" s="126"/>
    </row>
    <row r="251" spans="1:11" s="125" customFormat="1" ht="13.5">
      <c r="A251" s="71" t="s">
        <v>182</v>
      </c>
      <c r="B251" s="71" t="s">
        <v>50</v>
      </c>
      <c r="C251" s="24">
        <v>22500</v>
      </c>
      <c r="D251" s="71"/>
      <c r="E251" s="71"/>
      <c r="F251" s="127"/>
      <c r="G251" s="126"/>
      <c r="H251" s="126"/>
      <c r="I251" s="126"/>
      <c r="J251" s="126"/>
      <c r="K251" s="126"/>
    </row>
    <row r="252" spans="1:11" s="125" customFormat="1" ht="13.5">
      <c r="A252" s="71" t="s">
        <v>90</v>
      </c>
      <c r="B252" s="71" t="s">
        <v>7</v>
      </c>
      <c r="C252" s="24">
        <v>710400</v>
      </c>
      <c r="D252" s="23"/>
      <c r="E252" s="362"/>
      <c r="F252" s="127"/>
      <c r="G252" s="126"/>
      <c r="H252" s="126"/>
      <c r="I252" s="126"/>
      <c r="J252" s="126"/>
      <c r="K252" s="126"/>
    </row>
    <row r="253" spans="1:11" s="125" customFormat="1" ht="14.25" thickBot="1">
      <c r="A253" s="71"/>
      <c r="B253" s="71"/>
      <c r="C253" s="23"/>
      <c r="D253" s="21"/>
      <c r="E253" s="21"/>
      <c r="F253" s="127"/>
      <c r="G253" s="126"/>
      <c r="H253" s="126"/>
      <c r="I253" s="126"/>
      <c r="J253" s="126"/>
      <c r="K253" s="126"/>
    </row>
    <row r="254" spans="1:11" s="125" customFormat="1" ht="14.25" thickBot="1">
      <c r="A254" s="996" t="s">
        <v>4</v>
      </c>
      <c r="B254" s="997"/>
      <c r="C254" s="605">
        <f>(C255+C258)</f>
        <v>81700</v>
      </c>
      <c r="D254" s="21"/>
      <c r="E254" s="21"/>
      <c r="F254" s="127"/>
      <c r="G254" s="126"/>
      <c r="H254" s="126"/>
      <c r="I254" s="126"/>
      <c r="J254" s="126"/>
      <c r="K254" s="126"/>
    </row>
    <row r="255" spans="1:11" s="125" customFormat="1" ht="13.5">
      <c r="A255" s="249" t="s">
        <v>116</v>
      </c>
      <c r="B255" s="249" t="s">
        <v>117</v>
      </c>
      <c r="C255" s="32">
        <f>SUM(C256:C257)</f>
        <v>46700</v>
      </c>
      <c r="D255" s="95"/>
      <c r="E255" s="95"/>
      <c r="F255" s="127"/>
      <c r="G255" s="126"/>
      <c r="H255" s="126"/>
      <c r="I255" s="126"/>
      <c r="J255" s="126"/>
      <c r="K255" s="126"/>
    </row>
    <row r="256" spans="1:11" s="125" customFormat="1" ht="13.5">
      <c r="A256" s="71" t="s">
        <v>91</v>
      </c>
      <c r="B256" s="71" t="s">
        <v>139</v>
      </c>
      <c r="C256" s="24">
        <v>18500</v>
      </c>
      <c r="D256" s="23"/>
      <c r="E256" s="23"/>
      <c r="F256" s="127"/>
      <c r="G256" s="126"/>
      <c r="H256" s="126"/>
      <c r="I256" s="126"/>
      <c r="J256" s="126"/>
      <c r="K256" s="126"/>
    </row>
    <row r="257" spans="1:11" s="125" customFormat="1" ht="13.5">
      <c r="A257" s="71" t="s">
        <v>57</v>
      </c>
      <c r="B257" s="71" t="s">
        <v>58</v>
      </c>
      <c r="C257" s="24">
        <v>28200</v>
      </c>
      <c r="D257" s="21"/>
      <c r="E257" s="21"/>
      <c r="F257" s="127"/>
      <c r="G257" s="126"/>
      <c r="H257" s="126"/>
      <c r="I257" s="126"/>
      <c r="J257" s="126"/>
      <c r="K257" s="126"/>
    </row>
    <row r="258" spans="1:11" s="125" customFormat="1" ht="13.5">
      <c r="A258" s="249" t="s">
        <v>131</v>
      </c>
      <c r="B258" s="249" t="s">
        <v>259</v>
      </c>
      <c r="C258" s="31">
        <f>SUM(C259)</f>
        <v>35000</v>
      </c>
      <c r="D258" s="23"/>
      <c r="E258" s="23"/>
      <c r="F258" s="127"/>
      <c r="G258" s="126"/>
      <c r="H258" s="126"/>
      <c r="I258" s="126"/>
      <c r="J258" s="126"/>
      <c r="K258" s="126"/>
    </row>
    <row r="259" spans="1:11" s="125" customFormat="1" ht="13.5">
      <c r="A259" s="71" t="s">
        <v>164</v>
      </c>
      <c r="B259" s="71" t="s">
        <v>259</v>
      </c>
      <c r="C259" s="24">
        <v>35000</v>
      </c>
      <c r="D259" s="5"/>
      <c r="E259" s="21"/>
      <c r="F259" s="127"/>
      <c r="G259" s="126"/>
      <c r="H259" s="126"/>
      <c r="I259" s="126"/>
      <c r="J259" s="126"/>
      <c r="K259" s="126"/>
    </row>
    <row r="261" ht="13.5" thickBot="1"/>
    <row r="262" spans="1:6" s="4" customFormat="1" ht="13.5" customHeight="1">
      <c r="A262" s="583" t="s">
        <v>609</v>
      </c>
      <c r="B262" s="625" t="s">
        <v>777</v>
      </c>
      <c r="C262" s="626"/>
      <c r="D262" s="627" t="s">
        <v>6</v>
      </c>
      <c r="E262" s="755">
        <v>1606</v>
      </c>
      <c r="F262" s="87"/>
    </row>
    <row r="263" spans="1:6" s="4" customFormat="1" ht="13.5" customHeight="1" thickBot="1">
      <c r="A263" s="587"/>
      <c r="B263" s="628"/>
      <c r="C263" s="629"/>
      <c r="D263" s="630"/>
      <c r="E263" s="631"/>
      <c r="F263" s="87"/>
    </row>
    <row r="264" spans="1:6" s="4" customFormat="1" ht="13.5" customHeight="1">
      <c r="A264" s="979" t="s">
        <v>955</v>
      </c>
      <c r="B264" s="980"/>
      <c r="C264" s="980"/>
      <c r="D264" s="980"/>
      <c r="E264" s="981"/>
      <c r="F264" s="87"/>
    </row>
    <row r="265" spans="1:6" s="4" customFormat="1" ht="13.5" customHeight="1">
      <c r="A265" s="982"/>
      <c r="B265" s="983"/>
      <c r="C265" s="983"/>
      <c r="D265" s="983"/>
      <c r="E265" s="984"/>
      <c r="F265" s="87"/>
    </row>
    <row r="266" spans="1:6" s="4" customFormat="1" ht="13.5" customHeight="1">
      <c r="A266" s="982"/>
      <c r="B266" s="983"/>
      <c r="C266" s="983"/>
      <c r="D266" s="983"/>
      <c r="E266" s="984"/>
      <c r="F266" s="87"/>
    </row>
    <row r="267" spans="1:6" s="4" customFormat="1" ht="13.5" customHeight="1" thickBot="1">
      <c r="A267" s="985"/>
      <c r="B267" s="986"/>
      <c r="C267" s="986"/>
      <c r="D267" s="986"/>
      <c r="E267" s="987"/>
      <c r="F267" s="87"/>
    </row>
    <row r="268" spans="1:6" s="6" customFormat="1" ht="13.5" customHeight="1">
      <c r="A268" s="40" t="s">
        <v>809</v>
      </c>
      <c r="B268" s="31"/>
      <c r="C268" s="31"/>
      <c r="D268" s="32"/>
      <c r="E268" s="41"/>
      <c r="F268" s="87"/>
    </row>
    <row r="269" spans="1:6" s="6" customFormat="1" ht="13.5" customHeight="1">
      <c r="A269" s="40" t="s">
        <v>577</v>
      </c>
      <c r="B269" s="31"/>
      <c r="C269" s="31"/>
      <c r="D269" s="32"/>
      <c r="E269" s="41"/>
      <c r="F269" s="87"/>
    </row>
    <row r="270" spans="1:6" s="6" customFormat="1" ht="13.5" customHeight="1">
      <c r="A270" s="40" t="s">
        <v>776</v>
      </c>
      <c r="B270" s="31"/>
      <c r="C270" s="31"/>
      <c r="D270" s="32"/>
      <c r="E270" s="41"/>
      <c r="F270" s="87"/>
    </row>
    <row r="271" spans="1:6" s="6" customFormat="1" ht="13.5" customHeight="1" thickBot="1">
      <c r="A271" s="40" t="s">
        <v>11</v>
      </c>
      <c r="B271" s="31"/>
      <c r="C271" s="31"/>
      <c r="D271" s="32"/>
      <c r="E271" s="41"/>
      <c r="F271" s="87"/>
    </row>
    <row r="272" spans="1:6" s="7" customFormat="1" ht="13.5" customHeight="1" thickBot="1">
      <c r="A272" s="697" t="s">
        <v>0</v>
      </c>
      <c r="B272" s="699"/>
      <c r="C272" s="699"/>
      <c r="D272" s="715"/>
      <c r="E272" s="715">
        <f>+C274+C295+C312+C308</f>
        <v>1609490</v>
      </c>
      <c r="F272" s="87"/>
    </row>
    <row r="273" spans="1:6" s="4" customFormat="1" ht="13.5" customHeight="1" thickBot="1">
      <c r="A273" s="5"/>
      <c r="B273" s="21"/>
      <c r="C273" s="21"/>
      <c r="D273" s="19"/>
      <c r="E273" s="43"/>
      <c r="F273" s="88"/>
    </row>
    <row r="274" spans="1:9" s="8" customFormat="1" ht="13.5" customHeight="1" thickBot="1">
      <c r="A274" s="992" t="s">
        <v>2</v>
      </c>
      <c r="B274" s="993"/>
      <c r="C274" s="602">
        <f>C275+C277+C279+C290+C281+C287</f>
        <v>514280</v>
      </c>
      <c r="D274" s="77"/>
      <c r="E274" s="25"/>
      <c r="F274" s="94"/>
      <c r="G274" s="54"/>
      <c r="H274" s="42"/>
      <c r="I274" s="82"/>
    </row>
    <row r="275" spans="1:9" s="42" customFormat="1" ht="13.5" customHeight="1">
      <c r="A275" s="11" t="s">
        <v>103</v>
      </c>
      <c r="B275" s="199" t="s">
        <v>104</v>
      </c>
      <c r="C275" s="31">
        <f>SUM(C276)</f>
        <v>30000</v>
      </c>
      <c r="D275" s="22"/>
      <c r="E275" s="24"/>
      <c r="F275" s="94"/>
      <c r="G275" s="54"/>
      <c r="I275" s="54"/>
    </row>
    <row r="276" spans="1:7" s="42" customFormat="1" ht="13.5" customHeight="1">
      <c r="A276" s="12" t="s">
        <v>46</v>
      </c>
      <c r="B276" s="8" t="s">
        <v>45</v>
      </c>
      <c r="C276" s="24">
        <v>30000</v>
      </c>
      <c r="E276" s="31"/>
      <c r="F276" s="95"/>
      <c r="G276" s="54"/>
    </row>
    <row r="277" spans="1:7" s="42" customFormat="1" ht="13.5" customHeight="1">
      <c r="A277" s="11" t="s">
        <v>105</v>
      </c>
      <c r="B277" s="502" t="s">
        <v>106</v>
      </c>
      <c r="C277" s="31">
        <f>SUM(C278:C278)</f>
        <v>104000</v>
      </c>
      <c r="E277" s="31"/>
      <c r="F277" s="95"/>
      <c r="G277" s="54"/>
    </row>
    <row r="278" spans="1:7" s="42" customFormat="1" ht="13.5" customHeight="1">
      <c r="A278" s="12" t="s">
        <v>86</v>
      </c>
      <c r="B278" s="8" t="s">
        <v>66</v>
      </c>
      <c r="C278" s="24">
        <v>104000</v>
      </c>
      <c r="E278" s="31"/>
      <c r="F278" s="95"/>
      <c r="G278" s="54"/>
    </row>
    <row r="279" spans="1:7" s="42" customFormat="1" ht="13.5" customHeight="1">
      <c r="A279" s="11" t="s">
        <v>107</v>
      </c>
      <c r="B279" s="502" t="s">
        <v>108</v>
      </c>
      <c r="C279" s="31">
        <f>SUM(C280)</f>
        <v>75820</v>
      </c>
      <c r="E279" s="31"/>
      <c r="F279" s="22"/>
      <c r="G279" s="54"/>
    </row>
    <row r="280" spans="1:8" s="8" customFormat="1" ht="13.5" customHeight="1">
      <c r="A280" s="12" t="s">
        <v>47</v>
      </c>
      <c r="B280" s="23" t="s">
        <v>48</v>
      </c>
      <c r="C280" s="24">
        <v>75820</v>
      </c>
      <c r="E280" s="25"/>
      <c r="F280" s="78"/>
      <c r="G280" s="54"/>
      <c r="H280" s="42"/>
    </row>
    <row r="281" spans="1:8" s="71" customFormat="1" ht="13.5" customHeight="1">
      <c r="A281" s="249" t="s">
        <v>119</v>
      </c>
      <c r="B281" s="25" t="s">
        <v>109</v>
      </c>
      <c r="C281" s="31">
        <f>SUM(C282:C286)</f>
        <v>136390</v>
      </c>
      <c r="D281" s="77"/>
      <c r="E281" s="25"/>
      <c r="F281" s="100"/>
      <c r="G281" s="95"/>
      <c r="H281" s="12"/>
    </row>
    <row r="282" spans="1:8" s="71" customFormat="1" ht="13.5" customHeight="1">
      <c r="A282" s="71" t="s">
        <v>149</v>
      </c>
      <c r="B282" s="23" t="s">
        <v>338</v>
      </c>
      <c r="C282" s="24">
        <v>14850</v>
      </c>
      <c r="D282" s="21"/>
      <c r="E282" s="21"/>
      <c r="F282" s="5"/>
      <c r="G282" s="333"/>
      <c r="H282" s="119"/>
    </row>
    <row r="283" spans="1:8" s="71" customFormat="1" ht="13.5" customHeight="1">
      <c r="A283" s="71" t="s">
        <v>641</v>
      </c>
      <c r="B283" s="42" t="s">
        <v>640</v>
      </c>
      <c r="C283" s="24">
        <v>28540</v>
      </c>
      <c r="D283" s="21"/>
      <c r="E283" s="21"/>
      <c r="F283" s="5"/>
      <c r="G283" s="333"/>
      <c r="H283" s="119"/>
    </row>
    <row r="284" spans="1:5" s="65" customFormat="1" ht="13.5">
      <c r="A284" s="71" t="s">
        <v>758</v>
      </c>
      <c r="B284" s="24" t="s">
        <v>753</v>
      </c>
      <c r="C284" s="24">
        <v>23000</v>
      </c>
      <c r="D284" s="77"/>
      <c r="E284" s="25"/>
    </row>
    <row r="285" spans="1:5" s="65" customFormat="1" ht="13.5">
      <c r="A285" s="71" t="s">
        <v>762</v>
      </c>
      <c r="B285" s="24" t="s">
        <v>763</v>
      </c>
      <c r="C285" s="24">
        <v>55000</v>
      </c>
      <c r="D285" s="77"/>
      <c r="E285" s="25"/>
    </row>
    <row r="286" spans="1:5" s="65" customFormat="1" ht="13.5">
      <c r="A286" s="71" t="s">
        <v>754</v>
      </c>
      <c r="B286" s="24" t="s">
        <v>755</v>
      </c>
      <c r="C286" s="24">
        <v>15000</v>
      </c>
      <c r="D286" s="77"/>
      <c r="E286" s="25"/>
    </row>
    <row r="287" spans="1:8" s="71" customFormat="1" ht="13.5" customHeight="1">
      <c r="A287" s="249" t="s">
        <v>124</v>
      </c>
      <c r="B287" s="25" t="s">
        <v>123</v>
      </c>
      <c r="C287" s="31">
        <f>SUM(C288:C289)</f>
        <v>61000</v>
      </c>
      <c r="D287" s="21"/>
      <c r="E287" s="21"/>
      <c r="F287" s="5"/>
      <c r="G287" s="333"/>
      <c r="H287" s="119"/>
    </row>
    <row r="288" spans="1:5" s="65" customFormat="1" ht="13.5">
      <c r="A288" s="12" t="s">
        <v>231</v>
      </c>
      <c r="B288" s="42" t="s">
        <v>230</v>
      </c>
      <c r="C288" s="24">
        <v>34000</v>
      </c>
      <c r="D288" s="56"/>
      <c r="E288" s="56"/>
    </row>
    <row r="289" spans="1:6" s="65" customFormat="1" ht="13.5">
      <c r="A289" s="71" t="s">
        <v>93</v>
      </c>
      <c r="B289" s="23" t="s">
        <v>72</v>
      </c>
      <c r="C289" s="59">
        <v>27000</v>
      </c>
      <c r="D289" s="67"/>
      <c r="E289" s="67"/>
      <c r="F289" s="67"/>
    </row>
    <row r="290" spans="1:6" s="65" customFormat="1" ht="13.5">
      <c r="A290" s="249" t="s">
        <v>150</v>
      </c>
      <c r="B290" s="25" t="s">
        <v>125</v>
      </c>
      <c r="C290" s="63">
        <f>SUM(C291:C293)</f>
        <v>107070</v>
      </c>
      <c r="D290" s="67"/>
      <c r="E290" s="67"/>
      <c r="F290" s="67"/>
    </row>
    <row r="291" spans="1:6" s="65" customFormat="1" ht="13.5">
      <c r="A291" s="71" t="s">
        <v>151</v>
      </c>
      <c r="B291" s="23" t="s">
        <v>65</v>
      </c>
      <c r="C291" s="59">
        <v>23430</v>
      </c>
      <c r="D291" s="67"/>
      <c r="E291" s="67"/>
      <c r="F291" s="67"/>
    </row>
    <row r="292" spans="1:6" s="65" customFormat="1" ht="13.5">
      <c r="A292" s="71" t="s">
        <v>152</v>
      </c>
      <c r="B292" s="23" t="s">
        <v>70</v>
      </c>
      <c r="C292" s="59">
        <v>45360</v>
      </c>
      <c r="D292" s="67"/>
      <c r="E292" s="67"/>
      <c r="F292" s="67"/>
    </row>
    <row r="293" spans="1:8" s="65" customFormat="1" ht="13.5">
      <c r="A293" s="71" t="s">
        <v>153</v>
      </c>
      <c r="B293" s="23" t="s">
        <v>133</v>
      </c>
      <c r="C293" s="59">
        <v>38280</v>
      </c>
      <c r="F293" s="67"/>
      <c r="G293" s="67"/>
      <c r="H293" s="67"/>
    </row>
    <row r="294" spans="1:8" s="8" customFormat="1" ht="13.5" customHeight="1" thickBot="1">
      <c r="A294" s="71"/>
      <c r="B294" s="23"/>
      <c r="C294" s="23"/>
      <c r="F294" s="77"/>
      <c r="G294" s="25"/>
      <c r="H294" s="93"/>
    </row>
    <row r="295" spans="1:8" s="8" customFormat="1" ht="13.5" customHeight="1" thickBot="1">
      <c r="A295" s="994" t="s">
        <v>3</v>
      </c>
      <c r="B295" s="995"/>
      <c r="C295" s="603">
        <f>C296+C298+C301+C303</f>
        <v>450510</v>
      </c>
      <c r="F295" s="77"/>
      <c r="G295" s="25"/>
      <c r="H295" s="53"/>
    </row>
    <row r="296" spans="1:8" s="8" customFormat="1" ht="13.5" customHeight="1">
      <c r="A296" s="249" t="s">
        <v>110</v>
      </c>
      <c r="B296" s="281" t="s">
        <v>111</v>
      </c>
      <c r="C296" s="31">
        <f>SUM(C297)</f>
        <v>45000</v>
      </c>
      <c r="F296" s="77"/>
      <c r="G296" s="25"/>
      <c r="H296" s="53"/>
    </row>
    <row r="297" spans="1:8" s="8" customFormat="1" ht="13.5" customHeight="1">
      <c r="A297" s="12" t="s">
        <v>52</v>
      </c>
      <c r="B297" s="24" t="s">
        <v>15</v>
      </c>
      <c r="C297" s="24">
        <v>45000</v>
      </c>
      <c r="F297" s="78"/>
      <c r="G297" s="25"/>
      <c r="H297" s="91"/>
    </row>
    <row r="298" spans="1:8" s="8" customFormat="1" ht="13.5" customHeight="1">
      <c r="A298" s="506" t="s">
        <v>120</v>
      </c>
      <c r="B298" s="507" t="s">
        <v>121</v>
      </c>
      <c r="C298" s="31">
        <f>SUM(C299:C300)</f>
        <v>32280</v>
      </c>
      <c r="F298" s="77"/>
      <c r="G298" s="25"/>
      <c r="H298" s="91"/>
    </row>
    <row r="299" spans="1:8" s="8" customFormat="1" ht="13.5" customHeight="1">
      <c r="A299" s="58" t="s">
        <v>140</v>
      </c>
      <c r="B299" s="42" t="s">
        <v>141</v>
      </c>
      <c r="C299" s="24">
        <v>20280</v>
      </c>
      <c r="F299" s="78"/>
      <c r="G299" s="25"/>
      <c r="H299" s="91"/>
    </row>
    <row r="300" spans="1:8" s="8" customFormat="1" ht="13.5" customHeight="1">
      <c r="A300" s="58" t="s">
        <v>136</v>
      </c>
      <c r="B300" s="58" t="s">
        <v>71</v>
      </c>
      <c r="C300" s="24">
        <v>12000</v>
      </c>
      <c r="G300" s="25"/>
      <c r="H300" s="91"/>
    </row>
    <row r="301" spans="1:8" s="8" customFormat="1" ht="13.5" customHeight="1">
      <c r="A301" s="506" t="s">
        <v>112</v>
      </c>
      <c r="B301" s="505" t="s">
        <v>156</v>
      </c>
      <c r="C301" s="31">
        <f>SUM(C302:C302)</f>
        <v>101430</v>
      </c>
      <c r="F301" s="77"/>
      <c r="G301" s="25"/>
      <c r="H301" s="91"/>
    </row>
    <row r="302" spans="1:8" s="8" customFormat="1" ht="13.5" customHeight="1">
      <c r="A302" s="71" t="s">
        <v>49</v>
      </c>
      <c r="B302" s="23" t="s">
        <v>87</v>
      </c>
      <c r="C302" s="24">
        <v>101430</v>
      </c>
      <c r="F302" s="95"/>
      <c r="G302" s="31"/>
      <c r="H302" s="94"/>
    </row>
    <row r="303" spans="1:8" s="8" customFormat="1" ht="13.5" customHeight="1">
      <c r="A303" s="249" t="s">
        <v>115</v>
      </c>
      <c r="B303" s="25" t="s">
        <v>8</v>
      </c>
      <c r="C303" s="31">
        <f>SUM(C304:C306)</f>
        <v>271800</v>
      </c>
      <c r="F303" s="77"/>
      <c r="G303" s="25"/>
      <c r="H303" s="91"/>
    </row>
    <row r="304" spans="1:10" s="8" customFormat="1" ht="13.5" customHeight="1">
      <c r="A304" s="71" t="s">
        <v>92</v>
      </c>
      <c r="B304" s="23" t="s">
        <v>8</v>
      </c>
      <c r="C304" s="24">
        <v>150000</v>
      </c>
      <c r="F304" s="78"/>
      <c r="G304" s="25"/>
      <c r="J304" s="82"/>
    </row>
    <row r="305" spans="1:9" s="8" customFormat="1" ht="13.5" customHeight="1">
      <c r="A305" s="71" t="s">
        <v>94</v>
      </c>
      <c r="B305" s="23" t="s">
        <v>50</v>
      </c>
      <c r="C305" s="24">
        <v>15000</v>
      </c>
      <c r="F305" s="78"/>
      <c r="G305" s="94"/>
      <c r="I305" s="82"/>
    </row>
    <row r="306" spans="1:8" s="8" customFormat="1" ht="13.5" customHeight="1">
      <c r="A306" s="71" t="s">
        <v>90</v>
      </c>
      <c r="B306" s="23" t="s">
        <v>7</v>
      </c>
      <c r="C306" s="24">
        <v>106800</v>
      </c>
      <c r="D306" s="83"/>
      <c r="E306" s="438"/>
      <c r="F306" s="94"/>
      <c r="G306" s="54"/>
      <c r="H306" s="42"/>
    </row>
    <row r="307" spans="1:8" s="8" customFormat="1" ht="13.5" customHeight="1" thickBot="1">
      <c r="A307" s="71"/>
      <c r="B307" s="23"/>
      <c r="C307" s="24"/>
      <c r="D307" s="77"/>
      <c r="E307" s="25"/>
      <c r="F307" s="94"/>
      <c r="G307" s="54"/>
      <c r="H307" s="42"/>
    </row>
    <row r="308" spans="1:9" s="293" customFormat="1" ht="13.5" customHeight="1" thickBot="1">
      <c r="A308" s="1011" t="s">
        <v>301</v>
      </c>
      <c r="B308" s="1012"/>
      <c r="C308" s="710">
        <f>(C310)</f>
        <v>500000</v>
      </c>
      <c r="D308" s="316"/>
      <c r="E308" s="286"/>
      <c r="F308" s="249"/>
      <c r="I308" s="294"/>
    </row>
    <row r="309" spans="1:9" s="293" customFormat="1" ht="13.5" customHeight="1">
      <c r="A309" s="319" t="s">
        <v>302</v>
      </c>
      <c r="B309" s="510" t="s">
        <v>323</v>
      </c>
      <c r="C309" s="286"/>
      <c r="D309" s="276"/>
      <c r="E309" s="286"/>
      <c r="F309" s="249"/>
      <c r="I309" s="294"/>
    </row>
    <row r="310" spans="1:9" s="293" customFormat="1" ht="13.5" customHeight="1">
      <c r="A310" s="12" t="s">
        <v>778</v>
      </c>
      <c r="B310" s="12" t="s">
        <v>779</v>
      </c>
      <c r="C310" s="286">
        <v>500000</v>
      </c>
      <c r="D310" s="276"/>
      <c r="E310" s="286"/>
      <c r="F310" s="249"/>
      <c r="I310" s="294"/>
    </row>
    <row r="311" spans="1:9" s="293" customFormat="1" ht="13.5" customHeight="1" thickBot="1">
      <c r="A311" s="12"/>
      <c r="B311" s="12"/>
      <c r="C311" s="286"/>
      <c r="D311" s="276"/>
      <c r="E311" s="286"/>
      <c r="F311" s="249"/>
      <c r="I311" s="294"/>
    </row>
    <row r="312" spans="1:8" s="8" customFormat="1" ht="13.5" customHeight="1" thickBot="1">
      <c r="A312" s="996" t="s">
        <v>4</v>
      </c>
      <c r="B312" s="997"/>
      <c r="C312" s="605">
        <f>+C313+C317</f>
        <v>144700</v>
      </c>
      <c r="D312" s="77"/>
      <c r="E312" s="25"/>
      <c r="F312" s="94"/>
      <c r="G312" s="54"/>
      <c r="H312" s="42"/>
    </row>
    <row r="313" spans="1:7" s="42" customFormat="1" ht="13.5" customHeight="1">
      <c r="A313" s="249" t="s">
        <v>116</v>
      </c>
      <c r="B313" s="199" t="s">
        <v>117</v>
      </c>
      <c r="C313" s="31">
        <f>SUM(C314:C316)</f>
        <v>129700</v>
      </c>
      <c r="D313" s="22"/>
      <c r="E313" s="24"/>
      <c r="F313" s="94"/>
      <c r="G313" s="54"/>
    </row>
    <row r="314" spans="1:8" s="8" customFormat="1" ht="13.5" customHeight="1">
      <c r="A314" s="71" t="s">
        <v>91</v>
      </c>
      <c r="B314" s="23" t="s">
        <v>9</v>
      </c>
      <c r="C314" s="24">
        <v>70000</v>
      </c>
      <c r="D314" s="77"/>
      <c r="E314" s="25"/>
      <c r="F314" s="94"/>
      <c r="G314" s="54"/>
      <c r="H314" s="42"/>
    </row>
    <row r="315" spans="1:8" s="8" customFormat="1" ht="13.5" customHeight="1">
      <c r="A315" s="71" t="s">
        <v>57</v>
      </c>
      <c r="B315" s="23" t="s">
        <v>58</v>
      </c>
      <c r="C315" s="24">
        <v>35700</v>
      </c>
      <c r="D315" s="77"/>
      <c r="E315" s="25"/>
      <c r="F315" s="53"/>
      <c r="G315" s="72"/>
      <c r="H315" s="42"/>
    </row>
    <row r="316" spans="1:8" s="8" customFormat="1" ht="13.5" customHeight="1">
      <c r="A316" s="71" t="s">
        <v>756</v>
      </c>
      <c r="B316" s="23" t="s">
        <v>757</v>
      </c>
      <c r="C316" s="24">
        <v>24000</v>
      </c>
      <c r="D316" s="77"/>
      <c r="E316" s="25"/>
      <c r="F316" s="98"/>
      <c r="G316" s="54"/>
      <c r="H316" s="42"/>
    </row>
    <row r="317" spans="1:8" s="8" customFormat="1" ht="13.5" customHeight="1">
      <c r="A317" s="249" t="s">
        <v>165</v>
      </c>
      <c r="B317" s="25" t="s">
        <v>135</v>
      </c>
      <c r="C317" s="31">
        <f>SUM(C318)</f>
        <v>15000</v>
      </c>
      <c r="D317" s="77"/>
      <c r="E317" s="25"/>
      <c r="F317" s="94"/>
      <c r="G317" s="54"/>
      <c r="H317" s="42"/>
    </row>
    <row r="318" spans="1:8" s="8" customFormat="1" ht="13.5" customHeight="1">
      <c r="A318" s="71" t="s">
        <v>166</v>
      </c>
      <c r="B318" s="23" t="s">
        <v>51</v>
      </c>
      <c r="C318" s="24">
        <v>15000</v>
      </c>
      <c r="D318" s="77"/>
      <c r="E318" s="25"/>
      <c r="F318" s="94"/>
      <c r="G318" s="54"/>
      <c r="H318" s="42"/>
    </row>
  </sheetData>
  <sheetProtection sheet="1" objects="1" scenarios="1" sort="0" autoFilter="0"/>
  <mergeCells count="34">
    <mergeCell ref="A308:B308"/>
    <mergeCell ref="A312:B312"/>
    <mergeCell ref="A233:B233"/>
    <mergeCell ref="A242:B242"/>
    <mergeCell ref="A254:B254"/>
    <mergeCell ref="A264:E267"/>
    <mergeCell ref="A274:B274"/>
    <mergeCell ref="A295:B295"/>
    <mergeCell ref="A88:B88"/>
    <mergeCell ref="A101:B101"/>
    <mergeCell ref="A114:B114"/>
    <mergeCell ref="A126:E128"/>
    <mergeCell ref="A135:B135"/>
    <mergeCell ref="A148:B148"/>
    <mergeCell ref="A51:B52"/>
    <mergeCell ref="A53:D57"/>
    <mergeCell ref="A64:B65"/>
    <mergeCell ref="A66:D67"/>
    <mergeCell ref="A75:C76"/>
    <mergeCell ref="A77:E81"/>
    <mergeCell ref="A5:C6"/>
    <mergeCell ref="A7:E10"/>
    <mergeCell ref="A17:B17"/>
    <mergeCell ref="A28:B28"/>
    <mergeCell ref="A38:B39"/>
    <mergeCell ref="A40:D44"/>
    <mergeCell ref="A224:C225"/>
    <mergeCell ref="A226:E226"/>
    <mergeCell ref="A161:B161"/>
    <mergeCell ref="A168:C169"/>
    <mergeCell ref="A170:E174"/>
    <mergeCell ref="A181:B181"/>
    <mergeCell ref="A201:B201"/>
    <mergeCell ref="A215:B215"/>
  </mergeCells>
  <printOptions/>
  <pageMargins left="0.7" right="0.7" top="0.75" bottom="0.75" header="0.3" footer="0.3"/>
  <pageSetup orientation="portrait" paperSize="9" r:id="rId1"/>
</worksheet>
</file>

<file path=xl/worksheets/sheet7.xml><?xml version="1.0" encoding="utf-8"?>
<worksheet xmlns="http://schemas.openxmlformats.org/spreadsheetml/2006/main" xmlns:r="http://schemas.openxmlformats.org/officeDocument/2006/relationships">
  <sheetPr>
    <tabColor theme="2" tint="-0.4999699890613556"/>
  </sheetPr>
  <dimension ref="A1:L463"/>
  <sheetViews>
    <sheetView zoomScalePageLayoutView="0" workbookViewId="0" topLeftCell="A55">
      <selection activeCell="F20" sqref="F20"/>
    </sheetView>
  </sheetViews>
  <sheetFormatPr defaultColWidth="11.421875" defaultRowHeight="12.75"/>
  <cols>
    <col min="1" max="1" width="9.7109375" style="3" customWidth="1"/>
    <col min="2" max="2" width="44.28125" style="3" customWidth="1"/>
    <col min="3" max="3" width="17.28125" style="18" customWidth="1"/>
    <col min="4" max="4" width="15.8515625" style="18" customWidth="1"/>
    <col min="5" max="5" width="17.57421875" style="18" bestFit="1" customWidth="1"/>
    <col min="6" max="6" width="18.8515625" style="3" customWidth="1"/>
    <col min="7" max="7" width="17.7109375" style="3" customWidth="1"/>
    <col min="8" max="16384" width="11.421875" style="3" customWidth="1"/>
  </cols>
  <sheetData>
    <row r="1" spans="1:7" ht="15.75">
      <c r="A1" s="460"/>
      <c r="B1" s="787" t="s">
        <v>979</v>
      </c>
      <c r="F1" s="797"/>
      <c r="G1" s="789"/>
    </row>
    <row r="2" spans="1:7" ht="12.75">
      <c r="A2" s="74"/>
      <c r="G2" s="324"/>
    </row>
    <row r="3" ht="13.5" thickBot="1">
      <c r="G3" s="324"/>
    </row>
    <row r="4" spans="1:7" ht="12.75">
      <c r="A4" s="988" t="s">
        <v>956</v>
      </c>
      <c r="B4" s="1009"/>
      <c r="C4" s="989"/>
      <c r="D4" s="627" t="s">
        <v>6</v>
      </c>
      <c r="E4" s="757" t="s">
        <v>807</v>
      </c>
      <c r="G4" s="324"/>
    </row>
    <row r="5" spans="1:7" ht="13.5" thickBot="1">
      <c r="A5" s="990"/>
      <c r="B5" s="1010"/>
      <c r="C5" s="991"/>
      <c r="D5" s="744"/>
      <c r="E5" s="745"/>
      <c r="G5" s="324"/>
    </row>
    <row r="6" spans="1:7" ht="12.75">
      <c r="A6" s="1021" t="s">
        <v>957</v>
      </c>
      <c r="B6" s="1022"/>
      <c r="C6" s="1022"/>
      <c r="D6" s="1022"/>
      <c r="E6" s="1023"/>
      <c r="G6" s="324"/>
    </row>
    <row r="7" spans="1:8" ht="12.75">
      <c r="A7" s="1024"/>
      <c r="B7" s="1025"/>
      <c r="C7" s="1025"/>
      <c r="D7" s="1025"/>
      <c r="E7" s="1026"/>
      <c r="G7" s="580"/>
      <c r="H7" s="1"/>
    </row>
    <row r="8" spans="1:8" ht="12.75">
      <c r="A8" s="746" t="s">
        <v>337</v>
      </c>
      <c r="B8" s="142"/>
      <c r="C8" s="117"/>
      <c r="D8" s="117"/>
      <c r="E8" s="300"/>
      <c r="G8" s="580"/>
      <c r="H8" s="1"/>
    </row>
    <row r="9" spans="1:8" s="10" customFormat="1" ht="13.5">
      <c r="A9" s="746" t="s">
        <v>619</v>
      </c>
      <c r="B9" s="142"/>
      <c r="C9" s="117"/>
      <c r="D9" s="117"/>
      <c r="E9" s="300"/>
      <c r="F9" s="3"/>
      <c r="G9" s="580"/>
      <c r="H9" s="187"/>
    </row>
    <row r="10" spans="1:8" s="10" customFormat="1" ht="13.5">
      <c r="A10" s="746" t="s">
        <v>631</v>
      </c>
      <c r="B10" s="142"/>
      <c r="C10" s="117"/>
      <c r="D10" s="117"/>
      <c r="E10" s="300"/>
      <c r="F10" s="3"/>
      <c r="G10" s="580"/>
      <c r="H10" s="187"/>
    </row>
    <row r="11" spans="1:8" s="10" customFormat="1" ht="13.5">
      <c r="A11" s="746" t="s">
        <v>958</v>
      </c>
      <c r="B11" s="142"/>
      <c r="C11" s="117"/>
      <c r="D11" s="117"/>
      <c r="E11" s="300"/>
      <c r="F11" s="3"/>
      <c r="G11" s="580"/>
      <c r="H11" s="187"/>
    </row>
    <row r="12" spans="1:8" s="10" customFormat="1" ht="13.5">
      <c r="A12" s="746" t="s">
        <v>959</v>
      </c>
      <c r="B12" s="142"/>
      <c r="C12" s="117"/>
      <c r="D12" s="117"/>
      <c r="E12" s="300"/>
      <c r="F12" s="3"/>
      <c r="G12" s="332"/>
      <c r="H12" s="187"/>
    </row>
    <row r="13" spans="1:7" s="10" customFormat="1" ht="13.5">
      <c r="A13" s="746" t="s">
        <v>960</v>
      </c>
      <c r="B13" s="142"/>
      <c r="C13" s="117"/>
      <c r="D13" s="117"/>
      <c r="E13" s="300"/>
      <c r="F13" s="3"/>
      <c r="G13" s="324"/>
    </row>
    <row r="14" spans="1:7" s="10" customFormat="1" ht="13.5">
      <c r="A14" s="746" t="s">
        <v>961</v>
      </c>
      <c r="B14" s="142"/>
      <c r="C14" s="117"/>
      <c r="D14" s="117"/>
      <c r="E14" s="300"/>
      <c r="F14" s="3"/>
      <c r="G14" s="324"/>
    </row>
    <row r="15" spans="1:7" s="10" customFormat="1" ht="13.5">
      <c r="A15" s="746" t="s">
        <v>962</v>
      </c>
      <c r="B15" s="142"/>
      <c r="C15" s="117"/>
      <c r="D15" s="117"/>
      <c r="E15" s="300"/>
      <c r="F15" s="3"/>
      <c r="G15" s="324"/>
    </row>
    <row r="16" spans="1:7" s="10" customFormat="1" ht="13.5">
      <c r="A16" s="746" t="s">
        <v>963</v>
      </c>
      <c r="B16" s="142"/>
      <c r="C16" s="117"/>
      <c r="D16" s="117"/>
      <c r="E16" s="300"/>
      <c r="F16" s="3"/>
      <c r="G16" s="324"/>
    </row>
    <row r="17" spans="1:7" s="10" customFormat="1" ht="14.25" thickBot="1">
      <c r="A17" s="747" t="s">
        <v>620</v>
      </c>
      <c r="B17" s="141"/>
      <c r="C17" s="81"/>
      <c r="D17" s="81"/>
      <c r="E17" s="302"/>
      <c r="F17" s="3"/>
      <c r="G17" s="324"/>
    </row>
    <row r="18" spans="1:7" s="10" customFormat="1" ht="13.5">
      <c r="A18" s="40" t="s">
        <v>809</v>
      </c>
      <c r="B18" s="12"/>
      <c r="C18" s="24"/>
      <c r="D18" s="24"/>
      <c r="E18" s="303"/>
      <c r="G18" s="325"/>
    </row>
    <row r="19" spans="1:7" s="10" customFormat="1" ht="13.5">
      <c r="A19" s="40" t="s">
        <v>574</v>
      </c>
      <c r="B19" s="12"/>
      <c r="C19" s="24"/>
      <c r="D19" s="24"/>
      <c r="E19" s="303"/>
      <c r="G19" s="325"/>
    </row>
    <row r="20" spans="1:7" s="187" customFormat="1" ht="13.5">
      <c r="A20" s="40" t="s">
        <v>575</v>
      </c>
      <c r="B20" s="12"/>
      <c r="C20" s="24"/>
      <c r="D20" s="24"/>
      <c r="E20" s="303"/>
      <c r="F20" s="10"/>
      <c r="G20" s="325"/>
    </row>
    <row r="21" spans="1:7" s="187" customFormat="1" ht="12" customHeight="1" thickBot="1">
      <c r="A21" s="40" t="s">
        <v>13</v>
      </c>
      <c r="B21" s="12"/>
      <c r="C21" s="24"/>
      <c r="D21" s="24"/>
      <c r="E21" s="303"/>
      <c r="F21" s="10"/>
      <c r="G21" s="325"/>
    </row>
    <row r="22" spans="1:7" s="71" customFormat="1" ht="12.75" customHeight="1" thickBot="1">
      <c r="A22" s="697" t="s">
        <v>14</v>
      </c>
      <c r="B22" s="698"/>
      <c r="C22" s="699"/>
      <c r="D22" s="701"/>
      <c r="E22" s="707">
        <f>C24+C47+C69+C94</f>
        <v>67648559</v>
      </c>
      <c r="F22" s="28"/>
      <c r="G22" s="326"/>
    </row>
    <row r="23" spans="1:7" s="71" customFormat="1" ht="12.75" customHeight="1" thickBot="1">
      <c r="A23" s="11"/>
      <c r="B23" s="11"/>
      <c r="C23" s="31"/>
      <c r="D23" s="31"/>
      <c r="F23" s="327"/>
      <c r="G23" s="328"/>
    </row>
    <row r="24" spans="1:7" s="127" customFormat="1" ht="12.75" customHeight="1" thickBot="1">
      <c r="A24" s="1095" t="s">
        <v>1</v>
      </c>
      <c r="B24" s="1096"/>
      <c r="C24" s="601">
        <f>C25+C32+C39</f>
        <v>57989519</v>
      </c>
      <c r="D24" s="31"/>
      <c r="F24" s="327"/>
      <c r="G24" s="328"/>
    </row>
    <row r="25" spans="1:11" s="139" customFormat="1" ht="13.5">
      <c r="A25" s="11" t="s">
        <v>97</v>
      </c>
      <c r="B25" s="281" t="s">
        <v>98</v>
      </c>
      <c r="C25" s="31">
        <f>SUM(C26:C31)</f>
        <v>18264346</v>
      </c>
      <c r="D25" s="31"/>
      <c r="F25" s="329"/>
      <c r="G25" s="140"/>
      <c r="H25" s="140"/>
      <c r="I25" s="140"/>
      <c r="J25" s="140"/>
      <c r="K25" s="140"/>
    </row>
    <row r="26" spans="1:6" s="71" customFormat="1" ht="12.75" customHeight="1">
      <c r="A26" s="12" t="s">
        <v>23</v>
      </c>
      <c r="B26" s="24" t="s">
        <v>20</v>
      </c>
      <c r="C26" s="24">
        <f>2174422.64+707161.65+12284574.25+0.46</f>
        <v>15166159</v>
      </c>
      <c r="D26" s="22"/>
      <c r="E26" s="31"/>
      <c r="F26" s="223"/>
    </row>
    <row r="27" spans="1:6" s="127" customFormat="1" ht="12.75" customHeight="1">
      <c r="A27" s="12" t="s">
        <v>24</v>
      </c>
      <c r="B27" s="24" t="s">
        <v>22</v>
      </c>
      <c r="C27" s="24">
        <f>1932820+2542+543605</f>
        <v>2478967</v>
      </c>
      <c r="D27" s="22"/>
      <c r="E27" s="31"/>
      <c r="F27" s="223"/>
    </row>
    <row r="28" spans="1:6" s="127" customFormat="1" ht="12.75" customHeight="1">
      <c r="A28" s="12" t="s">
        <v>25</v>
      </c>
      <c r="B28" s="24" t="s">
        <v>76</v>
      </c>
      <c r="C28" s="24">
        <f>55000+376160</f>
        <v>431160</v>
      </c>
      <c r="D28" s="22"/>
      <c r="E28" s="31"/>
      <c r="F28" s="223"/>
    </row>
    <row r="29" spans="1:6" s="127" customFormat="1" ht="12.75" customHeight="1">
      <c r="A29" s="12" t="s">
        <v>26</v>
      </c>
      <c r="B29" s="24" t="s">
        <v>77</v>
      </c>
      <c r="C29" s="24">
        <v>1</v>
      </c>
      <c r="D29" s="22"/>
      <c r="E29" s="25"/>
      <c r="F29" s="108"/>
    </row>
    <row r="30" spans="1:6" s="71" customFormat="1" ht="12.75" customHeight="1">
      <c r="A30" s="12" t="s">
        <v>27</v>
      </c>
      <c r="B30" s="24" t="s">
        <v>21</v>
      </c>
      <c r="C30" s="24">
        <f>131832+11288</f>
        <v>143120</v>
      </c>
      <c r="D30" s="22"/>
      <c r="E30" s="25"/>
      <c r="F30" s="108"/>
    </row>
    <row r="31" spans="1:6" s="127" customFormat="1" ht="12.75" customHeight="1">
      <c r="A31" s="12" t="s">
        <v>28</v>
      </c>
      <c r="B31" s="24" t="s">
        <v>19</v>
      </c>
      <c r="C31" s="24">
        <v>44939</v>
      </c>
      <c r="D31" s="22"/>
      <c r="E31" s="25"/>
      <c r="F31" s="21"/>
    </row>
    <row r="32" spans="1:6" s="127" customFormat="1" ht="12.75" customHeight="1">
      <c r="A32" s="11" t="s">
        <v>99</v>
      </c>
      <c r="B32" s="31" t="s">
        <v>100</v>
      </c>
      <c r="C32" s="31">
        <f>SUM(C33:C38)</f>
        <v>24951721</v>
      </c>
      <c r="D32" s="22"/>
      <c r="E32" s="25"/>
      <c r="F32" s="21"/>
    </row>
    <row r="33" spans="1:8" s="71" customFormat="1" ht="12.75" customHeight="1">
      <c r="A33" s="12" t="s">
        <v>30</v>
      </c>
      <c r="B33" s="24" t="s">
        <v>78</v>
      </c>
      <c r="C33" s="24">
        <f>3671300+1046756+20396115-5000000</f>
        <v>20114171</v>
      </c>
      <c r="D33" s="22"/>
      <c r="E33" s="25"/>
      <c r="F33" s="117"/>
      <c r="G33" s="12"/>
      <c r="H33" s="12"/>
    </row>
    <row r="34" spans="1:6" s="127" customFormat="1" ht="12.75" customHeight="1">
      <c r="A34" s="12" t="s">
        <v>31</v>
      </c>
      <c r="B34" s="24" t="s">
        <v>79</v>
      </c>
      <c r="C34" s="24">
        <f>3263378+917826</f>
        <v>4181204</v>
      </c>
      <c r="D34" s="22"/>
      <c r="E34" s="25"/>
      <c r="F34" s="108"/>
    </row>
    <row r="35" spans="1:6" s="127" customFormat="1" ht="12.75" customHeight="1">
      <c r="A35" s="12" t="s">
        <v>32</v>
      </c>
      <c r="B35" s="24" t="s">
        <v>80</v>
      </c>
      <c r="C35" s="24">
        <v>625545</v>
      </c>
      <c r="D35" s="22"/>
      <c r="E35" s="25"/>
      <c r="F35" s="108"/>
    </row>
    <row r="36" spans="1:6" s="127" customFormat="1" ht="12.75" customHeight="1">
      <c r="A36" s="12" t="s">
        <v>33</v>
      </c>
      <c r="B36" s="24" t="s">
        <v>81</v>
      </c>
      <c r="C36" s="24">
        <v>1</v>
      </c>
      <c r="D36" s="22"/>
      <c r="E36" s="25"/>
      <c r="F36" s="108"/>
    </row>
    <row r="37" spans="1:6" s="71" customFormat="1" ht="12.75" customHeight="1">
      <c r="A37" s="12" t="s">
        <v>34</v>
      </c>
      <c r="B37" s="24" t="s">
        <v>258</v>
      </c>
      <c r="C37" s="24">
        <f>1411+29388</f>
        <v>30799</v>
      </c>
      <c r="D37" s="22"/>
      <c r="E37" s="25"/>
      <c r="F37" s="108"/>
    </row>
    <row r="38" spans="1:6" s="127" customFormat="1" ht="12.75" customHeight="1">
      <c r="A38" s="12" t="s">
        <v>83</v>
      </c>
      <c r="B38" s="24" t="s">
        <v>82</v>
      </c>
      <c r="C38" s="24">
        <v>1</v>
      </c>
      <c r="D38" s="22"/>
      <c r="E38" s="25"/>
      <c r="F38" s="21"/>
    </row>
    <row r="39" spans="1:6" s="127" customFormat="1" ht="12.75" customHeight="1">
      <c r="A39" s="11" t="s">
        <v>101</v>
      </c>
      <c r="B39" s="31" t="s">
        <v>102</v>
      </c>
      <c r="C39" s="31">
        <f>SUM(C40:C45)</f>
        <v>14773452</v>
      </c>
      <c r="D39" s="22"/>
      <c r="E39" s="25"/>
      <c r="F39" s="21"/>
    </row>
    <row r="40" spans="1:7" s="71" customFormat="1" ht="12.75" customHeight="1">
      <c r="A40" s="12" t="s">
        <v>39</v>
      </c>
      <c r="B40" s="24" t="s">
        <v>35</v>
      </c>
      <c r="C40" s="24">
        <f>1878537+515941+9769381</f>
        <v>12163859</v>
      </c>
      <c r="D40" s="22"/>
      <c r="E40" s="25"/>
      <c r="F40" s="330"/>
      <c r="G40" s="330"/>
    </row>
    <row r="41" spans="1:7" s="127" customFormat="1" ht="12.75" customHeight="1">
      <c r="A41" s="12" t="s">
        <v>40</v>
      </c>
      <c r="B41" s="24" t="s">
        <v>37</v>
      </c>
      <c r="C41" s="24">
        <f>1669811+469635</f>
        <v>2139446</v>
      </c>
      <c r="D41" s="22"/>
      <c r="E41" s="25"/>
      <c r="G41" s="330"/>
    </row>
    <row r="42" spans="1:7" s="127" customFormat="1" ht="12.75" customHeight="1">
      <c r="A42" s="12" t="s">
        <v>41</v>
      </c>
      <c r="B42" s="24" t="s">
        <v>84</v>
      </c>
      <c r="C42" s="24">
        <v>311560</v>
      </c>
      <c r="D42" s="22"/>
      <c r="E42" s="25"/>
      <c r="F42" s="217"/>
      <c r="G42" s="217"/>
    </row>
    <row r="43" spans="1:7" s="127" customFormat="1" ht="12.75" customHeight="1">
      <c r="A43" s="12" t="s">
        <v>42</v>
      </c>
      <c r="B43" s="24" t="s">
        <v>85</v>
      </c>
      <c r="C43" s="24">
        <v>1</v>
      </c>
      <c r="D43" s="22"/>
      <c r="E43" s="25"/>
      <c r="F43" s="217"/>
      <c r="G43" s="217"/>
    </row>
    <row r="44" spans="1:7" s="127" customFormat="1" ht="12.75" customHeight="1">
      <c r="A44" s="12" t="s">
        <v>43</v>
      </c>
      <c r="B44" s="24" t="s">
        <v>36</v>
      </c>
      <c r="C44" s="24">
        <f>15521+143064</f>
        <v>158585</v>
      </c>
      <c r="D44" s="22"/>
      <c r="E44" s="25"/>
      <c r="F44" s="330"/>
      <c r="G44" s="330"/>
    </row>
    <row r="45" spans="1:7" s="127" customFormat="1" ht="12.75" customHeight="1">
      <c r="A45" s="12" t="s">
        <v>44</v>
      </c>
      <c r="B45" s="24" t="s">
        <v>38</v>
      </c>
      <c r="C45" s="24">
        <v>1</v>
      </c>
      <c r="D45" s="22"/>
      <c r="E45" s="25"/>
      <c r="F45" s="330"/>
      <c r="G45" s="330"/>
    </row>
    <row r="46" spans="2:7" s="12" customFormat="1" ht="13.5" customHeight="1" thickBot="1">
      <c r="B46" s="24"/>
      <c r="C46" s="24"/>
      <c r="D46" s="22"/>
      <c r="E46" s="25"/>
      <c r="F46" s="127"/>
      <c r="G46" s="330"/>
    </row>
    <row r="47" spans="1:7" s="12" customFormat="1" ht="13.5" customHeight="1" thickBot="1">
      <c r="A47" s="992" t="s">
        <v>2</v>
      </c>
      <c r="B47" s="993"/>
      <c r="C47" s="602">
        <f>C48+C50+C53+C55+C61+C64</f>
        <v>512470</v>
      </c>
      <c r="D47" s="18"/>
      <c r="E47" s="18"/>
      <c r="F47" s="3"/>
      <c r="G47" s="324"/>
    </row>
    <row r="48" spans="1:7" s="100" customFormat="1" ht="13.5" customHeight="1">
      <c r="A48" s="11" t="s">
        <v>103</v>
      </c>
      <c r="B48" s="281" t="s">
        <v>104</v>
      </c>
      <c r="C48" s="32">
        <f>SUM(C49)</f>
        <v>61870</v>
      </c>
      <c r="D48" s="331"/>
      <c r="E48" s="331"/>
      <c r="F48" s="332"/>
      <c r="G48" s="332"/>
    </row>
    <row r="49" spans="1:8" s="71" customFormat="1" ht="13.5" customHeight="1">
      <c r="A49" s="12" t="s">
        <v>46</v>
      </c>
      <c r="B49" s="71" t="s">
        <v>45</v>
      </c>
      <c r="C49" s="24">
        <v>61870</v>
      </c>
      <c r="D49" s="95"/>
      <c r="E49" s="31"/>
      <c r="F49" s="95"/>
      <c r="G49" s="95"/>
      <c r="H49" s="12"/>
    </row>
    <row r="50" spans="1:8" s="71" customFormat="1" ht="13.5" customHeight="1">
      <c r="A50" s="11" t="s">
        <v>105</v>
      </c>
      <c r="B50" s="249" t="s">
        <v>106</v>
      </c>
      <c r="C50" s="31">
        <f>SUM(C51:C52)</f>
        <v>22230</v>
      </c>
      <c r="D50" s="22"/>
      <c r="E50" s="31"/>
      <c r="F50" s="12"/>
      <c r="G50" s="95"/>
      <c r="H50" s="12"/>
    </row>
    <row r="51" spans="1:7" s="5" customFormat="1" ht="13.5" hidden="1">
      <c r="A51" s="12" t="s">
        <v>67</v>
      </c>
      <c r="B51" s="71" t="s">
        <v>68</v>
      </c>
      <c r="C51" s="24"/>
      <c r="D51" s="95"/>
      <c r="E51" s="31"/>
      <c r="F51" s="12"/>
      <c r="G51" s="95"/>
    </row>
    <row r="52" spans="1:8" s="71" customFormat="1" ht="13.5" customHeight="1">
      <c r="A52" s="12" t="s">
        <v>86</v>
      </c>
      <c r="B52" s="71" t="s">
        <v>66</v>
      </c>
      <c r="C52" s="24">
        <v>22230</v>
      </c>
      <c r="D52" s="22"/>
      <c r="E52" s="31"/>
      <c r="F52" s="12"/>
      <c r="G52" s="95"/>
      <c r="H52" s="12"/>
    </row>
    <row r="53" spans="1:8" s="71" customFormat="1" ht="13.5" customHeight="1">
      <c r="A53" s="11" t="s">
        <v>107</v>
      </c>
      <c r="B53" s="249" t="s">
        <v>108</v>
      </c>
      <c r="C53" s="31">
        <f>SUM(C54)</f>
        <v>217350</v>
      </c>
      <c r="D53" s="22"/>
      <c r="E53" s="31"/>
      <c r="F53" s="12"/>
      <c r="G53" s="95"/>
      <c r="H53" s="12"/>
    </row>
    <row r="54" spans="1:8" s="71" customFormat="1" ht="13.5" customHeight="1">
      <c r="A54" s="12" t="s">
        <v>47</v>
      </c>
      <c r="B54" s="23" t="s">
        <v>48</v>
      </c>
      <c r="C54" s="24">
        <v>217350</v>
      </c>
      <c r="D54" s="78"/>
      <c r="E54" s="25"/>
      <c r="F54" s="100"/>
      <c r="G54" s="95"/>
      <c r="H54" s="12"/>
    </row>
    <row r="55" spans="1:8" s="71" customFormat="1" ht="13.5" customHeight="1">
      <c r="A55" s="249" t="s">
        <v>119</v>
      </c>
      <c r="B55" s="25" t="s">
        <v>109</v>
      </c>
      <c r="C55" s="31">
        <f>SUM(C56:C60)</f>
        <v>121280</v>
      </c>
      <c r="D55" s="77"/>
      <c r="E55" s="25"/>
      <c r="F55" s="100"/>
      <c r="G55" s="95"/>
      <c r="H55" s="12"/>
    </row>
    <row r="56" spans="1:8" s="71" customFormat="1" ht="13.5" customHeight="1">
      <c r="A56" s="71" t="s">
        <v>149</v>
      </c>
      <c r="B56" s="23" t="s">
        <v>338</v>
      </c>
      <c r="C56" s="24">
        <v>12240</v>
      </c>
      <c r="D56" s="21"/>
      <c r="E56" s="21"/>
      <c r="F56" s="5"/>
      <c r="G56" s="333"/>
      <c r="H56" s="119"/>
    </row>
    <row r="57" spans="1:8" s="71" customFormat="1" ht="13.5" customHeight="1">
      <c r="A57" s="71" t="s">
        <v>641</v>
      </c>
      <c r="B57" s="42" t="s">
        <v>640</v>
      </c>
      <c r="C57" s="24">
        <v>11440</v>
      </c>
      <c r="D57" s="21"/>
      <c r="E57" s="21"/>
      <c r="F57" s="5"/>
      <c r="G57" s="333"/>
      <c r="H57" s="119"/>
    </row>
    <row r="58" spans="1:5" s="65" customFormat="1" ht="13.5">
      <c r="A58" s="71" t="s">
        <v>758</v>
      </c>
      <c r="B58" s="24" t="s">
        <v>753</v>
      </c>
      <c r="C58" s="24">
        <v>27600</v>
      </c>
      <c r="D58" s="77"/>
      <c r="E58" s="25"/>
    </row>
    <row r="59" spans="1:5" s="65" customFormat="1" ht="13.5">
      <c r="A59" s="71" t="s">
        <v>762</v>
      </c>
      <c r="B59" s="24" t="s">
        <v>763</v>
      </c>
      <c r="C59" s="24">
        <v>55000</v>
      </c>
      <c r="D59" s="77"/>
      <c r="E59" s="25"/>
    </row>
    <row r="60" spans="1:5" s="65" customFormat="1" ht="13.5">
      <c r="A60" s="71" t="s">
        <v>754</v>
      </c>
      <c r="B60" s="24" t="s">
        <v>755</v>
      </c>
      <c r="C60" s="24">
        <v>15000</v>
      </c>
      <c r="D60" s="77"/>
      <c r="E60" s="25"/>
    </row>
    <row r="61" spans="1:8" s="71" customFormat="1" ht="13.5" customHeight="1">
      <c r="A61" s="249" t="s">
        <v>124</v>
      </c>
      <c r="B61" s="25" t="s">
        <v>123</v>
      </c>
      <c r="C61" s="31">
        <f>SUM(C62:C63)</f>
        <v>53400</v>
      </c>
      <c r="D61" s="21"/>
      <c r="E61" s="21"/>
      <c r="F61" s="5"/>
      <c r="G61" s="333"/>
      <c r="H61" s="119"/>
    </row>
    <row r="62" spans="1:5" s="65" customFormat="1" ht="13.5">
      <c r="A62" s="12" t="s">
        <v>231</v>
      </c>
      <c r="B62" s="42" t="s">
        <v>230</v>
      </c>
      <c r="C62" s="24">
        <v>34000</v>
      </c>
      <c r="D62" s="56"/>
      <c r="E62" s="56"/>
    </row>
    <row r="63" spans="1:8" s="71" customFormat="1" ht="13.5" customHeight="1">
      <c r="A63" s="71" t="s">
        <v>93</v>
      </c>
      <c r="B63" s="23" t="s">
        <v>72</v>
      </c>
      <c r="C63" s="24">
        <v>19400</v>
      </c>
      <c r="D63" s="21"/>
      <c r="E63" s="21"/>
      <c r="F63" s="5"/>
      <c r="G63" s="333"/>
      <c r="H63" s="119"/>
    </row>
    <row r="64" spans="1:8" s="71" customFormat="1" ht="13.5" customHeight="1">
      <c r="A64" s="249" t="s">
        <v>150</v>
      </c>
      <c r="B64" s="25" t="s">
        <v>125</v>
      </c>
      <c r="C64" s="31">
        <f>SUM(C65:C67)</f>
        <v>36340</v>
      </c>
      <c r="D64" s="21"/>
      <c r="E64" s="21"/>
      <c r="F64" s="5"/>
      <c r="G64" s="333"/>
      <c r="H64" s="119"/>
    </row>
    <row r="65" spans="1:7" s="5" customFormat="1" ht="13.5">
      <c r="A65" s="71" t="s">
        <v>151</v>
      </c>
      <c r="B65" s="23" t="s">
        <v>65</v>
      </c>
      <c r="C65" s="24">
        <v>8100</v>
      </c>
      <c r="D65" s="95"/>
      <c r="E65" s="25"/>
      <c r="F65" s="100"/>
      <c r="G65" s="95"/>
    </row>
    <row r="66" spans="1:7" s="5" customFormat="1" ht="13.5">
      <c r="A66" s="71" t="s">
        <v>152</v>
      </c>
      <c r="B66" s="23" t="s">
        <v>70</v>
      </c>
      <c r="C66" s="24">
        <v>8640</v>
      </c>
      <c r="D66" s="77"/>
      <c r="E66" s="25"/>
      <c r="F66" s="100"/>
      <c r="G66" s="95"/>
    </row>
    <row r="67" spans="1:7" s="5" customFormat="1" ht="13.5">
      <c r="A67" s="71" t="s">
        <v>154</v>
      </c>
      <c r="B67" s="23" t="s">
        <v>125</v>
      </c>
      <c r="C67" s="24">
        <v>19600</v>
      </c>
      <c r="D67" s="77"/>
      <c r="E67" s="25"/>
      <c r="F67" s="281"/>
      <c r="G67" s="95"/>
    </row>
    <row r="68" spans="1:7" s="5" customFormat="1" ht="14.25" thickBot="1">
      <c r="A68" s="71"/>
      <c r="B68" s="23"/>
      <c r="C68" s="23"/>
      <c r="D68" s="77"/>
      <c r="E68" s="25"/>
      <c r="F68" s="281"/>
      <c r="G68" s="95"/>
    </row>
    <row r="69" spans="1:8" s="71" customFormat="1" ht="13.5" customHeight="1" thickBot="1">
      <c r="A69" s="994" t="s">
        <v>3</v>
      </c>
      <c r="B69" s="995"/>
      <c r="C69" s="603">
        <f>+C70+C76+C78+C81+C84+C87+C89</f>
        <v>8979240</v>
      </c>
      <c r="D69" s="21"/>
      <c r="E69" s="21"/>
      <c r="F69" s="5"/>
      <c r="G69" s="333"/>
      <c r="H69" s="24"/>
    </row>
    <row r="70" spans="1:8" s="100" customFormat="1" ht="13.5" customHeight="1">
      <c r="A70" s="11" t="s">
        <v>339</v>
      </c>
      <c r="B70" s="281" t="s">
        <v>340</v>
      </c>
      <c r="C70" s="32">
        <f>SUM(C71:C75)</f>
        <v>7598550</v>
      </c>
      <c r="D70" s="223"/>
      <c r="E70" s="223"/>
      <c r="F70" s="334"/>
      <c r="G70" s="334"/>
      <c r="H70" s="95"/>
    </row>
    <row r="71" spans="1:9" s="100" customFormat="1" ht="13.5" customHeight="1">
      <c r="A71" s="12" t="s">
        <v>341</v>
      </c>
      <c r="B71" s="100" t="s">
        <v>342</v>
      </c>
      <c r="C71" s="22">
        <v>5975000</v>
      </c>
      <c r="G71" s="223"/>
      <c r="H71" s="223"/>
      <c r="I71" s="334"/>
    </row>
    <row r="72" spans="1:9" s="100" customFormat="1" ht="13.5" customHeight="1">
      <c r="A72" s="12" t="s">
        <v>343</v>
      </c>
      <c r="B72" s="100" t="s">
        <v>344</v>
      </c>
      <c r="C72" s="22">
        <v>15500</v>
      </c>
      <c r="G72" s="223"/>
      <c r="H72" s="223"/>
      <c r="I72" s="334"/>
    </row>
    <row r="73" spans="1:9" s="71" customFormat="1" ht="13.5" customHeight="1">
      <c r="A73" s="12" t="s">
        <v>345</v>
      </c>
      <c r="B73" s="12" t="s">
        <v>346</v>
      </c>
      <c r="C73" s="22">
        <v>997750</v>
      </c>
      <c r="G73" s="327"/>
      <c r="H73" s="25"/>
      <c r="I73" s="217"/>
    </row>
    <row r="74" spans="1:9" s="71" customFormat="1" ht="13.5" customHeight="1">
      <c r="A74" s="12" t="s">
        <v>347</v>
      </c>
      <c r="B74" s="12" t="s">
        <v>348</v>
      </c>
      <c r="C74" s="22">
        <v>550000</v>
      </c>
      <c r="F74" s="100"/>
      <c r="G74" s="95"/>
      <c r="H74" s="25"/>
      <c r="I74" s="100"/>
    </row>
    <row r="75" spans="1:9" s="71" customFormat="1" ht="13.5" customHeight="1">
      <c r="A75" s="12" t="s">
        <v>349</v>
      </c>
      <c r="B75" s="12" t="s">
        <v>350</v>
      </c>
      <c r="C75" s="22">
        <v>60300</v>
      </c>
      <c r="G75" s="22"/>
      <c r="H75" s="25"/>
      <c r="I75" s="100"/>
    </row>
    <row r="76" spans="1:9" s="71" customFormat="1" ht="13.5" customHeight="1">
      <c r="A76" s="11" t="s">
        <v>110</v>
      </c>
      <c r="B76" s="11" t="s">
        <v>111</v>
      </c>
      <c r="C76" s="31">
        <f>SUM(C77)</f>
        <v>71760</v>
      </c>
      <c r="G76" s="77"/>
      <c r="H76" s="25"/>
      <c r="I76" s="100"/>
    </row>
    <row r="77" spans="1:8" s="71" customFormat="1" ht="13.5" customHeight="1">
      <c r="A77" s="12" t="s">
        <v>52</v>
      </c>
      <c r="B77" s="12" t="s">
        <v>15</v>
      </c>
      <c r="C77" s="24">
        <v>71760</v>
      </c>
      <c r="D77" s="78"/>
      <c r="E77" s="31"/>
      <c r="F77" s="100"/>
      <c r="G77" s="95"/>
      <c r="H77" s="12"/>
    </row>
    <row r="78" spans="1:12" s="5" customFormat="1" ht="13.5">
      <c r="A78" s="11" t="s">
        <v>120</v>
      </c>
      <c r="B78" s="25" t="s">
        <v>121</v>
      </c>
      <c r="C78" s="31">
        <f>SUM(C79:C80)</f>
        <v>61150</v>
      </c>
      <c r="D78" s="25"/>
      <c r="E78" s="38"/>
      <c r="F78" s="117"/>
      <c r="G78" s="334"/>
      <c r="H78" s="142"/>
      <c r="I78" s="142"/>
      <c r="J78" s="142"/>
      <c r="K78" s="142"/>
      <c r="L78" s="142"/>
    </row>
    <row r="79" spans="1:9" s="65" customFormat="1" ht="13.5" customHeight="1">
      <c r="A79" s="58" t="s">
        <v>140</v>
      </c>
      <c r="B79" s="42" t="s">
        <v>141</v>
      </c>
      <c r="C79" s="59">
        <v>40000</v>
      </c>
      <c r="G79" s="59"/>
      <c r="H79" s="56"/>
      <c r="I79" s="56"/>
    </row>
    <row r="80" spans="1:8" s="71" customFormat="1" ht="13.5" customHeight="1">
      <c r="A80" s="12" t="s">
        <v>136</v>
      </c>
      <c r="B80" s="12" t="s">
        <v>71</v>
      </c>
      <c r="C80" s="24">
        <v>21150</v>
      </c>
      <c r="D80" s="77"/>
      <c r="E80" s="25"/>
      <c r="F80" s="217"/>
      <c r="G80" s="95"/>
      <c r="H80" s="24"/>
    </row>
    <row r="81" spans="1:8" s="71" customFormat="1" ht="13.5" customHeight="1">
      <c r="A81" s="249" t="s">
        <v>112</v>
      </c>
      <c r="B81" s="11" t="s">
        <v>156</v>
      </c>
      <c r="C81" s="31">
        <f>SUM(C82:C83)</f>
        <v>490000</v>
      </c>
      <c r="D81" s="78"/>
      <c r="E81" s="25"/>
      <c r="F81" s="100"/>
      <c r="G81" s="95"/>
      <c r="H81" s="12"/>
    </row>
    <row r="82" spans="1:7" s="142" customFormat="1" ht="13.5">
      <c r="A82" s="71" t="s">
        <v>138</v>
      </c>
      <c r="B82" s="58" t="s">
        <v>810</v>
      </c>
      <c r="C82" s="24">
        <v>10000</v>
      </c>
      <c r="D82" s="31"/>
      <c r="F82" s="117"/>
      <c r="G82" s="334"/>
    </row>
    <row r="83" spans="1:7" s="142" customFormat="1" ht="13.5">
      <c r="A83" s="12" t="s">
        <v>49</v>
      </c>
      <c r="B83" s="24" t="s">
        <v>87</v>
      </c>
      <c r="C83" s="24">
        <v>480000</v>
      </c>
      <c r="D83" s="24"/>
      <c r="G83" s="334"/>
    </row>
    <row r="84" spans="1:7" s="142" customFormat="1" ht="13.5">
      <c r="A84" s="249" t="s">
        <v>113</v>
      </c>
      <c r="B84" s="25" t="s">
        <v>114</v>
      </c>
      <c r="C84" s="31">
        <f>SUM(C85:C86)</f>
        <v>20850</v>
      </c>
      <c r="D84" s="24"/>
      <c r="E84" s="117"/>
      <c r="F84" s="117"/>
      <c r="G84" s="117"/>
    </row>
    <row r="85" spans="1:7" s="142" customFormat="1" ht="13.5">
      <c r="A85" s="71" t="s">
        <v>75</v>
      </c>
      <c r="B85" s="12" t="s">
        <v>73</v>
      </c>
      <c r="C85" s="24">
        <v>9600</v>
      </c>
      <c r="D85" s="24"/>
      <c r="E85" s="117"/>
      <c r="F85" s="117"/>
      <c r="G85" s="334"/>
    </row>
    <row r="86" spans="1:7" s="142" customFormat="1" ht="13.5">
      <c r="A86" s="71" t="s">
        <v>88</v>
      </c>
      <c r="B86" s="23" t="s">
        <v>64</v>
      </c>
      <c r="C86" s="24">
        <v>11250</v>
      </c>
      <c r="D86" s="24"/>
      <c r="E86" s="117"/>
      <c r="F86" s="117"/>
      <c r="G86" s="334"/>
    </row>
    <row r="87" spans="1:7" s="142" customFormat="1" ht="13.5">
      <c r="A87" s="249" t="s">
        <v>132</v>
      </c>
      <c r="B87" s="25" t="s">
        <v>56</v>
      </c>
      <c r="C87" s="31">
        <f>SUM(C88)</f>
        <v>26250</v>
      </c>
      <c r="D87" s="24"/>
      <c r="E87" s="117"/>
      <c r="F87" s="117"/>
      <c r="G87" s="334"/>
    </row>
    <row r="88" spans="1:7" s="142" customFormat="1" ht="13.5">
      <c r="A88" s="71" t="s">
        <v>55</v>
      </c>
      <c r="B88" s="71" t="s">
        <v>56</v>
      </c>
      <c r="C88" s="24">
        <v>26250</v>
      </c>
      <c r="D88" s="24"/>
      <c r="E88" s="117"/>
      <c r="F88" s="117"/>
      <c r="G88" s="334"/>
    </row>
    <row r="89" spans="1:7" s="142" customFormat="1" ht="13.5">
      <c r="A89" s="249" t="s">
        <v>115</v>
      </c>
      <c r="B89" s="25" t="s">
        <v>8</v>
      </c>
      <c r="C89" s="31">
        <f>SUM(C90:C92)</f>
        <v>710680</v>
      </c>
      <c r="D89" s="24"/>
      <c r="E89" s="117"/>
      <c r="F89" s="117"/>
      <c r="G89" s="334"/>
    </row>
    <row r="90" spans="1:12" s="142" customFormat="1" ht="13.5">
      <c r="A90" s="71" t="s">
        <v>89</v>
      </c>
      <c r="B90" s="23" t="s">
        <v>8</v>
      </c>
      <c r="C90" s="24">
        <v>317500</v>
      </c>
      <c r="D90" s="24"/>
      <c r="E90" s="117"/>
      <c r="F90" s="117"/>
      <c r="G90" s="333"/>
      <c r="H90" s="5"/>
      <c r="I90" s="5"/>
      <c r="J90" s="5"/>
      <c r="K90" s="5"/>
      <c r="L90" s="5"/>
    </row>
    <row r="91" spans="1:7" s="142" customFormat="1" ht="13.5">
      <c r="A91" s="71" t="s">
        <v>182</v>
      </c>
      <c r="B91" s="23" t="s">
        <v>50</v>
      </c>
      <c r="C91" s="24">
        <v>42180</v>
      </c>
      <c r="D91" s="31"/>
      <c r="E91" s="117"/>
      <c r="F91" s="117"/>
      <c r="G91" s="334"/>
    </row>
    <row r="92" spans="1:12" s="5" customFormat="1" ht="13.5">
      <c r="A92" s="71" t="s">
        <v>90</v>
      </c>
      <c r="B92" s="23" t="s">
        <v>7</v>
      </c>
      <c r="C92" s="24">
        <v>351000</v>
      </c>
      <c r="D92" s="31"/>
      <c r="E92" s="38"/>
      <c r="F92" s="117"/>
      <c r="G92" s="334"/>
      <c r="H92" s="142"/>
      <c r="I92" s="142"/>
      <c r="J92" s="142"/>
      <c r="K92" s="142"/>
      <c r="L92" s="142"/>
    </row>
    <row r="93" spans="1:8" s="71" customFormat="1" ht="13.5" customHeight="1" thickBot="1">
      <c r="A93" s="12"/>
      <c r="B93" s="12"/>
      <c r="C93" s="24"/>
      <c r="D93" s="77"/>
      <c r="E93" s="25"/>
      <c r="F93" s="217"/>
      <c r="G93" s="95"/>
      <c r="H93" s="24"/>
    </row>
    <row r="94" spans="1:7" s="5" customFormat="1" ht="14.25" thickBot="1">
      <c r="A94" s="996" t="s">
        <v>4</v>
      </c>
      <c r="B94" s="997"/>
      <c r="C94" s="605">
        <f>+C95+C99</f>
        <v>167330</v>
      </c>
      <c r="D94" s="21"/>
      <c r="E94" s="21"/>
      <c r="G94" s="333"/>
    </row>
    <row r="95" spans="1:7" s="5" customFormat="1" ht="13.5">
      <c r="A95" s="249" t="s">
        <v>116</v>
      </c>
      <c r="B95" s="249" t="s">
        <v>117</v>
      </c>
      <c r="C95" s="31">
        <f>SUM(C96:C98)</f>
        <v>149930</v>
      </c>
      <c r="D95" s="23"/>
      <c r="E95" s="21"/>
      <c r="G95" s="333"/>
    </row>
    <row r="96" spans="1:7" s="5" customFormat="1" ht="13.5">
      <c r="A96" s="71" t="s">
        <v>91</v>
      </c>
      <c r="B96" s="71" t="s">
        <v>139</v>
      </c>
      <c r="C96" s="24">
        <v>94930</v>
      </c>
      <c r="D96" s="21"/>
      <c r="E96" s="21"/>
      <c r="G96" s="333"/>
    </row>
    <row r="97" spans="1:7" s="5" customFormat="1" ht="13.5">
      <c r="A97" s="71" t="s">
        <v>57</v>
      </c>
      <c r="B97" s="71" t="s">
        <v>58</v>
      </c>
      <c r="C97" s="24">
        <v>25000</v>
      </c>
      <c r="D97" s="21"/>
      <c r="E97" s="21"/>
      <c r="G97" s="333"/>
    </row>
    <row r="98" spans="1:8" s="8" customFormat="1" ht="13.5" customHeight="1">
      <c r="A98" s="71" t="s">
        <v>756</v>
      </c>
      <c r="B98" s="23" t="s">
        <v>757</v>
      </c>
      <c r="C98" s="24">
        <v>30000</v>
      </c>
      <c r="D98" s="77"/>
      <c r="E98" s="25"/>
      <c r="F98" s="98"/>
      <c r="G98" s="54"/>
      <c r="H98" s="42"/>
    </row>
    <row r="99" spans="1:7" s="5" customFormat="1" ht="13.5">
      <c r="A99" s="249" t="s">
        <v>165</v>
      </c>
      <c r="B99" s="25" t="s">
        <v>135</v>
      </c>
      <c r="C99" s="31">
        <f>SUM(C100)</f>
        <v>17400</v>
      </c>
      <c r="D99" s="21"/>
      <c r="E99" s="21"/>
      <c r="G99" s="333"/>
    </row>
    <row r="100" spans="1:7" s="5" customFormat="1" ht="13.5">
      <c r="A100" s="71" t="s">
        <v>166</v>
      </c>
      <c r="B100" s="23" t="s">
        <v>51</v>
      </c>
      <c r="C100" s="24">
        <v>17400</v>
      </c>
      <c r="D100" s="23"/>
      <c r="E100" s="21"/>
      <c r="G100" s="333"/>
    </row>
    <row r="102" ht="13.5" thickBot="1"/>
    <row r="103" spans="1:7" s="5" customFormat="1" ht="13.5" customHeight="1">
      <c r="A103" s="988" t="s">
        <v>628</v>
      </c>
      <c r="B103" s="1009"/>
      <c r="C103" s="989"/>
      <c r="D103" s="627" t="s">
        <v>6</v>
      </c>
      <c r="E103" s="757" t="s">
        <v>812</v>
      </c>
      <c r="F103" s="3"/>
      <c r="G103" s="324"/>
    </row>
    <row r="104" spans="1:7" ht="13.5" thickBot="1">
      <c r="A104" s="990"/>
      <c r="B104" s="1010"/>
      <c r="C104" s="991"/>
      <c r="D104" s="630"/>
      <c r="E104" s="653"/>
      <c r="G104" s="324"/>
    </row>
    <row r="105" spans="1:7" ht="12.75" customHeight="1">
      <c r="A105" s="979" t="s">
        <v>964</v>
      </c>
      <c r="B105" s="980"/>
      <c r="C105" s="980"/>
      <c r="D105" s="980"/>
      <c r="E105" s="981"/>
      <c r="G105" s="324"/>
    </row>
    <row r="106" spans="1:5" ht="12.75">
      <c r="A106" s="982"/>
      <c r="B106" s="983"/>
      <c r="C106" s="983"/>
      <c r="D106" s="983"/>
      <c r="E106" s="984"/>
    </row>
    <row r="107" spans="1:5" ht="12.75">
      <c r="A107" s="982"/>
      <c r="B107" s="983"/>
      <c r="C107" s="983"/>
      <c r="D107" s="983"/>
      <c r="E107" s="984"/>
    </row>
    <row r="108" spans="1:5" ht="12.75">
      <c r="A108" s="982"/>
      <c r="B108" s="983"/>
      <c r="C108" s="983"/>
      <c r="D108" s="983"/>
      <c r="E108" s="984"/>
    </row>
    <row r="109" spans="1:7" ht="12.75">
      <c r="A109" s="982"/>
      <c r="B109" s="983"/>
      <c r="C109" s="983"/>
      <c r="D109" s="983"/>
      <c r="E109" s="984"/>
      <c r="G109" s="324"/>
    </row>
    <row r="110" spans="1:7" ht="12.75">
      <c r="A110" s="982"/>
      <c r="B110" s="983"/>
      <c r="C110" s="983"/>
      <c r="D110" s="983"/>
      <c r="E110" s="984"/>
      <c r="G110" s="324"/>
    </row>
    <row r="111" spans="1:7" ht="12.75">
      <c r="A111" s="982"/>
      <c r="B111" s="983"/>
      <c r="C111" s="983"/>
      <c r="D111" s="983"/>
      <c r="E111" s="984"/>
      <c r="G111" s="324"/>
    </row>
    <row r="112" spans="1:7" ht="12.75">
      <c r="A112" s="982"/>
      <c r="B112" s="983"/>
      <c r="C112" s="983"/>
      <c r="D112" s="983"/>
      <c r="E112" s="984"/>
      <c r="G112" s="324"/>
    </row>
    <row r="113" spans="1:7" ht="13.5" thickBot="1">
      <c r="A113" s="982"/>
      <c r="B113" s="983"/>
      <c r="C113" s="983"/>
      <c r="D113" s="983"/>
      <c r="E113" s="984"/>
      <c r="G113" s="324"/>
    </row>
    <row r="114" spans="1:7" ht="13.5">
      <c r="A114" s="116" t="s">
        <v>809</v>
      </c>
      <c r="B114" s="167"/>
      <c r="C114" s="400"/>
      <c r="D114" s="400"/>
      <c r="E114" s="402"/>
      <c r="G114" s="324"/>
    </row>
    <row r="115" spans="1:7" ht="13.5">
      <c r="A115" s="40" t="s">
        <v>359</v>
      </c>
      <c r="B115" s="12"/>
      <c r="C115" s="24"/>
      <c r="D115" s="24"/>
      <c r="E115" s="303"/>
      <c r="G115" s="324"/>
    </row>
    <row r="116" spans="1:7" ht="13.5">
      <c r="A116" s="40" t="s">
        <v>621</v>
      </c>
      <c r="B116" s="12"/>
      <c r="C116" s="24"/>
      <c r="D116" s="24"/>
      <c r="E116" s="303"/>
      <c r="G116" s="324"/>
    </row>
    <row r="117" spans="1:7" ht="14.25" thickBot="1">
      <c r="A117" s="75" t="s">
        <v>13</v>
      </c>
      <c r="B117" s="135"/>
      <c r="C117" s="360"/>
      <c r="D117" s="360"/>
      <c r="E117" s="361"/>
      <c r="G117" s="324"/>
    </row>
    <row r="118" spans="1:7" ht="14.25" thickBot="1">
      <c r="A118" s="697" t="s">
        <v>14</v>
      </c>
      <c r="B118" s="698"/>
      <c r="C118" s="699"/>
      <c r="D118" s="701"/>
      <c r="E118" s="707">
        <f>+C120+C144+C167</f>
        <v>7288100</v>
      </c>
      <c r="F118" s="18"/>
      <c r="G118" s="87"/>
    </row>
    <row r="119" spans="1:7" ht="14.25" thickBot="1">
      <c r="A119" s="11"/>
      <c r="B119" s="11"/>
      <c r="C119" s="31"/>
      <c r="D119" s="31"/>
      <c r="F119" s="327"/>
      <c r="G119" s="324"/>
    </row>
    <row r="120" spans="1:7" ht="14.25" thickBot="1">
      <c r="A120" s="748" t="s">
        <v>750</v>
      </c>
      <c r="B120" s="749"/>
      <c r="C120" s="602">
        <f>+C123+C130+C126+C128+C136+C139+C121</f>
        <v>940190</v>
      </c>
      <c r="E120" s="3"/>
      <c r="F120" s="327"/>
      <c r="G120" s="324"/>
    </row>
    <row r="121" spans="1:7" s="100" customFormat="1" ht="13.5" customHeight="1">
      <c r="A121" s="11" t="s">
        <v>103</v>
      </c>
      <c r="B121" s="281" t="s">
        <v>104</v>
      </c>
      <c r="C121" s="32">
        <f>SUM(C122)</f>
        <v>76250</v>
      </c>
      <c r="D121" s="331"/>
      <c r="F121" s="329"/>
      <c r="G121" s="95"/>
    </row>
    <row r="122" spans="1:8" s="71" customFormat="1" ht="13.5" customHeight="1">
      <c r="A122" s="12" t="s">
        <v>46</v>
      </c>
      <c r="B122" s="71" t="s">
        <v>45</v>
      </c>
      <c r="C122" s="24">
        <v>76250</v>
      </c>
      <c r="E122" s="31"/>
      <c r="F122" s="95"/>
      <c r="G122" s="95"/>
      <c r="H122" s="12"/>
    </row>
    <row r="123" spans="1:7" ht="13.5">
      <c r="A123" s="11" t="s">
        <v>105</v>
      </c>
      <c r="B123" s="249" t="s">
        <v>106</v>
      </c>
      <c r="C123" s="32">
        <f>SUM(C124:C125)</f>
        <v>158700</v>
      </c>
      <c r="E123" s="3"/>
      <c r="G123" s="324"/>
    </row>
    <row r="124" spans="1:7" s="5" customFormat="1" ht="13.5" hidden="1">
      <c r="A124" s="12" t="s">
        <v>67</v>
      </c>
      <c r="B124" s="71" t="s">
        <v>68</v>
      </c>
      <c r="C124" s="24"/>
      <c r="D124" s="95"/>
      <c r="E124" s="31"/>
      <c r="F124" s="12"/>
      <c r="G124" s="347"/>
    </row>
    <row r="125" spans="1:7" ht="13.5">
      <c r="A125" s="12" t="s">
        <v>86</v>
      </c>
      <c r="B125" s="71" t="s">
        <v>66</v>
      </c>
      <c r="C125" s="24">
        <v>158700</v>
      </c>
      <c r="E125" s="14"/>
      <c r="G125" s="95"/>
    </row>
    <row r="126" spans="1:7" ht="13.5">
      <c r="A126" s="11" t="s">
        <v>107</v>
      </c>
      <c r="B126" s="249" t="s">
        <v>108</v>
      </c>
      <c r="C126" s="31">
        <f>SUM(C127)</f>
        <v>179630</v>
      </c>
      <c r="D126" s="14"/>
      <c r="E126" s="14"/>
      <c r="G126" s="324"/>
    </row>
    <row r="127" spans="1:7" ht="13.5">
      <c r="A127" s="12" t="s">
        <v>47</v>
      </c>
      <c r="B127" s="23" t="s">
        <v>48</v>
      </c>
      <c r="C127" s="24">
        <v>179630</v>
      </c>
      <c r="G127" s="95"/>
    </row>
    <row r="128" spans="1:7" ht="13.5">
      <c r="A128" s="11" t="s">
        <v>196</v>
      </c>
      <c r="B128" s="25" t="s">
        <v>360</v>
      </c>
      <c r="C128" s="31">
        <f>SUM(C129)</f>
        <v>123500</v>
      </c>
      <c r="G128" s="324"/>
    </row>
    <row r="129" spans="1:7" ht="13.5">
      <c r="A129" s="12" t="s">
        <v>194</v>
      </c>
      <c r="B129" s="71" t="s">
        <v>216</v>
      </c>
      <c r="C129" s="24">
        <v>123500</v>
      </c>
      <c r="G129" s="95"/>
    </row>
    <row r="130" spans="1:9" s="71" customFormat="1" ht="13.5" customHeight="1">
      <c r="A130" s="249" t="s">
        <v>119</v>
      </c>
      <c r="B130" s="505" t="s">
        <v>192</v>
      </c>
      <c r="C130" s="31">
        <f>SUM(C131:C135)</f>
        <v>94100</v>
      </c>
      <c r="D130" s="77"/>
      <c r="E130" s="25"/>
      <c r="F130" s="100"/>
      <c r="G130" s="24"/>
      <c r="H130" s="12"/>
      <c r="I130" s="265"/>
    </row>
    <row r="131" spans="1:9" s="71" customFormat="1" ht="13.5" customHeight="1">
      <c r="A131" s="12" t="s">
        <v>149</v>
      </c>
      <c r="B131" s="42" t="s">
        <v>639</v>
      </c>
      <c r="C131" s="24">
        <v>9600</v>
      </c>
      <c r="D131" s="77"/>
      <c r="E131" s="25"/>
      <c r="F131" s="100"/>
      <c r="G131" s="24"/>
      <c r="H131" s="12"/>
      <c r="I131" s="265"/>
    </row>
    <row r="132" spans="1:8" s="71" customFormat="1" ht="13.5" customHeight="1">
      <c r="A132" s="71" t="s">
        <v>641</v>
      </c>
      <c r="B132" s="42" t="s">
        <v>640</v>
      </c>
      <c r="C132" s="24">
        <v>10000</v>
      </c>
      <c r="D132" s="21"/>
      <c r="E132" s="21"/>
      <c r="F132" s="5"/>
      <c r="G132" s="333"/>
      <c r="H132" s="119"/>
    </row>
    <row r="133" spans="1:5" s="65" customFormat="1" ht="13.5">
      <c r="A133" s="71" t="s">
        <v>758</v>
      </c>
      <c r="B133" s="24" t="s">
        <v>753</v>
      </c>
      <c r="C133" s="24">
        <v>17000</v>
      </c>
      <c r="D133" s="77"/>
      <c r="E133" s="25"/>
    </row>
    <row r="134" spans="1:5" s="65" customFormat="1" ht="13.5">
      <c r="A134" s="71" t="s">
        <v>762</v>
      </c>
      <c r="B134" s="24" t="s">
        <v>763</v>
      </c>
      <c r="C134" s="24">
        <v>35000</v>
      </c>
      <c r="D134" s="77"/>
      <c r="E134" s="25"/>
    </row>
    <row r="135" spans="1:5" s="65" customFormat="1" ht="13.5">
      <c r="A135" s="71" t="s">
        <v>754</v>
      </c>
      <c r="B135" s="24" t="s">
        <v>755</v>
      </c>
      <c r="C135" s="24">
        <v>22500</v>
      </c>
      <c r="D135" s="77"/>
      <c r="E135" s="25"/>
    </row>
    <row r="136" spans="1:7" ht="14.25" customHeight="1">
      <c r="A136" s="249" t="s">
        <v>124</v>
      </c>
      <c r="B136" s="25" t="s">
        <v>123</v>
      </c>
      <c r="C136" s="31">
        <f>SUM(C137:C138)</f>
        <v>43260</v>
      </c>
      <c r="G136" s="324"/>
    </row>
    <row r="137" spans="1:5" s="65" customFormat="1" ht="13.5">
      <c r="A137" s="12" t="s">
        <v>231</v>
      </c>
      <c r="B137" s="42" t="s">
        <v>230</v>
      </c>
      <c r="C137" s="24">
        <v>27000</v>
      </c>
      <c r="D137" s="56"/>
      <c r="E137" s="56"/>
    </row>
    <row r="138" spans="1:7" s="71" customFormat="1" ht="12.75" customHeight="1">
      <c r="A138" s="71" t="s">
        <v>93</v>
      </c>
      <c r="B138" s="23" t="s">
        <v>72</v>
      </c>
      <c r="C138" s="24">
        <v>16260</v>
      </c>
      <c r="D138" s="348"/>
      <c r="E138" s="18"/>
      <c r="F138" s="3"/>
      <c r="G138" s="324"/>
    </row>
    <row r="139" spans="1:7" s="71" customFormat="1" ht="12.75" customHeight="1">
      <c r="A139" s="249" t="s">
        <v>150</v>
      </c>
      <c r="B139" s="25" t="s">
        <v>361</v>
      </c>
      <c r="C139" s="31">
        <f>SUM(C140:C142)</f>
        <v>264750</v>
      </c>
      <c r="D139" s="348"/>
      <c r="E139" s="18"/>
      <c r="F139" s="3"/>
      <c r="G139" s="324"/>
    </row>
    <row r="140" spans="1:7" s="71" customFormat="1" ht="12.75" customHeight="1">
      <c r="A140" s="71" t="s">
        <v>151</v>
      </c>
      <c r="B140" s="23" t="s">
        <v>65</v>
      </c>
      <c r="C140" s="24">
        <v>12750</v>
      </c>
      <c r="D140" s="348"/>
      <c r="E140" s="18"/>
      <c r="F140" s="3"/>
      <c r="G140" s="324"/>
    </row>
    <row r="141" spans="1:7" s="71" customFormat="1" ht="12.75" customHeight="1">
      <c r="A141" s="71" t="s">
        <v>154</v>
      </c>
      <c r="B141" s="23" t="s">
        <v>361</v>
      </c>
      <c r="C141" s="24">
        <v>22000</v>
      </c>
      <c r="D141" s="349"/>
      <c r="E141" s="18"/>
      <c r="F141" s="3"/>
      <c r="G141" s="324"/>
    </row>
    <row r="142" spans="1:7" s="71" customFormat="1" ht="12.75" customHeight="1">
      <c r="A142" s="71" t="s">
        <v>643</v>
      </c>
      <c r="B142" s="42" t="s">
        <v>642</v>
      </c>
      <c r="C142" s="24">
        <v>230000</v>
      </c>
      <c r="D142" s="349"/>
      <c r="E142" s="18"/>
      <c r="F142" s="3"/>
      <c r="G142" s="324"/>
    </row>
    <row r="143" spans="2:7" s="71" customFormat="1" ht="12.75" customHeight="1" thickBot="1">
      <c r="B143" s="23"/>
      <c r="C143" s="23"/>
      <c r="D143" s="349"/>
      <c r="E143" s="18"/>
      <c r="F143" s="3"/>
      <c r="G143" s="324"/>
    </row>
    <row r="144" spans="1:7" s="127" customFormat="1" ht="12.75" customHeight="1" thickBot="1">
      <c r="A144" s="994" t="s">
        <v>3</v>
      </c>
      <c r="B144" s="995"/>
      <c r="C144" s="603">
        <f>C145+C147+C150+C153+C157+C159+C161</f>
        <v>6190150</v>
      </c>
      <c r="D144" s="348"/>
      <c r="E144" s="18"/>
      <c r="F144" s="3"/>
      <c r="G144" s="324"/>
    </row>
    <row r="145" spans="1:7" s="123" customFormat="1" ht="12.75" customHeight="1">
      <c r="A145" s="11" t="s">
        <v>110</v>
      </c>
      <c r="B145" s="11" t="s">
        <v>111</v>
      </c>
      <c r="C145" s="32">
        <f>SUM(C146)</f>
        <v>1445000</v>
      </c>
      <c r="D145" s="350"/>
      <c r="E145" s="331"/>
      <c r="F145" s="332"/>
      <c r="G145" s="332"/>
    </row>
    <row r="146" spans="1:7" s="127" customFormat="1" ht="12.75" customHeight="1">
      <c r="A146" s="12" t="s">
        <v>52</v>
      </c>
      <c r="B146" s="12" t="s">
        <v>15</v>
      </c>
      <c r="C146" s="24">
        <v>1445000</v>
      </c>
      <c r="E146" s="27"/>
      <c r="F146" s="349"/>
      <c r="G146" s="349"/>
    </row>
    <row r="147" spans="1:7" s="127" customFormat="1" ht="12.75" customHeight="1">
      <c r="A147" s="11" t="s">
        <v>120</v>
      </c>
      <c r="B147" s="505" t="s">
        <v>121</v>
      </c>
      <c r="C147" s="31">
        <f>SUM(C148:C149)</f>
        <v>61240</v>
      </c>
      <c r="E147" s="27"/>
      <c r="F147" s="100"/>
      <c r="G147" s="349"/>
    </row>
    <row r="148" spans="1:9" s="65" customFormat="1" ht="13.5" customHeight="1">
      <c r="A148" s="58" t="s">
        <v>140</v>
      </c>
      <c r="B148" s="42" t="s">
        <v>141</v>
      </c>
      <c r="C148" s="59">
        <v>40000</v>
      </c>
      <c r="G148" s="59"/>
      <c r="H148" s="56"/>
      <c r="I148" s="56"/>
    </row>
    <row r="149" spans="1:7" s="127" customFormat="1" ht="12.75" customHeight="1">
      <c r="A149" s="12" t="s">
        <v>136</v>
      </c>
      <c r="B149" s="42" t="s">
        <v>207</v>
      </c>
      <c r="C149" s="24">
        <v>21240</v>
      </c>
      <c r="E149" s="27"/>
      <c r="F149" s="100"/>
      <c r="G149" s="349"/>
    </row>
    <row r="150" spans="1:7" s="127" customFormat="1" ht="12.75" customHeight="1">
      <c r="A150" s="249" t="s">
        <v>112</v>
      </c>
      <c r="B150" s="11" t="s">
        <v>156</v>
      </c>
      <c r="C150" s="31">
        <f>SUM(C151:C152)</f>
        <v>662700</v>
      </c>
      <c r="E150" s="27"/>
      <c r="F150" s="100"/>
      <c r="G150" s="349"/>
    </row>
    <row r="151" spans="1:7" s="127" customFormat="1" ht="12.75" customHeight="1">
      <c r="A151" s="71" t="s">
        <v>138</v>
      </c>
      <c r="B151" s="58" t="s">
        <v>810</v>
      </c>
      <c r="C151" s="24">
        <v>20000</v>
      </c>
      <c r="E151" s="14"/>
      <c r="F151" s="14"/>
      <c r="G151" s="351"/>
    </row>
    <row r="152" spans="1:7" s="127" customFormat="1" ht="12.75" customHeight="1">
      <c r="A152" s="71" t="s">
        <v>49</v>
      </c>
      <c r="B152" s="23" t="s">
        <v>87</v>
      </c>
      <c r="C152" s="24">
        <v>642700</v>
      </c>
      <c r="E152" s="14"/>
      <c r="F152" s="14"/>
      <c r="G152" s="352"/>
    </row>
    <row r="153" spans="1:7" s="127" customFormat="1" ht="12.75" customHeight="1">
      <c r="A153" s="249" t="s">
        <v>113</v>
      </c>
      <c r="B153" s="25" t="s">
        <v>114</v>
      </c>
      <c r="C153" s="31">
        <f>SUM(C154:C156)</f>
        <v>196200</v>
      </c>
      <c r="E153" s="14"/>
      <c r="F153" s="14"/>
      <c r="G153" s="344"/>
    </row>
    <row r="154" spans="1:8" s="71" customFormat="1" ht="12.75" customHeight="1">
      <c r="A154" s="71" t="s">
        <v>75</v>
      </c>
      <c r="B154" s="71" t="s">
        <v>73</v>
      </c>
      <c r="C154" s="24">
        <v>32000</v>
      </c>
      <c r="G154" s="353"/>
      <c r="H154" s="12"/>
    </row>
    <row r="155" spans="1:7" s="71" customFormat="1" ht="12.75" customHeight="1">
      <c r="A155" s="71" t="s">
        <v>88</v>
      </c>
      <c r="B155" s="23" t="s">
        <v>64</v>
      </c>
      <c r="C155" s="24">
        <v>28750</v>
      </c>
      <c r="G155" s="353"/>
    </row>
    <row r="156" spans="1:7" s="71" customFormat="1" ht="12.75" customHeight="1">
      <c r="A156" s="71" t="s">
        <v>362</v>
      </c>
      <c r="B156" s="24" t="s">
        <v>363</v>
      </c>
      <c r="C156" s="24">
        <v>135450</v>
      </c>
      <c r="G156" s="353"/>
    </row>
    <row r="157" spans="1:7" s="71" customFormat="1" ht="12.75" customHeight="1">
      <c r="A157" s="249" t="s">
        <v>132</v>
      </c>
      <c r="B157" s="25" t="s">
        <v>56</v>
      </c>
      <c r="C157" s="31">
        <f>SUM(C158)</f>
        <v>230400</v>
      </c>
      <c r="G157" s="353"/>
    </row>
    <row r="158" spans="1:7" s="127" customFormat="1" ht="12.75" customHeight="1">
      <c r="A158" s="71" t="s">
        <v>55</v>
      </c>
      <c r="B158" s="71" t="s">
        <v>56</v>
      </c>
      <c r="C158" s="24">
        <v>230400</v>
      </c>
      <c r="E158" s="347"/>
      <c r="F158" s="142"/>
      <c r="G158" s="353"/>
    </row>
    <row r="159" spans="1:7" ht="14.25" customHeight="1">
      <c r="A159" s="249" t="s">
        <v>364</v>
      </c>
      <c r="B159" s="25" t="s">
        <v>365</v>
      </c>
      <c r="C159" s="31">
        <f>SUM(C160:C160)</f>
        <v>14400</v>
      </c>
      <c r="E159" s="14"/>
      <c r="F159" s="14"/>
      <c r="G159" s="24"/>
    </row>
    <row r="160" spans="1:7" ht="13.5" customHeight="1">
      <c r="A160" s="71" t="s">
        <v>366</v>
      </c>
      <c r="B160" s="12" t="s">
        <v>367</v>
      </c>
      <c r="C160" s="24">
        <v>14400</v>
      </c>
      <c r="E160" s="14"/>
      <c r="F160" s="14"/>
      <c r="G160" s="24"/>
    </row>
    <row r="161" spans="1:7" s="127" customFormat="1" ht="12.75" customHeight="1">
      <c r="A161" s="249" t="s">
        <v>115</v>
      </c>
      <c r="B161" s="25" t="s">
        <v>8</v>
      </c>
      <c r="C161" s="31">
        <f>SUM(C162:C165)</f>
        <v>3580210</v>
      </c>
      <c r="E161" s="70"/>
      <c r="F161" s="354"/>
      <c r="G161" s="347"/>
    </row>
    <row r="162" spans="1:7" s="71" customFormat="1" ht="12.75" customHeight="1">
      <c r="A162" s="71" t="s">
        <v>92</v>
      </c>
      <c r="B162" s="23" t="s">
        <v>8</v>
      </c>
      <c r="C162" s="24">
        <v>2612000</v>
      </c>
      <c r="E162" s="12"/>
      <c r="F162" s="1"/>
      <c r="G162" s="352"/>
    </row>
    <row r="163" spans="1:7" s="71" customFormat="1" ht="12.75" customHeight="1">
      <c r="A163" s="71" t="s">
        <v>182</v>
      </c>
      <c r="B163" s="23" t="s">
        <v>50</v>
      </c>
      <c r="C163" s="24">
        <v>18000</v>
      </c>
      <c r="E163" s="347"/>
      <c r="F163" s="355"/>
      <c r="G163" s="344"/>
    </row>
    <row r="164" spans="1:7" s="5" customFormat="1" ht="13.5">
      <c r="A164" s="71" t="s">
        <v>223</v>
      </c>
      <c r="B164" s="12" t="s">
        <v>222</v>
      </c>
      <c r="C164" s="24">
        <v>93460</v>
      </c>
      <c r="E164" s="117"/>
      <c r="F164" s="117"/>
      <c r="G164" s="24"/>
    </row>
    <row r="165" spans="1:7" s="127" customFormat="1" ht="12.75" customHeight="1">
      <c r="A165" s="71" t="s">
        <v>90</v>
      </c>
      <c r="B165" s="23" t="s">
        <v>7</v>
      </c>
      <c r="C165" s="22">
        <v>856750</v>
      </c>
      <c r="E165" s="347"/>
      <c r="F165" s="355"/>
      <c r="G165" s="356"/>
    </row>
    <row r="166" spans="1:7" s="127" customFormat="1" ht="12.75" customHeight="1" thickBot="1">
      <c r="A166" s="71"/>
      <c r="B166" s="71"/>
      <c r="C166" s="95"/>
      <c r="D166" s="14"/>
      <c r="E166" s="347"/>
      <c r="F166" s="355"/>
      <c r="G166" s="324"/>
    </row>
    <row r="167" spans="1:7" s="127" customFormat="1" ht="12.75" customHeight="1" thickBot="1">
      <c r="A167" s="996" t="s">
        <v>4</v>
      </c>
      <c r="B167" s="997"/>
      <c r="C167" s="605">
        <f>+C168+C172</f>
        <v>157760</v>
      </c>
      <c r="D167" s="14"/>
      <c r="E167" s="347"/>
      <c r="F167" s="357"/>
      <c r="G167" s="324"/>
    </row>
    <row r="168" spans="1:7" s="71" customFormat="1" ht="13.5">
      <c r="A168" s="249" t="s">
        <v>116</v>
      </c>
      <c r="B168" s="249" t="s">
        <v>117</v>
      </c>
      <c r="C168" s="31">
        <f>SUM(C169:C171)</f>
        <v>148400</v>
      </c>
      <c r="D168" s="28"/>
      <c r="E168" s="328"/>
      <c r="F168" s="187"/>
      <c r="G168" s="325"/>
    </row>
    <row r="169" spans="1:7" s="127" customFormat="1" ht="12.75" customHeight="1">
      <c r="A169" s="71" t="s">
        <v>91</v>
      </c>
      <c r="B169" s="71" t="s">
        <v>139</v>
      </c>
      <c r="C169" s="24">
        <v>93400</v>
      </c>
      <c r="E169" s="328"/>
      <c r="F169" s="187"/>
      <c r="G169" s="28"/>
    </row>
    <row r="170" spans="1:7" s="5" customFormat="1" ht="13.5">
      <c r="A170" s="71" t="s">
        <v>57</v>
      </c>
      <c r="B170" s="71" t="s">
        <v>58</v>
      </c>
      <c r="C170" s="24">
        <v>25000</v>
      </c>
      <c r="D170" s="21"/>
      <c r="E170" s="21"/>
      <c r="G170" s="333"/>
    </row>
    <row r="171" spans="1:8" s="8" customFormat="1" ht="13.5" customHeight="1">
      <c r="A171" s="71" t="s">
        <v>756</v>
      </c>
      <c r="B171" s="23" t="s">
        <v>757</v>
      </c>
      <c r="C171" s="24">
        <v>30000</v>
      </c>
      <c r="D171" s="77"/>
      <c r="E171" s="25"/>
      <c r="F171" s="98"/>
      <c r="G171" s="54"/>
      <c r="H171" s="42"/>
    </row>
    <row r="172" spans="1:7" s="127" customFormat="1" ht="12.75" customHeight="1">
      <c r="A172" s="249" t="s">
        <v>165</v>
      </c>
      <c r="B172" s="25" t="s">
        <v>135</v>
      </c>
      <c r="C172" s="31">
        <f>SUM(C173)</f>
        <v>9360</v>
      </c>
      <c r="D172" s="28"/>
      <c r="E172" s="328"/>
      <c r="F172" s="187"/>
      <c r="G172" s="325"/>
    </row>
    <row r="173" spans="1:7" s="5" customFormat="1" ht="13.5">
      <c r="A173" s="71" t="s">
        <v>166</v>
      </c>
      <c r="B173" s="23" t="s">
        <v>51</v>
      </c>
      <c r="C173" s="24">
        <v>9360</v>
      </c>
      <c r="D173" s="18"/>
      <c r="E173" s="332"/>
      <c r="F173" s="1"/>
      <c r="G173" s="324"/>
    </row>
    <row r="174" spans="1:7" s="5" customFormat="1" ht="13.5">
      <c r="A174" s="71"/>
      <c r="B174" s="23"/>
      <c r="C174" s="24"/>
      <c r="D174" s="18"/>
      <c r="E174" s="332"/>
      <c r="F174" s="1"/>
      <c r="G174" s="324"/>
    </row>
    <row r="175" spans="1:7" s="5" customFormat="1" ht="14.25" thickBot="1">
      <c r="A175" s="71"/>
      <c r="B175" s="23"/>
      <c r="C175" s="23"/>
      <c r="D175" s="18"/>
      <c r="E175" s="332"/>
      <c r="F175" s="1"/>
      <c r="G175" s="324"/>
    </row>
    <row r="176" spans="1:7" s="5" customFormat="1" ht="12.75">
      <c r="A176" s="988" t="s">
        <v>965</v>
      </c>
      <c r="B176" s="1009"/>
      <c r="C176" s="989"/>
      <c r="D176" s="627" t="s">
        <v>6</v>
      </c>
      <c r="E176" s="757" t="s">
        <v>815</v>
      </c>
      <c r="F176" s="3"/>
      <c r="G176" s="324"/>
    </row>
    <row r="177" spans="1:7" s="5" customFormat="1" ht="13.5" thickBot="1">
      <c r="A177" s="990"/>
      <c r="B177" s="1010"/>
      <c r="C177" s="991"/>
      <c r="D177" s="669"/>
      <c r="E177" s="758"/>
      <c r="F177" s="3"/>
      <c r="G177" s="324"/>
    </row>
    <row r="178" spans="1:7" s="5" customFormat="1" ht="12.75">
      <c r="A178" s="979" t="s">
        <v>966</v>
      </c>
      <c r="B178" s="980"/>
      <c r="C178" s="980"/>
      <c r="D178" s="980"/>
      <c r="E178" s="981"/>
      <c r="F178" s="3"/>
      <c r="G178" s="324"/>
    </row>
    <row r="179" spans="1:7" s="5" customFormat="1" ht="12.75">
      <c r="A179" s="982"/>
      <c r="B179" s="983"/>
      <c r="C179" s="983"/>
      <c r="D179" s="983"/>
      <c r="E179" s="984"/>
      <c r="F179" s="3"/>
      <c r="G179" s="324"/>
    </row>
    <row r="180" spans="1:7" s="5" customFormat="1" ht="12.75">
      <c r="A180" s="982"/>
      <c r="B180" s="983"/>
      <c r="C180" s="983"/>
      <c r="D180" s="983"/>
      <c r="E180" s="984"/>
      <c r="F180" s="3"/>
      <c r="G180" s="324"/>
    </row>
    <row r="181" spans="1:7" s="5" customFormat="1" ht="12.75">
      <c r="A181" s="982"/>
      <c r="B181" s="983"/>
      <c r="C181" s="983"/>
      <c r="D181" s="983"/>
      <c r="E181" s="984"/>
      <c r="F181" s="3"/>
      <c r="G181" s="324"/>
    </row>
    <row r="182" spans="1:7" s="5" customFormat="1" ht="13.5" thickBot="1">
      <c r="A182" s="985"/>
      <c r="B182" s="986"/>
      <c r="C182" s="986"/>
      <c r="D182" s="986"/>
      <c r="E182" s="987"/>
      <c r="F182" s="3"/>
      <c r="G182" s="324"/>
    </row>
    <row r="183" spans="1:7" s="5" customFormat="1" ht="13.5">
      <c r="A183" s="40" t="s">
        <v>809</v>
      </c>
      <c r="B183" s="12"/>
      <c r="C183" s="24"/>
      <c r="D183" s="24"/>
      <c r="E183" s="303"/>
      <c r="F183" s="3"/>
      <c r="G183" s="324"/>
    </row>
    <row r="184" spans="1:7" s="5" customFormat="1" ht="13.5">
      <c r="A184" s="40" t="s">
        <v>622</v>
      </c>
      <c r="B184" s="12"/>
      <c r="C184" s="24"/>
      <c r="D184" s="24"/>
      <c r="E184" s="303"/>
      <c r="F184" s="3"/>
      <c r="G184" s="324"/>
    </row>
    <row r="185" spans="1:8" s="71" customFormat="1" ht="13.5" customHeight="1">
      <c r="A185" s="40" t="s">
        <v>634</v>
      </c>
      <c r="B185" s="12"/>
      <c r="C185" s="24"/>
      <c r="D185" s="24"/>
      <c r="E185" s="303"/>
      <c r="F185" s="3"/>
      <c r="G185" s="324"/>
      <c r="H185" s="12"/>
    </row>
    <row r="186" spans="1:7" s="142" customFormat="1" ht="14.25" thickBot="1">
      <c r="A186" s="40" t="s">
        <v>13</v>
      </c>
      <c r="B186" s="12"/>
      <c r="C186" s="24"/>
      <c r="D186" s="24"/>
      <c r="E186" s="303"/>
      <c r="F186" s="3"/>
      <c r="G186" s="550"/>
    </row>
    <row r="187" spans="1:7" s="142" customFormat="1" ht="14.25" thickBot="1">
      <c r="A187" s="697" t="s">
        <v>14</v>
      </c>
      <c r="B187" s="698"/>
      <c r="C187" s="699"/>
      <c r="D187" s="701"/>
      <c r="E187" s="750">
        <f>(C189+C209+C225)</f>
        <v>1212490</v>
      </c>
      <c r="F187" s="16"/>
      <c r="G187" s="15"/>
    </row>
    <row r="188" spans="1:7" s="142" customFormat="1" ht="14.25" thickBot="1">
      <c r="A188" s="11"/>
      <c r="B188" s="11"/>
      <c r="C188" s="31"/>
      <c r="D188" s="31"/>
      <c r="E188" s="535"/>
      <c r="F188" s="327"/>
      <c r="G188" s="332"/>
    </row>
    <row r="189" spans="1:7" s="142" customFormat="1" ht="14.25" thickBot="1">
      <c r="A189" s="992" t="s">
        <v>2</v>
      </c>
      <c r="B189" s="993"/>
      <c r="C189" s="602">
        <f>+C192+C194+C196+C202+C205+C190</f>
        <v>472070</v>
      </c>
      <c r="D189" s="18"/>
      <c r="E189" s="535"/>
      <c r="F189" s="327"/>
      <c r="G189" s="324"/>
    </row>
    <row r="190" spans="1:7" s="100" customFormat="1" ht="13.5" customHeight="1">
      <c r="A190" s="11" t="s">
        <v>103</v>
      </c>
      <c r="B190" s="281" t="s">
        <v>104</v>
      </c>
      <c r="C190" s="32">
        <f>SUM(C191)</f>
        <v>65300</v>
      </c>
      <c r="D190" s="331"/>
      <c r="E190" s="536"/>
      <c r="F190" s="327"/>
      <c r="G190" s="332"/>
    </row>
    <row r="191" spans="1:8" s="71" customFormat="1" ht="13.5" customHeight="1">
      <c r="A191" s="12" t="s">
        <v>46</v>
      </c>
      <c r="B191" s="71" t="s">
        <v>45</v>
      </c>
      <c r="C191" s="24">
        <v>65300</v>
      </c>
      <c r="E191" s="31"/>
      <c r="F191" s="95"/>
      <c r="G191" s="95"/>
      <c r="H191" s="12"/>
    </row>
    <row r="192" spans="1:7" s="142" customFormat="1" ht="13.5">
      <c r="A192" s="11" t="s">
        <v>105</v>
      </c>
      <c r="B192" s="249" t="s">
        <v>106</v>
      </c>
      <c r="C192" s="31">
        <f>SUM(C193)</f>
        <v>38640</v>
      </c>
      <c r="F192" s="329"/>
      <c r="G192" s="18"/>
    </row>
    <row r="193" spans="1:7" s="142" customFormat="1" ht="13.5">
      <c r="A193" s="12" t="s">
        <v>86</v>
      </c>
      <c r="B193" s="71" t="s">
        <v>66</v>
      </c>
      <c r="C193" s="24">
        <v>38640</v>
      </c>
      <c r="E193" s="18"/>
      <c r="F193" s="3"/>
      <c r="G193" s="18"/>
    </row>
    <row r="194" spans="1:7" s="142" customFormat="1" ht="13.5">
      <c r="A194" s="11" t="s">
        <v>107</v>
      </c>
      <c r="B194" s="249" t="s">
        <v>108</v>
      </c>
      <c r="C194" s="31">
        <f>SUM(C195)</f>
        <v>178400</v>
      </c>
      <c r="E194" s="18"/>
      <c r="F194" s="3"/>
      <c r="G194" s="18"/>
    </row>
    <row r="195" spans="1:7" s="142" customFormat="1" ht="13.5">
      <c r="A195" s="12" t="s">
        <v>47</v>
      </c>
      <c r="B195" s="23" t="s">
        <v>48</v>
      </c>
      <c r="C195" s="24">
        <v>178400</v>
      </c>
      <c r="E195" s="18"/>
      <c r="F195" s="3"/>
      <c r="G195" s="18"/>
    </row>
    <row r="196" spans="1:7" s="142" customFormat="1" ht="13.5">
      <c r="A196" s="249" t="s">
        <v>119</v>
      </c>
      <c r="B196" s="25" t="s">
        <v>109</v>
      </c>
      <c r="C196" s="31">
        <f>SUM(C197:C201)</f>
        <v>100240</v>
      </c>
      <c r="E196" s="18"/>
      <c r="F196" s="3"/>
      <c r="G196" s="18"/>
    </row>
    <row r="197" spans="1:7" s="142" customFormat="1" ht="13.5">
      <c r="A197" s="71" t="s">
        <v>149</v>
      </c>
      <c r="B197" s="78" t="s">
        <v>69</v>
      </c>
      <c r="C197" s="24">
        <v>15840</v>
      </c>
      <c r="D197" s="18"/>
      <c r="E197" s="18"/>
      <c r="F197" s="3"/>
      <c r="G197" s="324"/>
    </row>
    <row r="198" spans="1:7" s="142" customFormat="1" ht="13.5">
      <c r="A198" s="71" t="s">
        <v>641</v>
      </c>
      <c r="B198" s="42" t="s">
        <v>640</v>
      </c>
      <c r="C198" s="24">
        <v>14400</v>
      </c>
      <c r="D198" s="18"/>
      <c r="E198" s="18"/>
      <c r="F198" s="3"/>
      <c r="G198" s="324"/>
    </row>
    <row r="199" spans="1:5" s="65" customFormat="1" ht="13.5">
      <c r="A199" s="71" t="s">
        <v>758</v>
      </c>
      <c r="B199" s="24" t="s">
        <v>753</v>
      </c>
      <c r="C199" s="24">
        <v>17000</v>
      </c>
      <c r="D199" s="77"/>
      <c r="E199" s="25"/>
    </row>
    <row r="200" spans="1:5" s="65" customFormat="1" ht="13.5">
      <c r="A200" s="71" t="s">
        <v>762</v>
      </c>
      <c r="B200" s="24" t="s">
        <v>763</v>
      </c>
      <c r="C200" s="24">
        <v>35000</v>
      </c>
      <c r="D200" s="77"/>
      <c r="E200" s="25"/>
    </row>
    <row r="201" spans="1:5" s="65" customFormat="1" ht="13.5">
      <c r="A201" s="71" t="s">
        <v>754</v>
      </c>
      <c r="B201" s="24" t="s">
        <v>755</v>
      </c>
      <c r="C201" s="24">
        <v>18000</v>
      </c>
      <c r="D201" s="77"/>
      <c r="E201" s="25"/>
    </row>
    <row r="202" spans="1:7" s="142" customFormat="1" ht="13.5">
      <c r="A202" s="249" t="s">
        <v>124</v>
      </c>
      <c r="B202" s="25" t="s">
        <v>123</v>
      </c>
      <c r="C202" s="31">
        <f>SUM(C203:C204)</f>
        <v>47690</v>
      </c>
      <c r="D202" s="18"/>
      <c r="E202" s="18"/>
      <c r="F202" s="3"/>
      <c r="G202" s="324"/>
    </row>
    <row r="203" spans="1:5" s="65" customFormat="1" ht="13.5">
      <c r="A203" s="12" t="s">
        <v>231</v>
      </c>
      <c r="B203" s="42" t="s">
        <v>230</v>
      </c>
      <c r="C203" s="24">
        <v>32400</v>
      </c>
      <c r="D203" s="56"/>
      <c r="E203" s="56"/>
    </row>
    <row r="204" spans="1:12" s="142" customFormat="1" ht="13.5">
      <c r="A204" s="71" t="s">
        <v>93</v>
      </c>
      <c r="B204" s="23" t="s">
        <v>72</v>
      </c>
      <c r="C204" s="24">
        <v>15290</v>
      </c>
      <c r="D204" s="18"/>
      <c r="E204" s="18"/>
      <c r="F204" s="3"/>
      <c r="G204" s="324"/>
      <c r="H204" s="5"/>
      <c r="I204" s="5"/>
      <c r="J204" s="5"/>
      <c r="K204" s="5"/>
      <c r="L204" s="5"/>
    </row>
    <row r="205" spans="1:12" s="142" customFormat="1" ht="13.5">
      <c r="A205" s="249" t="s">
        <v>150</v>
      </c>
      <c r="B205" s="25" t="s">
        <v>125</v>
      </c>
      <c r="C205" s="31">
        <f>SUM(C206:C207)</f>
        <v>41800</v>
      </c>
      <c r="D205" s="18"/>
      <c r="E205" s="18"/>
      <c r="F205" s="3"/>
      <c r="G205" s="324"/>
      <c r="H205" s="5"/>
      <c r="I205" s="5"/>
      <c r="J205" s="5"/>
      <c r="K205" s="5"/>
      <c r="L205" s="5"/>
    </row>
    <row r="206" spans="1:7" s="5" customFormat="1" ht="13.5">
      <c r="A206" s="71" t="s">
        <v>151</v>
      </c>
      <c r="B206" s="23" t="s">
        <v>65</v>
      </c>
      <c r="C206" s="24">
        <v>22300</v>
      </c>
      <c r="D206" s="95"/>
      <c r="E206" s="25"/>
      <c r="F206" s="100"/>
      <c r="G206" s="95"/>
    </row>
    <row r="207" spans="1:7" s="5" customFormat="1" ht="13.5">
      <c r="A207" s="71" t="s">
        <v>154</v>
      </c>
      <c r="B207" s="23" t="s">
        <v>133</v>
      </c>
      <c r="C207" s="24">
        <v>19500</v>
      </c>
      <c r="D207" s="18"/>
      <c r="E207" s="18"/>
      <c r="F207" s="3"/>
      <c r="G207" s="324"/>
    </row>
    <row r="208" spans="1:7" s="5" customFormat="1" ht="14.25" thickBot="1">
      <c r="A208" s="71"/>
      <c r="B208" s="23"/>
      <c r="C208" s="23"/>
      <c r="D208" s="18"/>
      <c r="E208" s="18"/>
      <c r="F208" s="3"/>
      <c r="G208" s="324"/>
    </row>
    <row r="209" spans="1:7" s="5" customFormat="1" ht="14.25" thickBot="1">
      <c r="A209" s="994" t="s">
        <v>3</v>
      </c>
      <c r="B209" s="995"/>
      <c r="C209" s="603">
        <f>(C210+C212+C215+C218+C220)</f>
        <v>586020</v>
      </c>
      <c r="D209" s="18"/>
      <c r="E209" s="347"/>
      <c r="F209" s="3"/>
      <c r="G209" s="324"/>
    </row>
    <row r="210" spans="1:7" s="334" customFormat="1" ht="13.5">
      <c r="A210" s="11" t="s">
        <v>110</v>
      </c>
      <c r="B210" s="11" t="s">
        <v>111</v>
      </c>
      <c r="C210" s="32">
        <f>SUM(C211)</f>
        <v>12720</v>
      </c>
      <c r="D210" s="331"/>
      <c r="E210" s="359"/>
      <c r="F210" s="332"/>
      <c r="G210" s="332"/>
    </row>
    <row r="211" spans="1:7" s="5" customFormat="1" ht="13.5">
      <c r="A211" s="12" t="s">
        <v>52</v>
      </c>
      <c r="B211" s="12" t="s">
        <v>15</v>
      </c>
      <c r="C211" s="24">
        <v>12720</v>
      </c>
      <c r="D211" s="326"/>
      <c r="E211" s="27"/>
      <c r="F211" s="100"/>
      <c r="G211" s="95"/>
    </row>
    <row r="212" spans="1:7" s="5" customFormat="1" ht="13.5">
      <c r="A212" s="11" t="s">
        <v>120</v>
      </c>
      <c r="B212" s="25" t="s">
        <v>121</v>
      </c>
      <c r="C212" s="31">
        <f>SUM(C213:C214)</f>
        <v>78800</v>
      </c>
      <c r="D212" s="326"/>
      <c r="E212" s="27"/>
      <c r="F212" s="100"/>
      <c r="G212" s="95"/>
    </row>
    <row r="213" spans="1:9" s="65" customFormat="1" ht="13.5" customHeight="1">
      <c r="A213" s="58" t="s">
        <v>140</v>
      </c>
      <c r="B213" s="42" t="s">
        <v>141</v>
      </c>
      <c r="C213" s="59">
        <v>50000</v>
      </c>
      <c r="G213" s="59"/>
      <c r="H213" s="56"/>
      <c r="I213" s="56"/>
    </row>
    <row r="214" spans="1:7" s="5" customFormat="1" ht="13.5">
      <c r="A214" s="12" t="s">
        <v>136</v>
      </c>
      <c r="B214" s="12" t="s">
        <v>71</v>
      </c>
      <c r="C214" s="24">
        <v>28800</v>
      </c>
      <c r="D214" s="14"/>
      <c r="E214" s="14"/>
      <c r="F214" s="3"/>
      <c r="G214" s="324"/>
    </row>
    <row r="215" spans="1:7" s="5" customFormat="1" ht="13.5">
      <c r="A215" s="249" t="s">
        <v>112</v>
      </c>
      <c r="B215" s="11" t="s">
        <v>156</v>
      </c>
      <c r="C215" s="31">
        <f>SUM(C216:C217)</f>
        <v>167200</v>
      </c>
      <c r="D215" s="14"/>
      <c r="E215" s="14"/>
      <c r="F215" s="3"/>
      <c r="G215" s="324"/>
    </row>
    <row r="216" spans="1:7" s="5" customFormat="1" ht="13.5">
      <c r="A216" s="71" t="s">
        <v>138</v>
      </c>
      <c r="B216" s="58" t="s">
        <v>810</v>
      </c>
      <c r="C216" s="24">
        <v>7200</v>
      </c>
      <c r="D216" s="31"/>
      <c r="E216" s="14"/>
      <c r="F216" s="14"/>
      <c r="G216" s="332"/>
    </row>
    <row r="217" spans="1:7" s="5" customFormat="1" ht="13.5" customHeight="1">
      <c r="A217" s="71" t="s">
        <v>49</v>
      </c>
      <c r="B217" s="23" t="s">
        <v>87</v>
      </c>
      <c r="C217" s="24">
        <v>160000</v>
      </c>
      <c r="E217" s="14"/>
      <c r="F217" s="142"/>
      <c r="G217" s="24"/>
    </row>
    <row r="218" spans="1:7" s="5" customFormat="1" ht="13.5" customHeight="1">
      <c r="A218" s="249" t="s">
        <v>113</v>
      </c>
      <c r="B218" s="25" t="s">
        <v>114</v>
      </c>
      <c r="C218" s="31">
        <f>SUM(C219:C219)</f>
        <v>28200</v>
      </c>
      <c r="E218" s="14"/>
      <c r="F218" s="14"/>
      <c r="G218" s="24"/>
    </row>
    <row r="219" spans="1:8" s="71" customFormat="1" ht="12.75" customHeight="1">
      <c r="A219" s="71" t="s">
        <v>362</v>
      </c>
      <c r="B219" s="24" t="s">
        <v>363</v>
      </c>
      <c r="C219" s="24">
        <v>28200</v>
      </c>
      <c r="D219" s="533"/>
      <c r="E219" s="533"/>
      <c r="F219" s="546"/>
      <c r="G219" s="537"/>
      <c r="H219" s="533"/>
    </row>
    <row r="220" spans="1:7" ht="12.75" customHeight="1">
      <c r="A220" s="249" t="s">
        <v>115</v>
      </c>
      <c r="B220" s="25" t="s">
        <v>8</v>
      </c>
      <c r="C220" s="31">
        <f>SUM(C221:C223)</f>
        <v>299100</v>
      </c>
      <c r="D220" s="24"/>
      <c r="E220" s="14"/>
      <c r="F220" s="14"/>
      <c r="G220" s="332"/>
    </row>
    <row r="221" spans="1:7" ht="12.75" customHeight="1">
      <c r="A221" s="71" t="s">
        <v>92</v>
      </c>
      <c r="B221" s="23" t="s">
        <v>8</v>
      </c>
      <c r="C221" s="24">
        <v>218300</v>
      </c>
      <c r="D221" s="31"/>
      <c r="E221" s="14"/>
      <c r="F221" s="142"/>
      <c r="G221" s="324"/>
    </row>
    <row r="222" spans="1:7" ht="12.75" customHeight="1">
      <c r="A222" s="71" t="s">
        <v>94</v>
      </c>
      <c r="B222" s="23" t="s">
        <v>50</v>
      </c>
      <c r="C222" s="24">
        <v>15700</v>
      </c>
      <c r="E222" s="14"/>
      <c r="F222" s="14"/>
      <c r="G222" s="332"/>
    </row>
    <row r="223" spans="1:7" ht="12.75" customHeight="1">
      <c r="A223" s="71" t="s">
        <v>90</v>
      </c>
      <c r="B223" s="23" t="s">
        <v>7</v>
      </c>
      <c r="C223" s="24">
        <v>65100</v>
      </c>
      <c r="D223" s="27"/>
      <c r="E223" s="16"/>
      <c r="F223" s="14"/>
      <c r="G223" s="332"/>
    </row>
    <row r="224" spans="1:7" ht="12.75" customHeight="1" thickBot="1">
      <c r="A224" s="71"/>
      <c r="B224" s="23"/>
      <c r="C224" s="23"/>
      <c r="D224" s="209"/>
      <c r="E224" s="14"/>
      <c r="F224" s="14"/>
      <c r="G224" s="324"/>
    </row>
    <row r="225" spans="1:7" ht="12.75" customHeight="1" thickBot="1">
      <c r="A225" s="996" t="s">
        <v>4</v>
      </c>
      <c r="B225" s="997"/>
      <c r="C225" s="605">
        <f>C226+C230</f>
        <v>154400</v>
      </c>
      <c r="G225" s="324"/>
    </row>
    <row r="226" spans="1:5" s="332" customFormat="1" ht="12.75" customHeight="1">
      <c r="A226" s="249" t="s">
        <v>116</v>
      </c>
      <c r="B226" s="249" t="s">
        <v>117</v>
      </c>
      <c r="C226" s="31">
        <f>SUM(C227:C229)</f>
        <v>143600</v>
      </c>
      <c r="D226" s="331"/>
      <c r="E226" s="331"/>
    </row>
    <row r="227" spans="1:7" ht="13.5" customHeight="1">
      <c r="A227" s="71" t="s">
        <v>91</v>
      </c>
      <c r="B227" s="71" t="s">
        <v>139</v>
      </c>
      <c r="C227" s="24">
        <v>76800</v>
      </c>
      <c r="D227" s="28"/>
      <c r="G227" s="324"/>
    </row>
    <row r="228" spans="1:7" s="5" customFormat="1" ht="13.5">
      <c r="A228" s="71" t="s">
        <v>57</v>
      </c>
      <c r="B228" s="71" t="s">
        <v>58</v>
      </c>
      <c r="C228" s="24">
        <v>30000</v>
      </c>
      <c r="D228" s="21"/>
      <c r="E228" s="21"/>
      <c r="G228" s="333"/>
    </row>
    <row r="229" spans="1:8" s="8" customFormat="1" ht="13.5" customHeight="1">
      <c r="A229" s="71" t="s">
        <v>756</v>
      </c>
      <c r="B229" s="23" t="s">
        <v>757</v>
      </c>
      <c r="C229" s="24">
        <v>36800</v>
      </c>
      <c r="D229" s="77"/>
      <c r="E229" s="25"/>
      <c r="F229" s="98"/>
      <c r="G229" s="54"/>
      <c r="H229" s="42"/>
    </row>
    <row r="230" spans="1:7" ht="13.5" customHeight="1">
      <c r="A230" s="249" t="s">
        <v>165</v>
      </c>
      <c r="B230" s="25" t="s">
        <v>135</v>
      </c>
      <c r="C230" s="31">
        <f>SUM(C231)</f>
        <v>10800</v>
      </c>
      <c r="G230" s="324"/>
    </row>
    <row r="231" spans="1:7" ht="13.5" customHeight="1">
      <c r="A231" s="71" t="s">
        <v>166</v>
      </c>
      <c r="B231" s="23" t="s">
        <v>51</v>
      </c>
      <c r="C231" s="24">
        <v>10800</v>
      </c>
      <c r="G231" s="324"/>
    </row>
    <row r="232" ht="12.75" customHeight="1">
      <c r="G232" s="324"/>
    </row>
    <row r="233" spans="1:7" s="5" customFormat="1" ht="13.5" thickBot="1">
      <c r="A233" s="3"/>
      <c r="B233" s="3"/>
      <c r="C233" s="18"/>
      <c r="D233" s="18"/>
      <c r="E233" s="18"/>
      <c r="F233" s="3"/>
      <c r="G233" s="324"/>
    </row>
    <row r="234" spans="1:7" s="5" customFormat="1" ht="12.75">
      <c r="A234" s="988" t="s">
        <v>967</v>
      </c>
      <c r="B234" s="1009"/>
      <c r="C234" s="989"/>
      <c r="D234" s="627" t="s">
        <v>6</v>
      </c>
      <c r="E234" s="757" t="s">
        <v>980</v>
      </c>
      <c r="F234" s="3"/>
      <c r="G234" s="324"/>
    </row>
    <row r="235" spans="1:7" s="5" customFormat="1" ht="13.5" thickBot="1">
      <c r="A235" s="990"/>
      <c r="B235" s="1010"/>
      <c r="C235" s="991"/>
      <c r="D235" s="630"/>
      <c r="E235" s="653"/>
      <c r="F235" s="3"/>
      <c r="G235" s="324"/>
    </row>
    <row r="236" spans="1:7" s="5" customFormat="1" ht="12.75">
      <c r="A236" s="979" t="s">
        <v>968</v>
      </c>
      <c r="B236" s="980"/>
      <c r="C236" s="980"/>
      <c r="D236" s="980"/>
      <c r="E236" s="981"/>
      <c r="F236" s="3"/>
      <c r="G236" s="324"/>
    </row>
    <row r="237" spans="1:7" s="5" customFormat="1" ht="12.75">
      <c r="A237" s="982"/>
      <c r="B237" s="983"/>
      <c r="C237" s="983"/>
      <c r="D237" s="983"/>
      <c r="E237" s="984"/>
      <c r="F237" s="3"/>
      <c r="G237" s="324"/>
    </row>
    <row r="238" spans="1:7" s="5" customFormat="1" ht="12.75">
      <c r="A238" s="982"/>
      <c r="B238" s="983"/>
      <c r="C238" s="983"/>
      <c r="D238" s="983"/>
      <c r="E238" s="984"/>
      <c r="F238" s="3"/>
      <c r="G238" s="324"/>
    </row>
    <row r="239" spans="1:7" s="5" customFormat="1" ht="12.75">
      <c r="A239" s="982"/>
      <c r="B239" s="983"/>
      <c r="C239" s="983"/>
      <c r="D239" s="983"/>
      <c r="E239" s="984"/>
      <c r="F239" s="3"/>
      <c r="G239" s="324"/>
    </row>
    <row r="240" spans="1:7" s="5" customFormat="1" ht="12.75">
      <c r="A240" s="982"/>
      <c r="B240" s="983"/>
      <c r="C240" s="983"/>
      <c r="D240" s="983"/>
      <c r="E240" s="984"/>
      <c r="F240" s="3"/>
      <c r="G240" s="324"/>
    </row>
    <row r="241" spans="1:7" s="5" customFormat="1" ht="12.75">
      <c r="A241" s="982"/>
      <c r="B241" s="983"/>
      <c r="C241" s="983"/>
      <c r="D241" s="983"/>
      <c r="E241" s="984"/>
      <c r="F241" s="3"/>
      <c r="G241" s="324"/>
    </row>
    <row r="242" spans="1:7" s="5" customFormat="1" ht="13.5" thickBot="1">
      <c r="A242" s="985"/>
      <c r="B242" s="986"/>
      <c r="C242" s="986"/>
      <c r="D242" s="986"/>
      <c r="E242" s="987"/>
      <c r="F242" s="3"/>
      <c r="G242" s="324"/>
    </row>
    <row r="243" spans="1:7" s="5" customFormat="1" ht="13.5">
      <c r="A243" s="40" t="s">
        <v>809</v>
      </c>
      <c r="B243" s="12"/>
      <c r="C243" s="24"/>
      <c r="D243" s="24"/>
      <c r="E243" s="303"/>
      <c r="F243" s="3"/>
      <c r="G243" s="324"/>
    </row>
    <row r="244" spans="1:7" s="5" customFormat="1" ht="13.5">
      <c r="A244" s="40" t="s">
        <v>623</v>
      </c>
      <c r="B244" s="12"/>
      <c r="C244" s="24"/>
      <c r="D244" s="24"/>
      <c r="E244" s="303"/>
      <c r="F244" s="3"/>
      <c r="G244" s="324"/>
    </row>
    <row r="245" spans="1:8" s="71" customFormat="1" ht="13.5" customHeight="1">
      <c r="A245" s="40" t="s">
        <v>969</v>
      </c>
      <c r="B245" s="12"/>
      <c r="C245" s="24"/>
      <c r="D245" s="24"/>
      <c r="E245" s="303"/>
      <c r="F245" s="3"/>
      <c r="G245" s="324"/>
      <c r="H245" s="12"/>
    </row>
    <row r="246" spans="1:7" s="142" customFormat="1" ht="14.25" thickBot="1">
      <c r="A246" s="40" t="s">
        <v>13</v>
      </c>
      <c r="B246" s="12"/>
      <c r="C246" s="24"/>
      <c r="D246" s="24"/>
      <c r="E246" s="303"/>
      <c r="F246" s="3"/>
      <c r="G246" s="324"/>
    </row>
    <row r="247" spans="1:7" s="142" customFormat="1" ht="14.25" thickBot="1">
      <c r="A247" s="697" t="s">
        <v>14</v>
      </c>
      <c r="B247" s="698"/>
      <c r="C247" s="699"/>
      <c r="D247" s="701"/>
      <c r="E247" s="707">
        <f>+C249+C268+C289</f>
        <v>2279280</v>
      </c>
      <c r="F247" s="18"/>
      <c r="G247" s="87"/>
    </row>
    <row r="248" spans="1:7" s="142" customFormat="1" ht="14.25" thickBot="1">
      <c r="A248" s="11"/>
      <c r="B248" s="11"/>
      <c r="C248" s="31"/>
      <c r="D248" s="31"/>
      <c r="E248" s="535"/>
      <c r="F248" s="327"/>
      <c r="G248" s="332"/>
    </row>
    <row r="249" spans="1:7" s="142" customFormat="1" ht="14.25" thickBot="1">
      <c r="A249" s="992" t="s">
        <v>2</v>
      </c>
      <c r="B249" s="993"/>
      <c r="C249" s="602">
        <f>+C252+C254+C256+C262+C264+C250</f>
        <v>344970</v>
      </c>
      <c r="D249" s="18"/>
      <c r="F249" s="327"/>
      <c r="G249" s="324"/>
    </row>
    <row r="250" spans="1:7" s="100" customFormat="1" ht="13.5" customHeight="1">
      <c r="A250" s="11" t="s">
        <v>103</v>
      </c>
      <c r="B250" s="281" t="s">
        <v>104</v>
      </c>
      <c r="C250" s="32">
        <f>SUM(C251)</f>
        <v>28100</v>
      </c>
      <c r="D250" s="331"/>
      <c r="F250" s="329"/>
      <c r="G250" s="332"/>
    </row>
    <row r="251" spans="1:8" s="71" customFormat="1" ht="13.5" customHeight="1">
      <c r="A251" s="12" t="s">
        <v>46</v>
      </c>
      <c r="B251" s="71" t="s">
        <v>45</v>
      </c>
      <c r="C251" s="24">
        <v>28100</v>
      </c>
      <c r="E251" s="31"/>
      <c r="F251" s="95"/>
      <c r="G251" s="95"/>
      <c r="H251" s="12"/>
    </row>
    <row r="252" spans="1:7" s="142" customFormat="1" ht="13.5">
      <c r="A252" s="11" t="s">
        <v>105</v>
      </c>
      <c r="B252" s="249" t="s">
        <v>106</v>
      </c>
      <c r="C252" s="31">
        <f>SUM(C253)</f>
        <v>43200</v>
      </c>
      <c r="F252" s="329"/>
      <c r="G252" s="18"/>
    </row>
    <row r="253" spans="1:7" s="142" customFormat="1" ht="13.5">
      <c r="A253" s="12" t="s">
        <v>86</v>
      </c>
      <c r="B253" s="71" t="s">
        <v>66</v>
      </c>
      <c r="C253" s="24">
        <v>43200</v>
      </c>
      <c r="E253" s="18"/>
      <c r="F253" s="3"/>
      <c r="G253" s="18"/>
    </row>
    <row r="254" spans="1:7" s="142" customFormat="1" ht="13.5">
      <c r="A254" s="11" t="s">
        <v>107</v>
      </c>
      <c r="B254" s="249" t="s">
        <v>108</v>
      </c>
      <c r="C254" s="31">
        <f>SUM(C255)</f>
        <v>158900</v>
      </c>
      <c r="E254" s="18"/>
      <c r="F254" s="3"/>
      <c r="G254" s="18"/>
    </row>
    <row r="255" spans="1:7" s="142" customFormat="1" ht="13.5">
      <c r="A255" s="12" t="s">
        <v>47</v>
      </c>
      <c r="B255" s="23" t="s">
        <v>48</v>
      </c>
      <c r="C255" s="24">
        <v>158900</v>
      </c>
      <c r="E255" s="18"/>
      <c r="F255" s="3"/>
      <c r="G255" s="18"/>
    </row>
    <row r="256" spans="1:7" s="142" customFormat="1" ht="13.5">
      <c r="A256" s="249" t="s">
        <v>119</v>
      </c>
      <c r="B256" s="25" t="s">
        <v>109</v>
      </c>
      <c r="C256" s="31">
        <f>SUM(C257:C261)</f>
        <v>91700</v>
      </c>
      <c r="E256" s="18"/>
      <c r="F256" s="3"/>
      <c r="G256" s="18"/>
    </row>
    <row r="257" spans="1:7" s="142" customFormat="1" ht="13.5">
      <c r="A257" s="71" t="s">
        <v>149</v>
      </c>
      <c r="B257" s="23" t="s">
        <v>69</v>
      </c>
      <c r="C257" s="24">
        <v>10800</v>
      </c>
      <c r="D257" s="18"/>
      <c r="E257" s="18"/>
      <c r="F257" s="3"/>
      <c r="G257" s="324"/>
    </row>
    <row r="258" spans="1:7" s="142" customFormat="1" ht="13.5">
      <c r="A258" s="71" t="s">
        <v>641</v>
      </c>
      <c r="B258" s="42" t="s">
        <v>640</v>
      </c>
      <c r="C258" s="24">
        <v>10900</v>
      </c>
      <c r="D258" s="18"/>
      <c r="E258" s="18"/>
      <c r="F258" s="3"/>
      <c r="G258" s="324"/>
    </row>
    <row r="259" spans="1:5" s="65" customFormat="1" ht="13.5">
      <c r="A259" s="71" t="s">
        <v>758</v>
      </c>
      <c r="B259" s="24" t="s">
        <v>753</v>
      </c>
      <c r="C259" s="24">
        <v>17000</v>
      </c>
      <c r="D259" s="77"/>
      <c r="E259" s="25"/>
    </row>
    <row r="260" spans="1:5" s="65" customFormat="1" ht="13.5">
      <c r="A260" s="71" t="s">
        <v>762</v>
      </c>
      <c r="B260" s="24" t="s">
        <v>763</v>
      </c>
      <c r="C260" s="24">
        <v>35000</v>
      </c>
      <c r="D260" s="77"/>
      <c r="E260" s="25"/>
    </row>
    <row r="261" spans="1:5" s="65" customFormat="1" ht="13.5">
      <c r="A261" s="71" t="s">
        <v>754</v>
      </c>
      <c r="B261" s="24" t="s">
        <v>755</v>
      </c>
      <c r="C261" s="24">
        <v>18000</v>
      </c>
      <c r="D261" s="77"/>
      <c r="E261" s="25"/>
    </row>
    <row r="262" spans="1:7" s="142" customFormat="1" ht="13.5">
      <c r="A262" s="249" t="s">
        <v>124</v>
      </c>
      <c r="B262" s="25" t="s">
        <v>123</v>
      </c>
      <c r="C262" s="31">
        <f>SUM(C263)</f>
        <v>7500</v>
      </c>
      <c r="D262" s="18"/>
      <c r="E262" s="18"/>
      <c r="F262" s="3"/>
      <c r="G262" s="324"/>
    </row>
    <row r="263" spans="1:12" s="142" customFormat="1" ht="13.5">
      <c r="A263" s="71" t="s">
        <v>93</v>
      </c>
      <c r="B263" s="23" t="s">
        <v>72</v>
      </c>
      <c r="C263" s="24">
        <v>7500</v>
      </c>
      <c r="D263" s="18"/>
      <c r="E263" s="18"/>
      <c r="F263" s="3"/>
      <c r="G263" s="324"/>
      <c r="H263" s="5"/>
      <c r="I263" s="5"/>
      <c r="J263" s="5"/>
      <c r="K263" s="5"/>
      <c r="L263" s="5"/>
    </row>
    <row r="264" spans="1:12" s="142" customFormat="1" ht="13.5">
      <c r="A264" s="249" t="s">
        <v>150</v>
      </c>
      <c r="B264" s="25" t="s">
        <v>125</v>
      </c>
      <c r="C264" s="31">
        <f>SUM(C265:C266)</f>
        <v>15570</v>
      </c>
      <c r="D264" s="18"/>
      <c r="E264" s="18"/>
      <c r="F264" s="3"/>
      <c r="G264" s="324"/>
      <c r="H264" s="5"/>
      <c r="I264" s="5"/>
      <c r="J264" s="5"/>
      <c r="K264" s="5"/>
      <c r="L264" s="5"/>
    </row>
    <row r="265" spans="1:7" s="5" customFormat="1" ht="13.5">
      <c r="A265" s="71" t="s">
        <v>151</v>
      </c>
      <c r="B265" s="23" t="s">
        <v>65</v>
      </c>
      <c r="C265" s="24">
        <v>7850</v>
      </c>
      <c r="D265" s="95"/>
      <c r="E265" s="25"/>
      <c r="F265" s="100"/>
      <c r="G265" s="95"/>
    </row>
    <row r="266" spans="1:7" s="5" customFormat="1" ht="13.5">
      <c r="A266" s="71" t="s">
        <v>154</v>
      </c>
      <c r="B266" s="23" t="s">
        <v>133</v>
      </c>
      <c r="C266" s="24">
        <v>7720</v>
      </c>
      <c r="D266" s="18"/>
      <c r="E266" s="18"/>
      <c r="F266" s="3"/>
      <c r="G266" s="324"/>
    </row>
    <row r="267" spans="1:7" s="5" customFormat="1" ht="14.25" thickBot="1">
      <c r="A267" s="71"/>
      <c r="B267" s="23"/>
      <c r="C267" s="24"/>
      <c r="D267" s="18"/>
      <c r="E267" s="18"/>
      <c r="F267" s="3"/>
      <c r="G267" s="324"/>
    </row>
    <row r="268" spans="1:7" s="5" customFormat="1" ht="14.25" thickBot="1">
      <c r="A268" s="994" t="s">
        <v>3</v>
      </c>
      <c r="B268" s="995"/>
      <c r="C268" s="603">
        <f>C269+C271+C274+C277+C281+C284</f>
        <v>1838160</v>
      </c>
      <c r="D268" s="18"/>
      <c r="E268" s="347"/>
      <c r="F268" s="3"/>
      <c r="G268" s="324"/>
    </row>
    <row r="269" spans="1:7" s="334" customFormat="1" ht="13.5">
      <c r="A269" s="11" t="s">
        <v>110</v>
      </c>
      <c r="B269" s="11" t="s">
        <v>111</v>
      </c>
      <c r="C269" s="32">
        <f>SUM(C270)</f>
        <v>35400</v>
      </c>
      <c r="D269" s="331"/>
      <c r="E269" s="359"/>
      <c r="F269" s="332"/>
      <c r="G269" s="332"/>
    </row>
    <row r="270" spans="1:7" s="5" customFormat="1" ht="13.5">
      <c r="A270" s="12" t="s">
        <v>52</v>
      </c>
      <c r="B270" s="12" t="s">
        <v>15</v>
      </c>
      <c r="C270" s="24">
        <v>35400</v>
      </c>
      <c r="D270" s="326"/>
      <c r="E270" s="27"/>
      <c r="F270" s="100"/>
      <c r="G270" s="95"/>
    </row>
    <row r="271" spans="1:7" s="5" customFormat="1" ht="13.5">
      <c r="A271" s="11" t="s">
        <v>120</v>
      </c>
      <c r="B271" s="25" t="s">
        <v>121</v>
      </c>
      <c r="C271" s="31">
        <f>SUM(C272:C273)</f>
        <v>64000</v>
      </c>
      <c r="D271" s="326"/>
      <c r="E271" s="27"/>
      <c r="F271" s="100"/>
      <c r="G271" s="95"/>
    </row>
    <row r="272" spans="1:9" s="65" customFormat="1" ht="13.5" customHeight="1">
      <c r="A272" s="58" t="s">
        <v>140</v>
      </c>
      <c r="B272" s="42" t="s">
        <v>141</v>
      </c>
      <c r="C272" s="59">
        <v>50000</v>
      </c>
      <c r="G272" s="59"/>
      <c r="H272" s="56"/>
      <c r="I272" s="56"/>
    </row>
    <row r="273" spans="1:7" s="5" customFormat="1" ht="13.5">
      <c r="A273" s="12" t="s">
        <v>136</v>
      </c>
      <c r="B273" s="12" t="s">
        <v>71</v>
      </c>
      <c r="C273" s="24">
        <v>14000</v>
      </c>
      <c r="D273" s="14"/>
      <c r="E273" s="14"/>
      <c r="F273" s="3"/>
      <c r="G273" s="324"/>
    </row>
    <row r="274" spans="1:7" s="5" customFormat="1" ht="13.5">
      <c r="A274" s="249" t="s">
        <v>112</v>
      </c>
      <c r="B274" s="11" t="s">
        <v>156</v>
      </c>
      <c r="C274" s="31">
        <f>SUM(C275:C276)</f>
        <v>123310</v>
      </c>
      <c r="D274" s="14"/>
      <c r="E274" s="14"/>
      <c r="F274" s="3"/>
      <c r="G274" s="324"/>
    </row>
    <row r="275" spans="1:7" s="5" customFormat="1" ht="13.5">
      <c r="A275" s="71" t="s">
        <v>138</v>
      </c>
      <c r="B275" s="58" t="s">
        <v>810</v>
      </c>
      <c r="C275" s="24">
        <v>10500</v>
      </c>
      <c r="D275" s="31"/>
      <c r="E275" s="14"/>
      <c r="F275" s="14"/>
      <c r="G275" s="332"/>
    </row>
    <row r="276" spans="1:7" s="5" customFormat="1" ht="13.5" customHeight="1">
      <c r="A276" s="71" t="s">
        <v>49</v>
      </c>
      <c r="B276" s="23" t="s">
        <v>87</v>
      </c>
      <c r="C276" s="24">
        <v>112810</v>
      </c>
      <c r="E276" s="14"/>
      <c r="F276" s="14"/>
      <c r="G276" s="24"/>
    </row>
    <row r="277" spans="1:7" s="5" customFormat="1" ht="13.5" customHeight="1">
      <c r="A277" s="249" t="s">
        <v>113</v>
      </c>
      <c r="B277" s="25" t="s">
        <v>114</v>
      </c>
      <c r="C277" s="31">
        <f>SUM(C278:C280)</f>
        <v>967620</v>
      </c>
      <c r="E277" s="14"/>
      <c r="F277" s="14"/>
      <c r="G277" s="24"/>
    </row>
    <row r="278" spans="1:7" s="5" customFormat="1" ht="13.5">
      <c r="A278" s="71" t="s">
        <v>163</v>
      </c>
      <c r="B278" s="12" t="s">
        <v>74</v>
      </c>
      <c r="C278" s="24">
        <v>933000</v>
      </c>
      <c r="E278" s="14"/>
      <c r="F278" s="24"/>
      <c r="G278" s="24"/>
    </row>
    <row r="279" spans="1:7" ht="14.25" customHeight="1">
      <c r="A279" s="71" t="s">
        <v>88</v>
      </c>
      <c r="B279" s="23" t="s">
        <v>64</v>
      </c>
      <c r="C279" s="24">
        <v>19500</v>
      </c>
      <c r="E279" s="14"/>
      <c r="F279" s="14"/>
      <c r="G279" s="24"/>
    </row>
    <row r="280" spans="1:7" s="71" customFormat="1" ht="12.75" customHeight="1">
      <c r="A280" s="71" t="s">
        <v>362</v>
      </c>
      <c r="B280" s="24" t="s">
        <v>363</v>
      </c>
      <c r="C280" s="24">
        <v>15120</v>
      </c>
      <c r="G280" s="353"/>
    </row>
    <row r="281" spans="1:7" ht="14.25" customHeight="1">
      <c r="A281" s="249" t="s">
        <v>364</v>
      </c>
      <c r="B281" s="25" t="s">
        <v>365</v>
      </c>
      <c r="C281" s="31">
        <f>SUM(C282:C283)</f>
        <v>462000</v>
      </c>
      <c r="E281" s="14"/>
      <c r="F281" s="14"/>
      <c r="G281" s="24"/>
    </row>
    <row r="282" spans="1:7" ht="13.5" customHeight="1">
      <c r="A282" s="71" t="s">
        <v>366</v>
      </c>
      <c r="B282" s="12" t="s">
        <v>367</v>
      </c>
      <c r="C282" s="24">
        <v>12000</v>
      </c>
      <c r="E282" s="14"/>
      <c r="F282" s="14"/>
      <c r="G282" s="18"/>
    </row>
    <row r="283" spans="1:7" s="1" customFormat="1" ht="12.75" customHeight="1">
      <c r="A283" s="12" t="s">
        <v>368</v>
      </c>
      <c r="B283" s="12" t="s">
        <v>369</v>
      </c>
      <c r="C283" s="24">
        <v>450000</v>
      </c>
      <c r="D283" s="14"/>
      <c r="E283" s="14"/>
      <c r="F283" s="24"/>
      <c r="G283" s="24"/>
    </row>
    <row r="284" spans="1:7" ht="12.75" customHeight="1">
      <c r="A284" s="249" t="s">
        <v>115</v>
      </c>
      <c r="B284" s="25" t="s">
        <v>8</v>
      </c>
      <c r="C284" s="31">
        <f>SUM(C285:C287)</f>
        <v>185830</v>
      </c>
      <c r="D284" s="24"/>
      <c r="E284" s="14"/>
      <c r="F284" s="14"/>
      <c r="G284" s="332"/>
    </row>
    <row r="285" spans="1:7" ht="12.75" customHeight="1">
      <c r="A285" s="71" t="s">
        <v>92</v>
      </c>
      <c r="B285" s="23" t="s">
        <v>8</v>
      </c>
      <c r="C285" s="24">
        <v>152280</v>
      </c>
      <c r="D285" s="31"/>
      <c r="E285" s="14"/>
      <c r="F285" s="14"/>
      <c r="G285" s="324"/>
    </row>
    <row r="286" spans="1:7" ht="12.75" customHeight="1">
      <c r="A286" s="71" t="s">
        <v>94</v>
      </c>
      <c r="B286" s="23" t="s">
        <v>50</v>
      </c>
      <c r="C286" s="24">
        <v>14800</v>
      </c>
      <c r="E286" s="14"/>
      <c r="F286" s="14"/>
      <c r="G286" s="332"/>
    </row>
    <row r="287" spans="1:7" ht="12.75" customHeight="1">
      <c r="A287" s="71" t="s">
        <v>90</v>
      </c>
      <c r="B287" s="23" t="s">
        <v>7</v>
      </c>
      <c r="C287" s="24">
        <v>18750</v>
      </c>
      <c r="D287" s="27"/>
      <c r="E287" s="16"/>
      <c r="F287" s="14"/>
      <c r="G287" s="332"/>
    </row>
    <row r="288" spans="1:7" ht="12.75" customHeight="1" thickBot="1">
      <c r="A288" s="71"/>
      <c r="B288" s="23"/>
      <c r="C288" s="23"/>
      <c r="D288" s="209"/>
      <c r="E288" s="14"/>
      <c r="F288" s="14"/>
      <c r="G288" s="324"/>
    </row>
    <row r="289" spans="1:7" ht="12.75" customHeight="1" thickBot="1">
      <c r="A289" s="996" t="s">
        <v>4</v>
      </c>
      <c r="B289" s="997"/>
      <c r="C289" s="605">
        <f>C290+C294</f>
        <v>96150</v>
      </c>
      <c r="G289" s="324"/>
    </row>
    <row r="290" spans="1:5" s="332" customFormat="1" ht="12.75" customHeight="1">
      <c r="A290" s="249" t="s">
        <v>116</v>
      </c>
      <c r="B290" s="249" t="s">
        <v>117</v>
      </c>
      <c r="C290" s="31">
        <f>SUM(C291:C293)</f>
        <v>87000</v>
      </c>
      <c r="D290" s="331"/>
      <c r="E290" s="331"/>
    </row>
    <row r="291" spans="1:7" ht="13.5" customHeight="1">
      <c r="A291" s="71" t="s">
        <v>91</v>
      </c>
      <c r="B291" s="71" t="s">
        <v>139</v>
      </c>
      <c r="C291" s="24">
        <v>40000</v>
      </c>
      <c r="D291" s="28"/>
      <c r="G291" s="324"/>
    </row>
    <row r="292" spans="1:7" s="5" customFormat="1" ht="13.5">
      <c r="A292" s="71" t="s">
        <v>57</v>
      </c>
      <c r="B292" s="71" t="s">
        <v>58</v>
      </c>
      <c r="C292" s="24">
        <v>30000</v>
      </c>
      <c r="D292" s="21"/>
      <c r="E292" s="21"/>
      <c r="G292" s="333"/>
    </row>
    <row r="293" spans="1:8" s="8" customFormat="1" ht="13.5" customHeight="1">
      <c r="A293" s="71" t="s">
        <v>756</v>
      </c>
      <c r="B293" s="23" t="s">
        <v>757</v>
      </c>
      <c r="C293" s="24">
        <v>17000</v>
      </c>
      <c r="D293" s="77"/>
      <c r="E293" s="25"/>
      <c r="F293" s="98"/>
      <c r="G293" s="54"/>
      <c r="H293" s="42"/>
    </row>
    <row r="294" spans="1:7" ht="13.5" customHeight="1">
      <c r="A294" s="249" t="s">
        <v>165</v>
      </c>
      <c r="B294" s="25" t="s">
        <v>135</v>
      </c>
      <c r="C294" s="31">
        <f>SUM(C295)</f>
        <v>9150</v>
      </c>
      <c r="G294" s="324"/>
    </row>
    <row r="295" spans="1:7" ht="13.5" customHeight="1">
      <c r="A295" s="71" t="s">
        <v>166</v>
      </c>
      <c r="B295" s="23" t="s">
        <v>51</v>
      </c>
      <c r="C295" s="24">
        <v>9150</v>
      </c>
      <c r="G295" s="324"/>
    </row>
    <row r="296" ht="12.75" customHeight="1">
      <c r="G296" s="324"/>
    </row>
    <row r="297" spans="1:7" s="127" customFormat="1" ht="12.75" customHeight="1" thickBot="1">
      <c r="A297" s="3"/>
      <c r="B297" s="3"/>
      <c r="C297" s="18"/>
      <c r="D297" s="18"/>
      <c r="E297" s="18"/>
      <c r="F297" s="3"/>
      <c r="G297" s="324"/>
    </row>
    <row r="298" spans="1:7" s="127" customFormat="1" ht="12.75" customHeight="1">
      <c r="A298" s="988" t="s">
        <v>370</v>
      </c>
      <c r="B298" s="1009"/>
      <c r="C298" s="989"/>
      <c r="D298" s="627" t="s">
        <v>6</v>
      </c>
      <c r="E298" s="757" t="s">
        <v>820</v>
      </c>
      <c r="F298" s="3"/>
      <c r="G298" s="324"/>
    </row>
    <row r="299" spans="1:7" s="127" customFormat="1" ht="12.75" customHeight="1" thickBot="1">
      <c r="A299" s="990"/>
      <c r="B299" s="1010"/>
      <c r="C299" s="991"/>
      <c r="D299" s="669"/>
      <c r="E299" s="670"/>
      <c r="F299" s="3"/>
      <c r="G299" s="324"/>
    </row>
    <row r="300" spans="1:7" s="127" customFormat="1" ht="12.75" customHeight="1">
      <c r="A300" s="979" t="s">
        <v>971</v>
      </c>
      <c r="B300" s="980"/>
      <c r="C300" s="980"/>
      <c r="D300" s="980"/>
      <c r="E300" s="981"/>
      <c r="F300" s="3"/>
      <c r="G300" s="324"/>
    </row>
    <row r="301" spans="1:7" s="127" customFormat="1" ht="12.75" customHeight="1">
      <c r="A301" s="982"/>
      <c r="B301" s="983"/>
      <c r="C301" s="983"/>
      <c r="D301" s="983"/>
      <c r="E301" s="984"/>
      <c r="F301" s="3"/>
      <c r="G301" s="324"/>
    </row>
    <row r="302" spans="1:7" s="127" customFormat="1" ht="12.75" customHeight="1">
      <c r="A302" s="982"/>
      <c r="B302" s="983"/>
      <c r="C302" s="983"/>
      <c r="D302" s="983"/>
      <c r="E302" s="984"/>
      <c r="F302" s="3"/>
      <c r="G302" s="324"/>
    </row>
    <row r="303" spans="1:7" s="127" customFormat="1" ht="12.75" customHeight="1" thickBot="1">
      <c r="A303" s="985"/>
      <c r="B303" s="986"/>
      <c r="C303" s="986"/>
      <c r="D303" s="986"/>
      <c r="E303" s="987"/>
      <c r="F303" s="3"/>
      <c r="G303" s="324"/>
    </row>
    <row r="304" spans="1:7" s="5" customFormat="1" ht="13.5">
      <c r="A304" s="40" t="s">
        <v>809</v>
      </c>
      <c r="B304" s="12"/>
      <c r="C304" s="24"/>
      <c r="D304" s="24"/>
      <c r="E304" s="303"/>
      <c r="F304" s="3"/>
      <c r="G304" s="324"/>
    </row>
    <row r="305" spans="1:7" s="5" customFormat="1" ht="13.5">
      <c r="A305" s="40" t="s">
        <v>371</v>
      </c>
      <c r="B305" s="12"/>
      <c r="C305" s="24"/>
      <c r="D305" s="24"/>
      <c r="E305" s="303"/>
      <c r="F305" s="3"/>
      <c r="G305" s="324"/>
    </row>
    <row r="306" spans="1:7" s="5" customFormat="1" ht="13.5">
      <c r="A306" s="40" t="s">
        <v>576</v>
      </c>
      <c r="B306" s="12"/>
      <c r="C306" s="24"/>
      <c r="D306" s="24"/>
      <c r="E306" s="303"/>
      <c r="F306" s="3"/>
      <c r="G306" s="324"/>
    </row>
    <row r="307" spans="1:7" s="5" customFormat="1" ht="14.25" thickBot="1">
      <c r="A307" s="75" t="s">
        <v>13</v>
      </c>
      <c r="B307" s="135"/>
      <c r="C307" s="360"/>
      <c r="D307" s="360"/>
      <c r="E307" s="361"/>
      <c r="F307" s="3"/>
      <c r="G307" s="324"/>
    </row>
    <row r="308" spans="1:7" s="5" customFormat="1" ht="14.25" thickBot="1">
      <c r="A308" s="697" t="s">
        <v>14</v>
      </c>
      <c r="B308" s="698"/>
      <c r="C308" s="699"/>
      <c r="D308" s="701"/>
      <c r="E308" s="707">
        <f>C310+C330+C349</f>
        <v>7427700</v>
      </c>
      <c r="F308" s="18"/>
      <c r="G308" s="87"/>
    </row>
    <row r="309" spans="1:7" s="5" customFormat="1" ht="14.25" thickBot="1">
      <c r="A309" s="11"/>
      <c r="B309" s="11"/>
      <c r="C309" s="31"/>
      <c r="D309" s="31"/>
      <c r="F309" s="327"/>
      <c r="G309" s="324"/>
    </row>
    <row r="310" spans="1:7" s="5" customFormat="1" ht="14.25" thickBot="1">
      <c r="A310" s="992" t="s">
        <v>2</v>
      </c>
      <c r="B310" s="993"/>
      <c r="C310" s="602">
        <f>+C313+C315+C317+C323+C326+C311</f>
        <v>314810</v>
      </c>
      <c r="D310" s="21"/>
      <c r="F310" s="327"/>
      <c r="G310" s="324"/>
    </row>
    <row r="311" spans="1:7" s="100" customFormat="1" ht="13.5" customHeight="1">
      <c r="A311" s="11" t="s">
        <v>103</v>
      </c>
      <c r="B311" s="281" t="s">
        <v>104</v>
      </c>
      <c r="C311" s="32">
        <f>SUM(C312)</f>
        <v>31500</v>
      </c>
      <c r="D311" s="331"/>
      <c r="G311" s="332"/>
    </row>
    <row r="312" spans="1:8" s="71" customFormat="1" ht="13.5" customHeight="1">
      <c r="A312" s="12" t="s">
        <v>46</v>
      </c>
      <c r="B312" s="71" t="s">
        <v>45</v>
      </c>
      <c r="C312" s="24">
        <v>31500</v>
      </c>
      <c r="D312" s="95"/>
      <c r="F312" s="95"/>
      <c r="G312" s="95"/>
      <c r="H312" s="12"/>
    </row>
    <row r="313" spans="1:7" s="5" customFormat="1" ht="13.5">
      <c r="A313" s="11" t="s">
        <v>105</v>
      </c>
      <c r="B313" s="249" t="s">
        <v>106</v>
      </c>
      <c r="C313" s="31">
        <f>SUM(C314)</f>
        <v>6600</v>
      </c>
      <c r="D313" s="21"/>
      <c r="F313" s="329"/>
      <c r="G313" s="324"/>
    </row>
    <row r="314" spans="1:7" s="5" customFormat="1" ht="13.5">
      <c r="A314" s="12" t="s">
        <v>86</v>
      </c>
      <c r="B314" s="71" t="s">
        <v>66</v>
      </c>
      <c r="C314" s="24">
        <v>6600</v>
      </c>
      <c r="D314" s="21"/>
      <c r="E314" s="18"/>
      <c r="F314" s="3"/>
      <c r="G314" s="324"/>
    </row>
    <row r="315" spans="1:7" s="5" customFormat="1" ht="13.5">
      <c r="A315" s="11" t="s">
        <v>107</v>
      </c>
      <c r="B315" s="249" t="s">
        <v>108</v>
      </c>
      <c r="C315" s="31">
        <f>SUM(C316)</f>
        <v>90810</v>
      </c>
      <c r="D315" s="21"/>
      <c r="E315" s="18"/>
      <c r="F315" s="3"/>
      <c r="G315" s="324"/>
    </row>
    <row r="316" spans="1:7" s="5" customFormat="1" ht="13.5">
      <c r="A316" s="12" t="s">
        <v>47</v>
      </c>
      <c r="B316" s="23" t="s">
        <v>48</v>
      </c>
      <c r="C316" s="24">
        <v>90810</v>
      </c>
      <c r="D316" s="21"/>
      <c r="E316" s="18"/>
      <c r="F316" s="3"/>
      <c r="G316" s="324"/>
    </row>
    <row r="317" spans="1:7" s="5" customFormat="1" ht="13.5">
      <c r="A317" s="249" t="s">
        <v>119</v>
      </c>
      <c r="B317" s="25" t="s">
        <v>109</v>
      </c>
      <c r="C317" s="31">
        <f>SUM(C318:C322)</f>
        <v>108220</v>
      </c>
      <c r="D317" s="21"/>
      <c r="E317" s="18"/>
      <c r="F317" s="3"/>
      <c r="G317" s="324"/>
    </row>
    <row r="318" spans="1:7" s="5" customFormat="1" ht="13.5">
      <c r="A318" s="71" t="s">
        <v>149</v>
      </c>
      <c r="B318" s="23" t="s">
        <v>69</v>
      </c>
      <c r="C318" s="24">
        <v>14000</v>
      </c>
      <c r="D318" s="21"/>
      <c r="E318" s="18"/>
      <c r="F318" s="3"/>
      <c r="G318" s="324"/>
    </row>
    <row r="319" spans="1:7" s="142" customFormat="1" ht="13.5">
      <c r="A319" s="71" t="s">
        <v>641</v>
      </c>
      <c r="B319" s="42" t="s">
        <v>640</v>
      </c>
      <c r="C319" s="24">
        <v>16320</v>
      </c>
      <c r="D319" s="18"/>
      <c r="E319" s="18"/>
      <c r="F319" s="3"/>
      <c r="G319" s="324"/>
    </row>
    <row r="320" spans="1:5" s="65" customFormat="1" ht="13.5">
      <c r="A320" s="71" t="s">
        <v>758</v>
      </c>
      <c r="B320" s="24" t="s">
        <v>753</v>
      </c>
      <c r="C320" s="24">
        <v>20400</v>
      </c>
      <c r="D320" s="77"/>
      <c r="E320" s="25"/>
    </row>
    <row r="321" spans="1:5" s="65" customFormat="1" ht="13.5">
      <c r="A321" s="71" t="s">
        <v>762</v>
      </c>
      <c r="B321" s="24" t="s">
        <v>763</v>
      </c>
      <c r="C321" s="24">
        <v>35000</v>
      </c>
      <c r="D321" s="77"/>
      <c r="E321" s="25"/>
    </row>
    <row r="322" spans="1:5" s="65" customFormat="1" ht="13.5">
      <c r="A322" s="71" t="s">
        <v>754</v>
      </c>
      <c r="B322" s="24" t="s">
        <v>755</v>
      </c>
      <c r="C322" s="24">
        <v>22500</v>
      </c>
      <c r="D322" s="77"/>
      <c r="E322" s="25"/>
    </row>
    <row r="323" spans="1:7" s="5" customFormat="1" ht="13.5">
      <c r="A323" s="249" t="s">
        <v>124</v>
      </c>
      <c r="B323" s="25" t="s">
        <v>123</v>
      </c>
      <c r="C323" s="31">
        <f>SUM(C324:C325)</f>
        <v>54940</v>
      </c>
      <c r="D323" s="21"/>
      <c r="E323" s="18"/>
      <c r="F323" s="3"/>
      <c r="G323" s="324"/>
    </row>
    <row r="324" spans="1:5" s="65" customFormat="1" ht="13.5">
      <c r="A324" s="12" t="s">
        <v>231</v>
      </c>
      <c r="B324" s="42" t="s">
        <v>230</v>
      </c>
      <c r="C324" s="24">
        <v>42500</v>
      </c>
      <c r="D324" s="56"/>
      <c r="E324" s="56"/>
    </row>
    <row r="325" spans="1:12" s="5" customFormat="1" ht="13.5">
      <c r="A325" s="71" t="s">
        <v>93</v>
      </c>
      <c r="B325" s="23" t="s">
        <v>72</v>
      </c>
      <c r="C325" s="24">
        <v>12440</v>
      </c>
      <c r="D325" s="21"/>
      <c r="E325" s="18"/>
      <c r="F325" s="3"/>
      <c r="G325" s="324"/>
      <c r="H325" s="12"/>
      <c r="I325" s="71"/>
      <c r="J325" s="71"/>
      <c r="K325" s="71"/>
      <c r="L325" s="71"/>
    </row>
    <row r="326" spans="1:12" s="5" customFormat="1" ht="13.5">
      <c r="A326" s="249" t="s">
        <v>150</v>
      </c>
      <c r="B326" s="25" t="s">
        <v>125</v>
      </c>
      <c r="C326" s="31">
        <f>SUM(C327:C328)</f>
        <v>22740</v>
      </c>
      <c r="D326" s="21"/>
      <c r="E326" s="18"/>
      <c r="F326" s="3"/>
      <c r="G326" s="324"/>
      <c r="H326" s="12"/>
      <c r="I326" s="71"/>
      <c r="J326" s="71"/>
      <c r="K326" s="71"/>
      <c r="L326" s="71"/>
    </row>
    <row r="327" spans="1:7" s="5" customFormat="1" ht="13.5">
      <c r="A327" s="71" t="s">
        <v>151</v>
      </c>
      <c r="B327" s="23" t="s">
        <v>65</v>
      </c>
      <c r="C327" s="24">
        <v>7500</v>
      </c>
      <c r="D327" s="95"/>
      <c r="E327" s="25"/>
      <c r="F327" s="100"/>
      <c r="G327" s="95"/>
    </row>
    <row r="328" spans="1:7" s="142" customFormat="1" ht="13.5">
      <c r="A328" s="71" t="s">
        <v>154</v>
      </c>
      <c r="B328" s="23" t="s">
        <v>133</v>
      </c>
      <c r="C328" s="24">
        <v>15240</v>
      </c>
      <c r="D328" s="21"/>
      <c r="E328" s="18"/>
      <c r="F328" s="3"/>
      <c r="G328" s="324"/>
    </row>
    <row r="329" spans="1:7" s="142" customFormat="1" ht="14.25" thickBot="1">
      <c r="A329" s="71"/>
      <c r="B329" s="23"/>
      <c r="C329" s="23"/>
      <c r="D329" s="21"/>
      <c r="E329" s="18"/>
      <c r="F329" s="3"/>
      <c r="G329" s="324"/>
    </row>
    <row r="330" spans="1:7" s="142" customFormat="1" ht="14.25" thickBot="1">
      <c r="A330" s="994" t="s">
        <v>3</v>
      </c>
      <c r="B330" s="995"/>
      <c r="C330" s="603">
        <f>C331+C333+C336+C339+C344</f>
        <v>6990460</v>
      </c>
      <c r="D330" s="21"/>
      <c r="E330" s="18"/>
      <c r="F330" s="3"/>
      <c r="G330" s="324"/>
    </row>
    <row r="331" spans="1:7" s="334" customFormat="1" ht="13.5">
      <c r="A331" s="11" t="s">
        <v>110</v>
      </c>
      <c r="B331" s="11" t="s">
        <v>111</v>
      </c>
      <c r="C331" s="32">
        <f>SUM(C332)</f>
        <v>43460</v>
      </c>
      <c r="D331" s="223"/>
      <c r="E331" s="331"/>
      <c r="F331" s="332"/>
      <c r="G331" s="332"/>
    </row>
    <row r="332" spans="1:7" s="142" customFormat="1" ht="13.5">
      <c r="A332" s="12" t="s">
        <v>52</v>
      </c>
      <c r="B332" s="12" t="s">
        <v>15</v>
      </c>
      <c r="C332" s="24">
        <v>43460</v>
      </c>
      <c r="E332" s="27"/>
      <c r="F332" s="100"/>
      <c r="G332" s="78"/>
    </row>
    <row r="333" spans="1:7" s="142" customFormat="1" ht="13.5">
      <c r="A333" s="11" t="s">
        <v>120</v>
      </c>
      <c r="B333" s="25" t="s">
        <v>121</v>
      </c>
      <c r="C333" s="31">
        <f>SUM(C334:C335)</f>
        <v>68000</v>
      </c>
      <c r="E333" s="27"/>
      <c r="F333" s="100"/>
      <c r="G333" s="78"/>
    </row>
    <row r="334" spans="1:9" s="65" customFormat="1" ht="13.5" customHeight="1">
      <c r="A334" s="58" t="s">
        <v>140</v>
      </c>
      <c r="B334" s="42" t="s">
        <v>141</v>
      </c>
      <c r="C334" s="59">
        <v>40000</v>
      </c>
      <c r="G334" s="59"/>
      <c r="H334" s="56"/>
      <c r="I334" s="56"/>
    </row>
    <row r="335" spans="1:7" s="142" customFormat="1" ht="13.5">
      <c r="A335" s="12" t="s">
        <v>136</v>
      </c>
      <c r="B335" s="12" t="s">
        <v>71</v>
      </c>
      <c r="C335" s="24">
        <v>28000</v>
      </c>
      <c r="E335" s="14"/>
      <c r="F335" s="3"/>
      <c r="G335" s="117"/>
    </row>
    <row r="336" spans="1:7" s="142" customFormat="1" ht="13.5">
      <c r="A336" s="249" t="s">
        <v>112</v>
      </c>
      <c r="B336" s="11" t="s">
        <v>156</v>
      </c>
      <c r="C336" s="31">
        <f>SUM(C337:C338)</f>
        <v>258500</v>
      </c>
      <c r="E336" s="14"/>
      <c r="F336" s="3"/>
      <c r="G336" s="117"/>
    </row>
    <row r="337" spans="1:7" s="142" customFormat="1" ht="13.5">
      <c r="A337" s="71" t="s">
        <v>138</v>
      </c>
      <c r="B337" s="58" t="s">
        <v>810</v>
      </c>
      <c r="C337" s="24">
        <v>8000</v>
      </c>
      <c r="E337" s="14"/>
      <c r="F337" s="14"/>
      <c r="G337" s="31"/>
    </row>
    <row r="338" spans="1:7" s="142" customFormat="1" ht="13.5">
      <c r="A338" s="71" t="s">
        <v>49</v>
      </c>
      <c r="B338" s="23" t="s">
        <v>87</v>
      </c>
      <c r="C338" s="24">
        <v>250500</v>
      </c>
      <c r="E338" s="14"/>
      <c r="F338" s="14"/>
      <c r="G338" s="24"/>
    </row>
    <row r="339" spans="1:7" s="142" customFormat="1" ht="13.5">
      <c r="A339" s="249" t="s">
        <v>113</v>
      </c>
      <c r="B339" s="25" t="s">
        <v>114</v>
      </c>
      <c r="C339" s="31">
        <f>SUM(C340:C342)</f>
        <v>4509600</v>
      </c>
      <c r="E339" s="14"/>
      <c r="F339" s="14"/>
      <c r="G339" s="24"/>
    </row>
    <row r="340" spans="1:7" s="142" customFormat="1" ht="13.5">
      <c r="A340" s="12" t="s">
        <v>372</v>
      </c>
      <c r="B340" s="71" t="s">
        <v>373</v>
      </c>
      <c r="C340" s="24">
        <v>466100</v>
      </c>
      <c r="E340" s="18"/>
      <c r="F340" s="3"/>
      <c r="G340" s="21"/>
    </row>
    <row r="341" spans="1:12" s="142" customFormat="1" ht="13.5">
      <c r="A341" s="12" t="s">
        <v>374</v>
      </c>
      <c r="B341" s="71" t="s">
        <v>375</v>
      </c>
      <c r="C341" s="24">
        <v>3950000</v>
      </c>
      <c r="E341" s="18"/>
      <c r="F341" s="3"/>
      <c r="G341" s="21"/>
      <c r="H341" s="5"/>
      <c r="I341" s="5"/>
      <c r="J341" s="5"/>
      <c r="K341" s="5"/>
      <c r="L341" s="5"/>
    </row>
    <row r="342" spans="1:7" s="71" customFormat="1" ht="12.75" customHeight="1">
      <c r="A342" s="71" t="s">
        <v>362</v>
      </c>
      <c r="B342" s="24" t="s">
        <v>363</v>
      </c>
      <c r="C342" s="24">
        <v>93500</v>
      </c>
      <c r="G342" s="353"/>
    </row>
    <row r="343" spans="1:7" ht="12.75" customHeight="1" hidden="1">
      <c r="A343" s="71" t="s">
        <v>547</v>
      </c>
      <c r="B343" s="42" t="s">
        <v>546</v>
      </c>
      <c r="C343" s="24"/>
      <c r="E343" s="14"/>
      <c r="F343" s="14"/>
      <c r="G343" s="24"/>
    </row>
    <row r="344" spans="1:7" s="142" customFormat="1" ht="13.5">
      <c r="A344" s="249" t="s">
        <v>115</v>
      </c>
      <c r="B344" s="25" t="s">
        <v>8</v>
      </c>
      <c r="C344" s="31">
        <f>SUM(C345:C347)</f>
        <v>2110900</v>
      </c>
      <c r="E344" s="14"/>
      <c r="F344" s="14"/>
      <c r="G344" s="24"/>
    </row>
    <row r="345" spans="1:7" s="142" customFormat="1" ht="13.5">
      <c r="A345" s="71" t="s">
        <v>89</v>
      </c>
      <c r="B345" s="23" t="s">
        <v>8</v>
      </c>
      <c r="C345" s="24">
        <v>206120</v>
      </c>
      <c r="E345" s="14"/>
      <c r="F345" s="24"/>
      <c r="G345" s="24"/>
    </row>
    <row r="346" spans="1:7" s="142" customFormat="1" ht="13.5">
      <c r="A346" s="71" t="s">
        <v>182</v>
      </c>
      <c r="B346" s="23" t="s">
        <v>50</v>
      </c>
      <c r="C346" s="24">
        <v>7500</v>
      </c>
      <c r="D346" s="31"/>
      <c r="E346" s="14"/>
      <c r="F346" s="14"/>
      <c r="G346" s="332"/>
    </row>
    <row r="347" spans="1:12" s="5" customFormat="1" ht="13.5">
      <c r="A347" s="71" t="s">
        <v>90</v>
      </c>
      <c r="B347" s="23" t="s">
        <v>7</v>
      </c>
      <c r="C347" s="24">
        <v>1897280</v>
      </c>
      <c r="D347" s="25"/>
      <c r="E347" s="16"/>
      <c r="F347" s="14"/>
      <c r="G347" s="332"/>
      <c r="H347" s="142"/>
      <c r="I347" s="142"/>
      <c r="J347" s="142"/>
      <c r="K347" s="142"/>
      <c r="L347" s="142"/>
    </row>
    <row r="348" spans="1:7" s="5" customFormat="1" ht="14.25" thickBot="1">
      <c r="A348" s="12"/>
      <c r="B348" s="71"/>
      <c r="C348" s="23"/>
      <c r="D348" s="21"/>
      <c r="E348" s="18"/>
      <c r="F348" s="3"/>
      <c r="G348" s="324"/>
    </row>
    <row r="349" spans="1:7" s="5" customFormat="1" ht="14.25" thickBot="1">
      <c r="A349" s="996" t="s">
        <v>4</v>
      </c>
      <c r="B349" s="997"/>
      <c r="C349" s="605">
        <f>C350+C352+C356</f>
        <v>122430</v>
      </c>
      <c r="D349" s="21"/>
      <c r="E349" s="18"/>
      <c r="F349" s="3"/>
      <c r="G349" s="324"/>
    </row>
    <row r="350" spans="1:7" s="334" customFormat="1" ht="13.5">
      <c r="A350" s="249" t="s">
        <v>178</v>
      </c>
      <c r="B350" s="281" t="s">
        <v>177</v>
      </c>
      <c r="C350" s="32">
        <f>SUM(C351)</f>
        <v>31680</v>
      </c>
      <c r="D350" s="223"/>
      <c r="E350" s="331"/>
      <c r="F350" s="332"/>
      <c r="G350" s="332"/>
    </row>
    <row r="351" spans="1:7" s="5" customFormat="1" ht="13.5">
      <c r="A351" s="71" t="s">
        <v>176</v>
      </c>
      <c r="B351" s="71" t="s">
        <v>376</v>
      </c>
      <c r="C351" s="24">
        <v>31680</v>
      </c>
      <c r="D351" s="23"/>
      <c r="E351" s="18"/>
      <c r="F351" s="3"/>
      <c r="G351" s="324"/>
    </row>
    <row r="352" spans="1:7" s="5" customFormat="1" ht="13.5">
      <c r="A352" s="249" t="s">
        <v>116</v>
      </c>
      <c r="B352" s="249" t="s">
        <v>117</v>
      </c>
      <c r="C352" s="31">
        <f>SUM(C353:C355)</f>
        <v>82750</v>
      </c>
      <c r="D352" s="23"/>
      <c r="E352" s="18"/>
      <c r="F352" s="3"/>
      <c r="G352" s="324"/>
    </row>
    <row r="353" spans="1:7" s="5" customFormat="1" ht="13.5">
      <c r="A353" s="71" t="s">
        <v>91</v>
      </c>
      <c r="B353" s="71" t="s">
        <v>139</v>
      </c>
      <c r="C353" s="24">
        <v>25750</v>
      </c>
      <c r="D353" s="21"/>
      <c r="E353" s="18"/>
      <c r="F353" s="3"/>
      <c r="G353" s="324"/>
    </row>
    <row r="354" spans="1:7" s="5" customFormat="1" ht="13.5">
      <c r="A354" s="71" t="s">
        <v>57</v>
      </c>
      <c r="B354" s="71" t="s">
        <v>58</v>
      </c>
      <c r="C354" s="24">
        <v>30000</v>
      </c>
      <c r="D354" s="21"/>
      <c r="E354" s="21"/>
      <c r="G354" s="333"/>
    </row>
    <row r="355" spans="1:8" s="8" customFormat="1" ht="13.5" customHeight="1">
      <c r="A355" s="71" t="s">
        <v>756</v>
      </c>
      <c r="B355" s="23" t="s">
        <v>757</v>
      </c>
      <c r="C355" s="24">
        <v>27000</v>
      </c>
      <c r="D355" s="77"/>
      <c r="E355" s="25"/>
      <c r="F355" s="98"/>
      <c r="G355" s="54"/>
      <c r="H355" s="42"/>
    </row>
    <row r="356" spans="1:7" s="5" customFormat="1" ht="13.5">
      <c r="A356" s="249" t="s">
        <v>165</v>
      </c>
      <c r="B356" s="25" t="s">
        <v>135</v>
      </c>
      <c r="C356" s="31">
        <f>SUM(C357)</f>
        <v>8000</v>
      </c>
      <c r="D356" s="21"/>
      <c r="E356" s="18"/>
      <c r="F356" s="3"/>
      <c r="G356" s="324"/>
    </row>
    <row r="357" spans="1:7" s="5" customFormat="1" ht="13.5" customHeight="1">
      <c r="A357" s="71" t="s">
        <v>166</v>
      </c>
      <c r="B357" s="23" t="s">
        <v>51</v>
      </c>
      <c r="C357" s="24">
        <v>8000</v>
      </c>
      <c r="D357" s="21"/>
      <c r="E357" s="18"/>
      <c r="F357" s="3"/>
      <c r="G357" s="324"/>
    </row>
    <row r="358" spans="1:7" s="5" customFormat="1" ht="13.5" customHeight="1">
      <c r="A358" s="71"/>
      <c r="B358" s="23"/>
      <c r="C358" s="24"/>
      <c r="D358" s="21"/>
      <c r="E358" s="18"/>
      <c r="F358" s="3"/>
      <c r="G358" s="324"/>
    </row>
    <row r="359" spans="1:7" s="5" customFormat="1" ht="13.5" thickBot="1">
      <c r="A359" s="3"/>
      <c r="B359" s="3"/>
      <c r="C359" s="18"/>
      <c r="D359" s="18"/>
      <c r="E359" s="18"/>
      <c r="F359" s="3"/>
      <c r="G359" s="324"/>
    </row>
    <row r="360" spans="1:7" s="5" customFormat="1" ht="12.75">
      <c r="A360" s="988" t="s">
        <v>593</v>
      </c>
      <c r="B360" s="1009"/>
      <c r="C360" s="989"/>
      <c r="D360" s="627" t="s">
        <v>6</v>
      </c>
      <c r="E360" s="757" t="s">
        <v>822</v>
      </c>
      <c r="F360" s="3"/>
      <c r="G360" s="324"/>
    </row>
    <row r="361" spans="1:7" s="5" customFormat="1" ht="13.5" thickBot="1">
      <c r="A361" s="990"/>
      <c r="B361" s="1010"/>
      <c r="C361" s="991"/>
      <c r="D361" s="630"/>
      <c r="E361" s="653"/>
      <c r="F361" s="3"/>
      <c r="G361" s="324"/>
    </row>
    <row r="362" spans="1:7" ht="12.75" customHeight="1">
      <c r="A362" s="979" t="s">
        <v>972</v>
      </c>
      <c r="B362" s="980"/>
      <c r="C362" s="980"/>
      <c r="D362" s="980"/>
      <c r="E362" s="981"/>
      <c r="G362" s="324"/>
    </row>
    <row r="363" spans="1:7" ht="12.75" customHeight="1">
      <c r="A363" s="982"/>
      <c r="B363" s="983"/>
      <c r="C363" s="983"/>
      <c r="D363" s="983"/>
      <c r="E363" s="984"/>
      <c r="G363" s="324"/>
    </row>
    <row r="364" spans="1:7" ht="12.75" customHeight="1">
      <c r="A364" s="982"/>
      <c r="B364" s="983"/>
      <c r="C364" s="983"/>
      <c r="D364" s="983"/>
      <c r="E364" s="984"/>
      <c r="G364" s="324"/>
    </row>
    <row r="365" spans="1:7" ht="12.75" customHeight="1">
      <c r="A365" s="982"/>
      <c r="B365" s="983"/>
      <c r="C365" s="983"/>
      <c r="D365" s="983"/>
      <c r="E365" s="984"/>
      <c r="G365" s="324"/>
    </row>
    <row r="366" spans="1:7" ht="12.75" customHeight="1" thickBot="1">
      <c r="A366" s="985"/>
      <c r="B366" s="986"/>
      <c r="C366" s="986"/>
      <c r="D366" s="986"/>
      <c r="E366" s="987"/>
      <c r="G366" s="324"/>
    </row>
    <row r="367" spans="1:7" ht="12.75" customHeight="1">
      <c r="A367" s="40" t="s">
        <v>809</v>
      </c>
      <c r="B367" s="12"/>
      <c r="C367" s="24"/>
      <c r="D367" s="24"/>
      <c r="E367" s="303"/>
      <c r="G367" s="324"/>
    </row>
    <row r="368" spans="1:7" ht="12.75" customHeight="1">
      <c r="A368" s="40" t="s">
        <v>973</v>
      </c>
      <c r="B368" s="12"/>
      <c r="C368" s="24"/>
      <c r="D368" s="24"/>
      <c r="E368" s="303"/>
      <c r="F368" s="1"/>
      <c r="G368" s="332"/>
    </row>
    <row r="369" spans="1:7" s="1" customFormat="1" ht="13.5" customHeight="1">
      <c r="A369" s="40" t="s">
        <v>974</v>
      </c>
      <c r="B369" s="12"/>
      <c r="C369" s="24"/>
      <c r="D369" s="24"/>
      <c r="E369" s="303"/>
      <c r="G369" s="332"/>
    </row>
    <row r="370" spans="1:7" ht="13.5" customHeight="1" thickBot="1">
      <c r="A370" s="75" t="s">
        <v>13</v>
      </c>
      <c r="B370" s="135"/>
      <c r="C370" s="360"/>
      <c r="D370" s="360"/>
      <c r="E370" s="361"/>
      <c r="G370" s="324"/>
    </row>
    <row r="371" spans="1:7" ht="13.5" customHeight="1" thickBot="1">
      <c r="A371" s="697" t="s">
        <v>14</v>
      </c>
      <c r="B371" s="698"/>
      <c r="C371" s="699"/>
      <c r="D371" s="701"/>
      <c r="E371" s="707">
        <f>+C373+C393+C405</f>
        <v>11066590</v>
      </c>
      <c r="F371" s="18"/>
      <c r="G371" s="87"/>
    </row>
    <row r="372" spans="1:7" ht="13.5" customHeight="1" thickBot="1">
      <c r="A372" s="11"/>
      <c r="B372" s="11"/>
      <c r="C372" s="31"/>
      <c r="D372" s="31"/>
      <c r="E372" s="3"/>
      <c r="F372" s="327"/>
      <c r="G372" s="324"/>
    </row>
    <row r="373" spans="1:7" ht="14.25" customHeight="1" thickBot="1">
      <c r="A373" s="992" t="s">
        <v>2</v>
      </c>
      <c r="B373" s="993"/>
      <c r="C373" s="602">
        <f>(C376+C380+C386+C389+C374+C378)</f>
        <v>1163400</v>
      </c>
      <c r="E373" s="559"/>
      <c r="F373" s="327"/>
      <c r="G373" s="333"/>
    </row>
    <row r="374" spans="1:7" s="100" customFormat="1" ht="13.5" customHeight="1">
      <c r="A374" s="11" t="s">
        <v>103</v>
      </c>
      <c r="B374" s="281" t="s">
        <v>104</v>
      </c>
      <c r="C374" s="32">
        <f>SUM(C375)</f>
        <v>35800</v>
      </c>
      <c r="D374" s="331"/>
      <c r="G374" s="332"/>
    </row>
    <row r="375" spans="1:8" s="71" customFormat="1" ht="13.5" customHeight="1">
      <c r="A375" s="12" t="s">
        <v>46</v>
      </c>
      <c r="B375" s="71" t="s">
        <v>45</v>
      </c>
      <c r="C375" s="24">
        <v>35800</v>
      </c>
      <c r="D375" s="95"/>
      <c r="F375" s="95"/>
      <c r="G375" s="95"/>
      <c r="H375" s="12"/>
    </row>
    <row r="376" spans="1:7" s="332" customFormat="1" ht="14.25" customHeight="1">
      <c r="A376" s="11" t="s">
        <v>107</v>
      </c>
      <c r="B376" s="249" t="s">
        <v>108</v>
      </c>
      <c r="C376" s="32">
        <f>SUM(C377)</f>
        <v>109550</v>
      </c>
      <c r="D376" s="331"/>
      <c r="E376" s="334"/>
      <c r="F376" s="329"/>
      <c r="G376" s="334"/>
    </row>
    <row r="377" spans="1:7" s="5" customFormat="1" ht="14.25" customHeight="1">
      <c r="A377" s="12" t="s">
        <v>47</v>
      </c>
      <c r="B377" s="23" t="s">
        <v>48</v>
      </c>
      <c r="C377" s="24">
        <v>109550</v>
      </c>
      <c r="D377" s="21"/>
      <c r="E377" s="117"/>
      <c r="F377" s="142"/>
      <c r="G377" s="334"/>
    </row>
    <row r="378" spans="1:7" ht="13.5">
      <c r="A378" s="11" t="s">
        <v>196</v>
      </c>
      <c r="B378" s="25" t="s">
        <v>360</v>
      </c>
      <c r="C378" s="31">
        <f>SUM(C379)</f>
        <v>80000</v>
      </c>
      <c r="G378" s="324"/>
    </row>
    <row r="379" spans="1:7" ht="13.5">
      <c r="A379" s="12" t="s">
        <v>194</v>
      </c>
      <c r="B379" s="71" t="s">
        <v>216</v>
      </c>
      <c r="C379" s="24">
        <v>80000</v>
      </c>
      <c r="G379" s="95"/>
    </row>
    <row r="380" spans="1:7" s="5" customFormat="1" ht="13.5" customHeight="1">
      <c r="A380" s="249" t="s">
        <v>119</v>
      </c>
      <c r="B380" s="25" t="s">
        <v>109</v>
      </c>
      <c r="C380" s="31">
        <f>SUM(C381:C385)</f>
        <v>753300</v>
      </c>
      <c r="D380" s="21"/>
      <c r="E380" s="538"/>
      <c r="F380" s="855"/>
      <c r="G380" s="856"/>
    </row>
    <row r="381" spans="1:7" s="5" customFormat="1" ht="14.25" customHeight="1">
      <c r="A381" s="71" t="s">
        <v>149</v>
      </c>
      <c r="B381" s="23" t="s">
        <v>338</v>
      </c>
      <c r="C381" s="24">
        <v>674600</v>
      </c>
      <c r="D381" s="21"/>
      <c r="E381" s="21"/>
      <c r="G381" s="333"/>
    </row>
    <row r="382" spans="1:7" s="5" customFormat="1" ht="13.5" customHeight="1">
      <c r="A382" s="71" t="s">
        <v>187</v>
      </c>
      <c r="B382" s="23" t="s">
        <v>186</v>
      </c>
      <c r="C382" s="24">
        <v>13100</v>
      </c>
      <c r="D382" s="21"/>
      <c r="E382" s="21"/>
      <c r="G382" s="333"/>
    </row>
    <row r="383" spans="1:7" s="142" customFormat="1" ht="13.5">
      <c r="A383" s="71" t="s">
        <v>641</v>
      </c>
      <c r="B383" s="42" t="s">
        <v>640</v>
      </c>
      <c r="C383" s="24">
        <v>13600</v>
      </c>
      <c r="D383" s="18"/>
      <c r="E383" s="18"/>
      <c r="F383" s="3"/>
      <c r="G383" s="324"/>
    </row>
    <row r="384" spans="1:5" s="65" customFormat="1" ht="13.5">
      <c r="A384" s="71" t="s">
        <v>758</v>
      </c>
      <c r="B384" s="24" t="s">
        <v>753</v>
      </c>
      <c r="C384" s="24">
        <v>17000</v>
      </c>
      <c r="D384" s="77"/>
      <c r="E384" s="25"/>
    </row>
    <row r="385" spans="1:5" s="65" customFormat="1" ht="13.5">
      <c r="A385" s="71" t="s">
        <v>762</v>
      </c>
      <c r="B385" s="24" t="s">
        <v>763</v>
      </c>
      <c r="C385" s="24">
        <v>35000</v>
      </c>
      <c r="D385" s="77"/>
      <c r="E385" s="25"/>
    </row>
    <row r="386" spans="1:7" s="5" customFormat="1" ht="13.5" customHeight="1">
      <c r="A386" s="249" t="s">
        <v>124</v>
      </c>
      <c r="B386" s="25" t="s">
        <v>123</v>
      </c>
      <c r="C386" s="31">
        <f>SUM(C387:C388)</f>
        <v>143650</v>
      </c>
      <c r="D386" s="21"/>
      <c r="E386" s="21"/>
      <c r="G386" s="333"/>
    </row>
    <row r="387" spans="1:7" s="5" customFormat="1" ht="13.5" customHeight="1">
      <c r="A387" s="71" t="s">
        <v>241</v>
      </c>
      <c r="B387" s="23" t="s">
        <v>242</v>
      </c>
      <c r="C387" s="24">
        <v>102250</v>
      </c>
      <c r="D387" s="21"/>
      <c r="E387" s="21"/>
      <c r="G387" s="333"/>
    </row>
    <row r="388" spans="1:7" s="5" customFormat="1" ht="13.5" customHeight="1">
      <c r="A388" s="71" t="s">
        <v>93</v>
      </c>
      <c r="B388" s="23" t="s">
        <v>377</v>
      </c>
      <c r="C388" s="24">
        <v>41400</v>
      </c>
      <c r="D388" s="21"/>
      <c r="E388" s="21"/>
      <c r="G388" s="333"/>
    </row>
    <row r="389" spans="1:7" s="5" customFormat="1" ht="13.5" customHeight="1">
      <c r="A389" s="249" t="s">
        <v>150</v>
      </c>
      <c r="B389" s="25" t="s">
        <v>125</v>
      </c>
      <c r="C389" s="31">
        <f>SUM(C390:C391)</f>
        <v>41100</v>
      </c>
      <c r="D389" s="21"/>
      <c r="E389" s="21"/>
      <c r="G389" s="333"/>
    </row>
    <row r="390" spans="1:7" s="5" customFormat="1" ht="13.5" customHeight="1">
      <c r="A390" s="71" t="s">
        <v>211</v>
      </c>
      <c r="B390" s="23" t="s">
        <v>210</v>
      </c>
      <c r="C390" s="24">
        <v>20400</v>
      </c>
      <c r="D390" s="21"/>
      <c r="E390" s="21"/>
      <c r="G390" s="333"/>
    </row>
    <row r="391" spans="1:7" s="5" customFormat="1" ht="13.5" customHeight="1">
      <c r="A391" s="71" t="s">
        <v>154</v>
      </c>
      <c r="B391" s="23" t="s">
        <v>133</v>
      </c>
      <c r="C391" s="24">
        <v>20700</v>
      </c>
      <c r="D391" s="21"/>
      <c r="E391" s="21"/>
      <c r="G391" s="333"/>
    </row>
    <row r="392" spans="1:7" s="5" customFormat="1" ht="13.5" customHeight="1" thickBot="1">
      <c r="A392" s="71"/>
      <c r="B392" s="23"/>
      <c r="C392" s="23"/>
      <c r="D392" s="21"/>
      <c r="E392" s="21"/>
      <c r="G392" s="333"/>
    </row>
    <row r="393" spans="1:7" s="5" customFormat="1" ht="13.5" customHeight="1" thickBot="1">
      <c r="A393" s="994" t="s">
        <v>3</v>
      </c>
      <c r="B393" s="995"/>
      <c r="C393" s="603">
        <f>+C394+C398+C400</f>
        <v>5215310</v>
      </c>
      <c r="D393" s="21"/>
      <c r="E393" s="21"/>
      <c r="G393" s="333"/>
    </row>
    <row r="394" spans="1:7" s="71" customFormat="1" ht="13.5" customHeight="1">
      <c r="A394" s="11" t="s">
        <v>120</v>
      </c>
      <c r="B394" s="25" t="s">
        <v>121</v>
      </c>
      <c r="C394" s="31">
        <f>SUM(C395:C397)</f>
        <v>4059600</v>
      </c>
      <c r="D394" s="12"/>
      <c r="E394" s="12"/>
      <c r="F394" s="12"/>
      <c r="G394" s="100"/>
    </row>
    <row r="395" spans="1:9" s="71" customFormat="1" ht="13.5" customHeight="1">
      <c r="A395" s="12" t="s">
        <v>235</v>
      </c>
      <c r="B395" s="12" t="s">
        <v>379</v>
      </c>
      <c r="C395" s="24">
        <v>3896300</v>
      </c>
      <c r="G395" s="12"/>
      <c r="H395" s="12"/>
      <c r="I395" s="12"/>
    </row>
    <row r="396" spans="1:9" s="71" customFormat="1" ht="13.5" customHeight="1">
      <c r="A396" s="12" t="s">
        <v>136</v>
      </c>
      <c r="B396" s="12" t="s">
        <v>71</v>
      </c>
      <c r="C396" s="24">
        <v>32500</v>
      </c>
      <c r="G396" s="12"/>
      <c r="H396" s="12"/>
      <c r="I396" s="100"/>
    </row>
    <row r="397" spans="1:9" s="71" customFormat="1" ht="13.5" customHeight="1">
      <c r="A397" s="12" t="s">
        <v>562</v>
      </c>
      <c r="B397" s="12" t="s">
        <v>563</v>
      </c>
      <c r="C397" s="24">
        <v>130800</v>
      </c>
      <c r="G397" s="12"/>
      <c r="H397" s="12"/>
      <c r="I397" s="12"/>
    </row>
    <row r="398" spans="1:9" s="71" customFormat="1" ht="13.5" customHeight="1">
      <c r="A398" s="249" t="s">
        <v>112</v>
      </c>
      <c r="B398" s="11" t="s">
        <v>156</v>
      </c>
      <c r="C398" s="31">
        <f>SUM(C399:C399)</f>
        <v>811440</v>
      </c>
      <c r="G398" s="12"/>
      <c r="H398" s="12"/>
      <c r="I398" s="12"/>
    </row>
    <row r="399" spans="1:8" s="71" customFormat="1" ht="13.5" customHeight="1">
      <c r="A399" s="71" t="s">
        <v>155</v>
      </c>
      <c r="B399" s="12" t="s">
        <v>87</v>
      </c>
      <c r="C399" s="24">
        <v>811440</v>
      </c>
      <c r="D399" s="12"/>
      <c r="E399" s="11"/>
      <c r="F399" s="11"/>
      <c r="G399" s="31"/>
      <c r="H399" s="24"/>
    </row>
    <row r="400" spans="1:8" s="71" customFormat="1" ht="13.5" customHeight="1">
      <c r="A400" s="249" t="s">
        <v>115</v>
      </c>
      <c r="B400" s="249" t="s">
        <v>8</v>
      </c>
      <c r="C400" s="31">
        <f>SUM(C401:C403)</f>
        <v>344270</v>
      </c>
      <c r="D400" s="12"/>
      <c r="E400" s="12"/>
      <c r="F400" s="12"/>
      <c r="G400" s="24"/>
      <c r="H400" s="24"/>
    </row>
    <row r="401" spans="1:9" s="71" customFormat="1" ht="13.5" customHeight="1">
      <c r="A401" s="71" t="s">
        <v>89</v>
      </c>
      <c r="B401" s="71" t="s">
        <v>8</v>
      </c>
      <c r="C401" s="24">
        <v>264500</v>
      </c>
      <c r="G401" s="23"/>
      <c r="H401" s="23"/>
      <c r="I401" s="12"/>
    </row>
    <row r="402" spans="1:8" s="71" customFormat="1" ht="13.5" customHeight="1">
      <c r="A402" s="71" t="s">
        <v>182</v>
      </c>
      <c r="B402" s="71" t="s">
        <v>50</v>
      </c>
      <c r="C402" s="24">
        <v>51670</v>
      </c>
      <c r="G402" s="23"/>
      <c r="H402" s="23"/>
    </row>
    <row r="403" spans="1:7" s="71" customFormat="1" ht="13.5" customHeight="1">
      <c r="A403" s="71" t="s">
        <v>90</v>
      </c>
      <c r="B403" s="751" t="s">
        <v>7</v>
      </c>
      <c r="C403" s="24">
        <v>28100</v>
      </c>
      <c r="D403" s="23"/>
      <c r="E403" s="362"/>
      <c r="G403" s="217"/>
    </row>
    <row r="404" spans="1:7" s="5" customFormat="1" ht="13.5" customHeight="1" thickBot="1">
      <c r="A404" s="71"/>
      <c r="B404" s="71"/>
      <c r="C404" s="23"/>
      <c r="D404" s="21"/>
      <c r="E404" s="21"/>
      <c r="F404" s="142"/>
      <c r="G404" s="333"/>
    </row>
    <row r="405" spans="1:7" s="5" customFormat="1" ht="14.25" customHeight="1" thickBot="1">
      <c r="A405" s="996" t="s">
        <v>4</v>
      </c>
      <c r="B405" s="997"/>
      <c r="C405" s="605">
        <f>C406+C408+C412</f>
        <v>4687880</v>
      </c>
      <c r="D405" s="21"/>
      <c r="E405" s="21"/>
      <c r="G405" s="333"/>
    </row>
    <row r="406" spans="1:7" s="334" customFormat="1" ht="13.5">
      <c r="A406" s="249" t="s">
        <v>178</v>
      </c>
      <c r="B406" s="281" t="s">
        <v>177</v>
      </c>
      <c r="C406" s="32">
        <f>SUM(C407)</f>
        <v>150000</v>
      </c>
      <c r="D406" s="223"/>
      <c r="E406" s="331"/>
      <c r="F406" s="332"/>
      <c r="G406" s="332"/>
    </row>
    <row r="407" spans="1:7" s="5" customFormat="1" ht="13.5">
      <c r="A407" s="71" t="s">
        <v>176</v>
      </c>
      <c r="B407" s="71" t="s">
        <v>376</v>
      </c>
      <c r="C407" s="24">
        <v>150000</v>
      </c>
      <c r="D407" s="23"/>
      <c r="E407" s="28"/>
      <c r="F407" s="21"/>
      <c r="G407" s="324"/>
    </row>
    <row r="408" spans="1:5" s="334" customFormat="1" ht="14.25" customHeight="1">
      <c r="A408" s="249" t="s">
        <v>116</v>
      </c>
      <c r="B408" s="249" t="s">
        <v>117</v>
      </c>
      <c r="C408" s="32">
        <f>SUM(C409:C411)</f>
        <v>306880</v>
      </c>
      <c r="D408" s="95"/>
      <c r="E408" s="95"/>
    </row>
    <row r="409" spans="1:7" s="5" customFormat="1" ht="14.25" customHeight="1">
      <c r="A409" s="71" t="s">
        <v>91</v>
      </c>
      <c r="B409" s="71" t="s">
        <v>139</v>
      </c>
      <c r="C409" s="24">
        <v>24480</v>
      </c>
      <c r="D409" s="23"/>
      <c r="E409" s="23"/>
      <c r="F409" s="21"/>
      <c r="G409" s="333"/>
    </row>
    <row r="410" spans="1:7" s="5" customFormat="1" ht="14.25" customHeight="1">
      <c r="A410" s="71" t="s">
        <v>380</v>
      </c>
      <c r="B410" s="71" t="s">
        <v>381</v>
      </c>
      <c r="C410" s="24">
        <v>250000</v>
      </c>
      <c r="E410" s="21"/>
      <c r="F410" s="21"/>
      <c r="G410" s="333"/>
    </row>
    <row r="411" spans="1:7" s="5" customFormat="1" ht="14.25" customHeight="1">
      <c r="A411" s="71" t="s">
        <v>57</v>
      </c>
      <c r="B411" s="71" t="s">
        <v>58</v>
      </c>
      <c r="C411" s="24">
        <v>32400</v>
      </c>
      <c r="D411" s="21"/>
      <c r="E411" s="21"/>
      <c r="G411" s="333"/>
    </row>
    <row r="412" spans="1:7" s="5" customFormat="1" ht="14.25" customHeight="1">
      <c r="A412" s="249" t="s">
        <v>131</v>
      </c>
      <c r="B412" s="249" t="s">
        <v>259</v>
      </c>
      <c r="C412" s="31">
        <f>SUM(C413)</f>
        <v>4231000</v>
      </c>
      <c r="D412" s="23"/>
      <c r="E412" s="23"/>
      <c r="G412" s="333"/>
    </row>
    <row r="413" spans="1:7" s="5" customFormat="1" ht="13.5" customHeight="1">
      <c r="A413" s="71" t="s">
        <v>164</v>
      </c>
      <c r="B413" s="71" t="s">
        <v>259</v>
      </c>
      <c r="C413" s="24">
        <v>4231000</v>
      </c>
      <c r="E413" s="21"/>
      <c r="F413" s="117"/>
      <c r="G413" s="333"/>
    </row>
    <row r="415" ht="13.5" thickBot="1"/>
    <row r="416" spans="1:7" ht="13.5" customHeight="1">
      <c r="A416" s="583" t="s">
        <v>383</v>
      </c>
      <c r="B416" s="584"/>
      <c r="C416" s="625"/>
      <c r="D416" s="627" t="s">
        <v>6</v>
      </c>
      <c r="E416" s="757" t="s">
        <v>981</v>
      </c>
      <c r="G416" s="324"/>
    </row>
    <row r="417" spans="1:7" ht="13.5" customHeight="1" thickBot="1">
      <c r="A417" s="587"/>
      <c r="B417" s="588"/>
      <c r="C417" s="628"/>
      <c r="D417" s="630"/>
      <c r="E417" s="653"/>
      <c r="G417" s="324"/>
    </row>
    <row r="418" spans="1:7" ht="13.5" customHeight="1">
      <c r="A418" s="979" t="s">
        <v>976</v>
      </c>
      <c r="B418" s="980"/>
      <c r="C418" s="980"/>
      <c r="D418" s="980"/>
      <c r="E418" s="981"/>
      <c r="G418" s="324"/>
    </row>
    <row r="419" spans="1:7" ht="13.5" customHeight="1" thickBot="1">
      <c r="A419" s="985"/>
      <c r="B419" s="986"/>
      <c r="C419" s="986"/>
      <c r="D419" s="986"/>
      <c r="E419" s="987"/>
      <c r="G419" s="324"/>
    </row>
    <row r="420" spans="1:7" s="10" customFormat="1" ht="13.5">
      <c r="A420" s="40" t="s">
        <v>809</v>
      </c>
      <c r="B420" s="12"/>
      <c r="C420" s="24"/>
      <c r="D420" s="24"/>
      <c r="E420" s="303"/>
      <c r="G420" s="325"/>
    </row>
    <row r="421" spans="1:7" s="10" customFormat="1" ht="13.5">
      <c r="A421" s="40" t="s">
        <v>574</v>
      </c>
      <c r="B421" s="12"/>
      <c r="C421" s="24"/>
      <c r="D421" s="24"/>
      <c r="E421" s="303"/>
      <c r="G421" s="325"/>
    </row>
    <row r="422" spans="1:7" s="187" customFormat="1" ht="13.5">
      <c r="A422" s="40" t="s">
        <v>575</v>
      </c>
      <c r="B422" s="12"/>
      <c r="C422" s="24"/>
      <c r="D422" s="24"/>
      <c r="E422" s="303"/>
      <c r="F422" s="10"/>
      <c r="G422" s="325"/>
    </row>
    <row r="423" spans="1:7" s="187" customFormat="1" ht="14.25" thickBot="1">
      <c r="A423" s="40" t="s">
        <v>13</v>
      </c>
      <c r="B423" s="12"/>
      <c r="C423" s="24"/>
      <c r="D423" s="24"/>
      <c r="E423" s="303"/>
      <c r="F423" s="10"/>
      <c r="G423" s="325"/>
    </row>
    <row r="424" spans="1:7" ht="13.5" customHeight="1" thickBot="1">
      <c r="A424" s="697" t="s">
        <v>14</v>
      </c>
      <c r="B424" s="698"/>
      <c r="C424" s="699"/>
      <c r="D424" s="701"/>
      <c r="E424" s="707">
        <f>C426+C440+C461</f>
        <v>70332219</v>
      </c>
      <c r="F424" s="28"/>
      <c r="G424" s="326"/>
    </row>
    <row r="425" spans="1:7" ht="13.5" customHeight="1" thickBot="1">
      <c r="A425" s="11"/>
      <c r="B425" s="11"/>
      <c r="C425" s="31"/>
      <c r="D425" s="31"/>
      <c r="E425" s="31"/>
      <c r="F425" s="187"/>
      <c r="G425" s="328"/>
    </row>
    <row r="426" spans="1:7" ht="13.5" customHeight="1" thickBot="1">
      <c r="A426" s="1130" t="s">
        <v>384</v>
      </c>
      <c r="B426" s="1131"/>
      <c r="C426" s="363">
        <f>C427+C432+C434+C437</f>
        <v>5880703</v>
      </c>
      <c r="G426" s="324"/>
    </row>
    <row r="427" spans="1:5" s="334" customFormat="1" ht="13.5" customHeight="1">
      <c r="A427" s="11" t="s">
        <v>385</v>
      </c>
      <c r="B427" s="281" t="s">
        <v>386</v>
      </c>
      <c r="C427" s="32">
        <f>SUM(C428:C431)</f>
        <v>1000002</v>
      </c>
      <c r="D427" s="223"/>
      <c r="E427" s="223"/>
    </row>
    <row r="428" spans="1:7" s="5" customFormat="1" ht="14.25" customHeight="1">
      <c r="A428" s="12" t="s">
        <v>387</v>
      </c>
      <c r="B428" s="12" t="s">
        <v>388</v>
      </c>
      <c r="C428" s="24">
        <v>500000</v>
      </c>
      <c r="D428" s="21"/>
      <c r="E428" s="21"/>
      <c r="G428" s="333"/>
    </row>
    <row r="429" spans="1:7" s="5" customFormat="1" ht="14.25" customHeight="1">
      <c r="A429" s="12" t="s">
        <v>389</v>
      </c>
      <c r="B429" s="12" t="s">
        <v>390</v>
      </c>
      <c r="C429" s="24">
        <v>500000</v>
      </c>
      <c r="D429" s="21"/>
      <c r="E429" s="21"/>
      <c r="G429" s="333"/>
    </row>
    <row r="430" spans="1:7" s="5" customFormat="1" ht="14.25" customHeight="1">
      <c r="A430" s="12" t="s">
        <v>391</v>
      </c>
      <c r="B430" s="12" t="s">
        <v>392</v>
      </c>
      <c r="C430" s="24">
        <v>1</v>
      </c>
      <c r="D430" s="21"/>
      <c r="E430" s="21"/>
      <c r="G430" s="333"/>
    </row>
    <row r="431" spans="1:7" s="5" customFormat="1" ht="14.25" customHeight="1">
      <c r="A431" s="12" t="s">
        <v>393</v>
      </c>
      <c r="B431" s="12" t="s">
        <v>394</v>
      </c>
      <c r="C431" s="24">
        <v>1</v>
      </c>
      <c r="D431" s="21"/>
      <c r="E431" s="21"/>
      <c r="G431" s="333"/>
    </row>
    <row r="432" spans="1:7" s="5" customFormat="1" ht="14.25" customHeight="1">
      <c r="A432" s="11" t="s">
        <v>395</v>
      </c>
      <c r="B432" s="11" t="s">
        <v>396</v>
      </c>
      <c r="C432" s="31">
        <f>SUM(C433)</f>
        <v>1</v>
      </c>
      <c r="D432" s="21"/>
      <c r="E432" s="21"/>
      <c r="G432" s="333"/>
    </row>
    <row r="433" spans="1:7" s="5" customFormat="1" ht="14.25" customHeight="1">
      <c r="A433" s="12" t="s">
        <v>397</v>
      </c>
      <c r="B433" s="12" t="s">
        <v>398</v>
      </c>
      <c r="C433" s="24">
        <v>1</v>
      </c>
      <c r="D433" s="21"/>
      <c r="E433" s="21"/>
      <c r="G433" s="333"/>
    </row>
    <row r="434" spans="1:7" s="5" customFormat="1" ht="14.25" customHeight="1">
      <c r="A434" s="11" t="s">
        <v>399</v>
      </c>
      <c r="B434" s="11" t="s">
        <v>400</v>
      </c>
      <c r="C434" s="31">
        <f>SUM(C435:C436)</f>
        <v>2</v>
      </c>
      <c r="D434" s="21"/>
      <c r="E434" s="21"/>
      <c r="G434" s="333"/>
    </row>
    <row r="435" spans="1:7" s="5" customFormat="1" ht="13.5" customHeight="1">
      <c r="A435" s="12" t="s">
        <v>401</v>
      </c>
      <c r="B435" s="12" t="s">
        <v>402</v>
      </c>
      <c r="C435" s="24">
        <v>1</v>
      </c>
      <c r="D435" s="21"/>
      <c r="E435" s="21"/>
      <c r="G435" s="333"/>
    </row>
    <row r="436" spans="1:7" s="5" customFormat="1" ht="13.5" customHeight="1">
      <c r="A436" s="12" t="s">
        <v>403</v>
      </c>
      <c r="B436" s="12" t="s">
        <v>404</v>
      </c>
      <c r="C436" s="24">
        <v>1</v>
      </c>
      <c r="D436" s="21"/>
      <c r="E436" s="21"/>
      <c r="G436" s="333"/>
    </row>
    <row r="437" spans="1:7" s="5" customFormat="1" ht="13.5" customHeight="1">
      <c r="A437" s="11" t="s">
        <v>405</v>
      </c>
      <c r="B437" s="11" t="s">
        <v>406</v>
      </c>
      <c r="C437" s="31">
        <f>SUM(C438)</f>
        <v>4880698</v>
      </c>
      <c r="D437" s="117"/>
      <c r="E437" s="117"/>
      <c r="F437" s="142"/>
      <c r="G437" s="334"/>
    </row>
    <row r="438" spans="1:7" s="5" customFormat="1" ht="13.5" customHeight="1">
      <c r="A438" s="12" t="s">
        <v>407</v>
      </c>
      <c r="B438" s="12" t="s">
        <v>781</v>
      </c>
      <c r="C438" s="24">
        <v>4880698</v>
      </c>
      <c r="D438" s="142"/>
      <c r="E438" s="38"/>
      <c r="F438" s="142"/>
      <c r="G438" s="394"/>
    </row>
    <row r="439" spans="1:7" ht="13.5" customHeight="1" thickBot="1">
      <c r="A439" s="11"/>
      <c r="B439" s="11"/>
      <c r="C439" s="31"/>
      <c r="D439" s="31"/>
      <c r="E439" s="31"/>
      <c r="G439" s="324"/>
    </row>
    <row r="440" spans="1:7" ht="13.5" customHeight="1" thickBot="1">
      <c r="A440" s="1132" t="s">
        <v>408</v>
      </c>
      <c r="B440" s="1133"/>
      <c r="C440" s="364">
        <f>C441+C452+C455+C458</f>
        <v>9987320</v>
      </c>
      <c r="D440" s="31"/>
      <c r="E440" s="31"/>
      <c r="G440" s="324"/>
    </row>
    <row r="441" spans="1:7" s="5" customFormat="1" ht="14.25" customHeight="1">
      <c r="A441" s="249" t="s">
        <v>409</v>
      </c>
      <c r="B441" s="249" t="s">
        <v>410</v>
      </c>
      <c r="C441" s="31">
        <f>SUM(C442:C451)</f>
        <v>8837316</v>
      </c>
      <c r="D441" s="365"/>
      <c r="E441" s="365"/>
      <c r="F441" s="366"/>
      <c r="G441" s="333"/>
    </row>
    <row r="442" spans="1:7" s="5" customFormat="1" ht="14.25" customHeight="1">
      <c r="A442" s="71" t="s">
        <v>411</v>
      </c>
      <c r="B442" s="71" t="s">
        <v>412</v>
      </c>
      <c r="C442" s="24">
        <v>1</v>
      </c>
      <c r="D442" s="365"/>
      <c r="E442" s="365"/>
      <c r="F442" s="366"/>
      <c r="G442" s="366"/>
    </row>
    <row r="443" spans="1:10" s="142" customFormat="1" ht="14.25" customHeight="1">
      <c r="A443" s="12" t="s">
        <v>413</v>
      </c>
      <c r="B443" s="12" t="s">
        <v>414</v>
      </c>
      <c r="C443" s="24">
        <v>6160700</v>
      </c>
      <c r="D443" s="525"/>
      <c r="E443" s="632"/>
      <c r="F443" s="632"/>
      <c r="G443" s="334"/>
      <c r="J443" s="525"/>
    </row>
    <row r="444" spans="1:12" s="5" customFormat="1" ht="13.5" customHeight="1">
      <c r="A444" s="71" t="s">
        <v>415</v>
      </c>
      <c r="B444" s="71" t="s">
        <v>416</v>
      </c>
      <c r="C444" s="24">
        <v>676610</v>
      </c>
      <c r="F444" s="632"/>
      <c r="G444" s="353"/>
      <c r="H444" s="307"/>
      <c r="I444" s="142"/>
      <c r="J444" s="142"/>
      <c r="K444" s="142"/>
      <c r="L444" s="142"/>
    </row>
    <row r="445" spans="1:12" s="5" customFormat="1" ht="13.5" customHeight="1">
      <c r="A445" s="71" t="s">
        <v>417</v>
      </c>
      <c r="B445" s="71" t="s">
        <v>418</v>
      </c>
      <c r="C445" s="24">
        <v>1</v>
      </c>
      <c r="D445" s="366"/>
      <c r="E445" s="366"/>
      <c r="F445" s="525"/>
      <c r="G445" s="334"/>
      <c r="H445" s="142"/>
      <c r="I445" s="142"/>
      <c r="J445" s="142"/>
      <c r="K445" s="142"/>
      <c r="L445" s="142"/>
    </row>
    <row r="446" spans="1:12" s="5" customFormat="1" ht="13.5" customHeight="1">
      <c r="A446" s="71" t="s">
        <v>419</v>
      </c>
      <c r="B446" s="71" t="s">
        <v>420</v>
      </c>
      <c r="C446" s="24">
        <v>1</v>
      </c>
      <c r="E446" s="366"/>
      <c r="F446" s="632"/>
      <c r="G446" s="334"/>
      <c r="H446" s="142"/>
      <c r="I446" s="142"/>
      <c r="J446" s="142"/>
      <c r="K446" s="142"/>
      <c r="L446" s="142"/>
    </row>
    <row r="447" spans="1:7" s="5" customFormat="1" ht="14.25" customHeight="1">
      <c r="A447" s="71" t="s">
        <v>421</v>
      </c>
      <c r="B447" s="12" t="s">
        <v>422</v>
      </c>
      <c r="C447" s="24">
        <f>SUM(C448)</f>
        <v>1</v>
      </c>
      <c r="D447" s="367"/>
      <c r="E447" s="366"/>
      <c r="F447" s="366"/>
      <c r="G447" s="333"/>
    </row>
    <row r="448" spans="1:7" s="5" customFormat="1" ht="14.25" customHeight="1">
      <c r="A448" s="71" t="s">
        <v>423</v>
      </c>
      <c r="B448" s="12" t="s">
        <v>424</v>
      </c>
      <c r="C448" s="24">
        <v>1</v>
      </c>
      <c r="D448" s="542"/>
      <c r="G448" s="333"/>
    </row>
    <row r="449" spans="1:7" s="142" customFormat="1" ht="14.25" customHeight="1" hidden="1">
      <c r="A449" s="12" t="s">
        <v>591</v>
      </c>
      <c r="B449" s="12" t="s">
        <v>592</v>
      </c>
      <c r="C449" s="24"/>
      <c r="D449" s="38"/>
      <c r="E449" s="527"/>
      <c r="G449" s="334"/>
    </row>
    <row r="450" spans="1:7" s="142" customFormat="1" ht="14.25" customHeight="1">
      <c r="A450" s="12" t="s">
        <v>765</v>
      </c>
      <c r="B450" s="12" t="s">
        <v>703</v>
      </c>
      <c r="C450" s="24">
        <v>1</v>
      </c>
      <c r="D450" s="38"/>
      <c r="E450" s="527"/>
      <c r="G450" s="334"/>
    </row>
    <row r="451" spans="1:7" s="142" customFormat="1" ht="14.25" customHeight="1">
      <c r="A451" s="12" t="s">
        <v>977</v>
      </c>
      <c r="B451" s="12" t="s">
        <v>978</v>
      </c>
      <c r="C451" s="24">
        <v>2000000</v>
      </c>
      <c r="D451" s="38"/>
      <c r="E451" s="527"/>
      <c r="G451" s="334"/>
    </row>
    <row r="452" spans="1:7" s="5" customFormat="1" ht="14.25" customHeight="1">
      <c r="A452" s="249" t="s">
        <v>425</v>
      </c>
      <c r="B452" s="156" t="s">
        <v>426</v>
      </c>
      <c r="C452" s="31">
        <f>SUM(C453:C454)</f>
        <v>2</v>
      </c>
      <c r="D452" s="28"/>
      <c r="G452" s="333"/>
    </row>
    <row r="453" spans="1:7" s="5" customFormat="1" ht="13.5" customHeight="1">
      <c r="A453" s="71" t="s">
        <v>427</v>
      </c>
      <c r="B453" s="10" t="s">
        <v>428</v>
      </c>
      <c r="C453" s="24">
        <v>1</v>
      </c>
      <c r="D453" s="326"/>
      <c r="E453" s="559"/>
      <c r="G453" s="333"/>
    </row>
    <row r="454" spans="1:6" s="142" customFormat="1" ht="13.5" customHeight="1">
      <c r="A454" s="12" t="s">
        <v>429</v>
      </c>
      <c r="B454" s="12" t="s">
        <v>430</v>
      </c>
      <c r="C454" s="24">
        <v>1</v>
      </c>
      <c r="D454" s="102"/>
      <c r="F454" s="525"/>
    </row>
    <row r="455" spans="1:7" s="10" customFormat="1" ht="12.75" customHeight="1">
      <c r="A455" s="249" t="s">
        <v>431</v>
      </c>
      <c r="B455" s="11" t="s">
        <v>432</v>
      </c>
      <c r="C455" s="568">
        <f>SUM(C456:C457)</f>
        <v>1150001</v>
      </c>
      <c r="E455" s="28"/>
      <c r="G455" s="325"/>
    </row>
    <row r="456" spans="1:7" s="187" customFormat="1" ht="12.75" customHeight="1">
      <c r="A456" s="12" t="s">
        <v>433</v>
      </c>
      <c r="B456" s="12" t="s">
        <v>434</v>
      </c>
      <c r="C456" s="209">
        <v>1150000</v>
      </c>
      <c r="D456" s="448"/>
      <c r="E456" s="16"/>
      <c r="F456" s="448"/>
      <c r="G456" s="16"/>
    </row>
    <row r="457" spans="1:7" s="10" customFormat="1" ht="12.75" customHeight="1">
      <c r="A457" s="71" t="s">
        <v>435</v>
      </c>
      <c r="B457" s="10" t="s">
        <v>436</v>
      </c>
      <c r="C457" s="209">
        <v>1</v>
      </c>
      <c r="D457" s="28"/>
      <c r="E457" s="28"/>
      <c r="G457" s="325"/>
    </row>
    <row r="458" spans="1:7" s="5" customFormat="1" ht="13.5" customHeight="1">
      <c r="A458" s="249" t="s">
        <v>437</v>
      </c>
      <c r="B458" s="249" t="s">
        <v>438</v>
      </c>
      <c r="C458" s="31">
        <f>SUM(C459)</f>
        <v>1</v>
      </c>
      <c r="D458" s="21"/>
      <c r="E458" s="28"/>
      <c r="G458" s="333"/>
    </row>
    <row r="459" spans="1:7" s="5" customFormat="1" ht="13.5" customHeight="1">
      <c r="A459" s="71" t="s">
        <v>439</v>
      </c>
      <c r="B459" s="5" t="s">
        <v>440</v>
      </c>
      <c r="C459" s="24">
        <v>1</v>
      </c>
      <c r="D459" s="21"/>
      <c r="E459" s="28"/>
      <c r="G459" s="333"/>
    </row>
    <row r="460" spans="1:7" s="10" customFormat="1" ht="12.75" customHeight="1" thickBot="1">
      <c r="A460" s="71"/>
      <c r="C460" s="28"/>
      <c r="D460" s="367"/>
      <c r="E460" s="28"/>
      <c r="G460" s="325"/>
    </row>
    <row r="461" spans="1:7" ht="14.25" customHeight="1" thickBot="1">
      <c r="A461" s="1134" t="s">
        <v>441</v>
      </c>
      <c r="B461" s="1135"/>
      <c r="C461" s="752">
        <f>SUM(C462:C463)</f>
        <v>54464196</v>
      </c>
      <c r="E461" s="24"/>
      <c r="G461" s="324"/>
    </row>
    <row r="462" spans="1:7" s="5" customFormat="1" ht="13.5" customHeight="1">
      <c r="A462" s="249" t="s">
        <v>442</v>
      </c>
      <c r="B462" s="249" t="s">
        <v>443</v>
      </c>
      <c r="C462" s="31">
        <v>53203380</v>
      </c>
      <c r="D462" s="541"/>
      <c r="E462" s="117"/>
      <c r="F462" s="142"/>
      <c r="G462" s="333"/>
    </row>
    <row r="463" spans="1:7" s="5" customFormat="1" ht="14.25" customHeight="1">
      <c r="A463" s="11" t="s">
        <v>444</v>
      </c>
      <c r="B463" s="11" t="s">
        <v>445</v>
      </c>
      <c r="C463" s="31">
        <v>1260816</v>
      </c>
      <c r="D463" s="21"/>
      <c r="E463" s="21"/>
      <c r="G463" s="333"/>
    </row>
  </sheetData>
  <sheetProtection sheet="1" objects="1" scenarios="1" sort="0" autoFilter="0"/>
  <mergeCells count="34">
    <mergeCell ref="A426:B426"/>
    <mergeCell ref="A440:B440"/>
    <mergeCell ref="A461:B461"/>
    <mergeCell ref="A360:C361"/>
    <mergeCell ref="A362:E366"/>
    <mergeCell ref="A373:B373"/>
    <mergeCell ref="A393:B393"/>
    <mergeCell ref="A405:B405"/>
    <mergeCell ref="A418:E419"/>
    <mergeCell ref="A289:B289"/>
    <mergeCell ref="A298:C299"/>
    <mergeCell ref="A300:E303"/>
    <mergeCell ref="A310:B310"/>
    <mergeCell ref="A330:B330"/>
    <mergeCell ref="A349:B349"/>
    <mergeCell ref="A209:B209"/>
    <mergeCell ref="A225:B225"/>
    <mergeCell ref="A234:C235"/>
    <mergeCell ref="A236:E242"/>
    <mergeCell ref="A249:B249"/>
    <mergeCell ref="A268:B268"/>
    <mergeCell ref="A4:C5"/>
    <mergeCell ref="A6:E7"/>
    <mergeCell ref="A103:C104"/>
    <mergeCell ref="A105:E113"/>
    <mergeCell ref="A144:B144"/>
    <mergeCell ref="A167:B167"/>
    <mergeCell ref="A176:C177"/>
    <mergeCell ref="A178:E182"/>
    <mergeCell ref="A189:B189"/>
    <mergeCell ref="A24:B24"/>
    <mergeCell ref="A47:B47"/>
    <mergeCell ref="A69:B69"/>
    <mergeCell ref="A94:B94"/>
  </mergeCells>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sheetPr>
    <tabColor theme="5" tint="0.39998000860214233"/>
  </sheetPr>
  <dimension ref="A1:IU3064"/>
  <sheetViews>
    <sheetView zoomScalePageLayoutView="0" workbookViewId="0" topLeftCell="A764">
      <selection activeCell="I814" sqref="I814"/>
    </sheetView>
  </sheetViews>
  <sheetFormatPr defaultColWidth="11.421875" defaultRowHeight="12.75"/>
  <cols>
    <col min="1" max="1" width="9.7109375" style="4" customWidth="1"/>
    <col min="2" max="2" width="46.140625" style="34" customWidth="1"/>
    <col min="3" max="3" width="12.7109375" style="34" customWidth="1"/>
    <col min="4" max="4" width="15.7109375" style="35" customWidth="1"/>
    <col min="5" max="5" width="14.57421875" style="36" customWidth="1"/>
    <col min="6" max="6" width="18.7109375" style="88" customWidth="1"/>
    <col min="7" max="8" width="11.421875" style="4" customWidth="1"/>
    <col min="9" max="9" width="29.8515625" style="4" customWidth="1"/>
    <col min="10" max="16384" width="11.421875" style="4" customWidth="1"/>
  </cols>
  <sheetData>
    <row r="1" spans="1:9" s="2" customFormat="1" ht="13.5" customHeight="1">
      <c r="A1" s="448"/>
      <c r="B1" s="787" t="s">
        <v>999</v>
      </c>
      <c r="C1" s="14"/>
      <c r="D1" s="15"/>
      <c r="E1" s="16"/>
      <c r="F1" s="798"/>
      <c r="I1" s="864"/>
    </row>
    <row r="2" spans="1:9" s="2" customFormat="1" ht="13.5" customHeight="1">
      <c r="A2" s="1"/>
      <c r="B2" s="14"/>
      <c r="C2" s="14"/>
      <c r="D2" s="15"/>
      <c r="E2" s="17"/>
      <c r="F2" s="90"/>
      <c r="I2" s="864"/>
    </row>
    <row r="3" spans="1:11" ht="13.5" customHeight="1" thickBot="1">
      <c r="A3" s="3"/>
      <c r="B3" s="18"/>
      <c r="C3" s="18"/>
      <c r="D3" s="19"/>
      <c r="E3" s="20"/>
      <c r="I3" s="865"/>
      <c r="J3" s="213"/>
      <c r="K3" s="213"/>
    </row>
    <row r="4" spans="1:11" ht="13.5" customHeight="1">
      <c r="A4" s="583" t="s">
        <v>609</v>
      </c>
      <c r="B4" s="625" t="s">
        <v>663</v>
      </c>
      <c r="C4" s="626"/>
      <c r="D4" s="627" t="s">
        <v>6</v>
      </c>
      <c r="E4" s="755">
        <v>1801</v>
      </c>
      <c r="F4" s="87"/>
      <c r="I4" s="213"/>
      <c r="J4" s="213"/>
      <c r="K4" s="213"/>
    </row>
    <row r="5" spans="1:10" ht="13.5" customHeight="1" thickBot="1">
      <c r="A5" s="587"/>
      <c r="B5" s="628"/>
      <c r="C5" s="629"/>
      <c r="D5" s="630"/>
      <c r="E5" s="631"/>
      <c r="F5" s="87"/>
      <c r="I5" s="213"/>
      <c r="J5" s="213"/>
    </row>
    <row r="6" spans="1:10" ht="13.5" customHeight="1">
      <c r="A6" s="979" t="s">
        <v>982</v>
      </c>
      <c r="B6" s="980"/>
      <c r="C6" s="980"/>
      <c r="D6" s="980"/>
      <c r="E6" s="981"/>
      <c r="F6" s="87"/>
      <c r="I6" s="866"/>
      <c r="J6" s="213"/>
    </row>
    <row r="7" spans="1:6" ht="13.5" customHeight="1">
      <c r="A7" s="982"/>
      <c r="B7" s="983"/>
      <c r="C7" s="983"/>
      <c r="D7" s="983"/>
      <c r="E7" s="984"/>
      <c r="F7" s="87"/>
    </row>
    <row r="8" spans="1:6" ht="13.5" customHeight="1">
      <c r="A8" s="982"/>
      <c r="B8" s="983"/>
      <c r="C8" s="983"/>
      <c r="D8" s="983"/>
      <c r="E8" s="984"/>
      <c r="F8" s="87"/>
    </row>
    <row r="9" spans="1:6" ht="13.5" customHeight="1" thickBot="1">
      <c r="A9" s="985"/>
      <c r="B9" s="986"/>
      <c r="C9" s="986"/>
      <c r="D9" s="986"/>
      <c r="E9" s="987"/>
      <c r="F9" s="87"/>
    </row>
    <row r="10" spans="1:6" s="6" customFormat="1" ht="13.5" customHeight="1">
      <c r="A10" s="40" t="s">
        <v>809</v>
      </c>
      <c r="B10" s="31"/>
      <c r="C10" s="31"/>
      <c r="D10" s="32"/>
      <c r="E10" s="41"/>
      <c r="F10" s="87"/>
    </row>
    <row r="11" spans="1:6" s="6" customFormat="1" ht="13.5" customHeight="1">
      <c r="A11" s="40" t="s">
        <v>577</v>
      </c>
      <c r="B11" s="31"/>
      <c r="C11" s="31"/>
      <c r="D11" s="32"/>
      <c r="E11" s="41"/>
      <c r="F11" s="87"/>
    </row>
    <row r="12" spans="1:6" s="6" customFormat="1" ht="13.5" customHeight="1">
      <c r="A12" s="40" t="s">
        <v>580</v>
      </c>
      <c r="B12" s="31"/>
      <c r="C12" s="31"/>
      <c r="D12" s="32"/>
      <c r="E12" s="41"/>
      <c r="F12" s="87"/>
    </row>
    <row r="13" spans="1:6" s="6" customFormat="1" ht="13.5" customHeight="1" thickBot="1">
      <c r="A13" s="40" t="s">
        <v>11</v>
      </c>
      <c r="B13" s="31"/>
      <c r="C13" s="31"/>
      <c r="D13" s="32"/>
      <c r="E13" s="41"/>
      <c r="F13" s="87"/>
    </row>
    <row r="14" spans="1:6" s="7" customFormat="1" ht="13.5" customHeight="1" thickBot="1">
      <c r="A14" s="697" t="s">
        <v>0</v>
      </c>
      <c r="B14" s="699"/>
      <c r="C14" s="699"/>
      <c r="D14" s="715"/>
      <c r="E14" s="715">
        <f>+C16+C39+C61+C78+D98</f>
        <v>53819670</v>
      </c>
      <c r="F14" s="87"/>
    </row>
    <row r="15" spans="1:5" ht="13.5" customHeight="1" thickBot="1">
      <c r="A15" s="5"/>
      <c r="B15" s="21"/>
      <c r="C15" s="21"/>
      <c r="D15" s="19"/>
      <c r="E15" s="43"/>
    </row>
    <row r="16" spans="1:6" s="8" customFormat="1" ht="12.75" customHeight="1" thickBot="1">
      <c r="A16" s="1095" t="s">
        <v>1</v>
      </c>
      <c r="B16" s="1096"/>
      <c r="C16" s="601">
        <f>C31+C24+C17</f>
        <v>45632380</v>
      </c>
      <c r="D16" s="22"/>
      <c r="E16" s="848"/>
      <c r="F16" s="91"/>
    </row>
    <row r="17" spans="1:6" s="42" customFormat="1" ht="12.75" customHeight="1">
      <c r="A17" s="11" t="s">
        <v>97</v>
      </c>
      <c r="B17" s="199" t="s">
        <v>98</v>
      </c>
      <c r="C17" s="31">
        <f>SUM(C18:C23)</f>
        <v>14723509</v>
      </c>
      <c r="D17" s="22"/>
      <c r="E17" s="24"/>
      <c r="F17" s="94"/>
    </row>
    <row r="18" spans="1:6" s="8" customFormat="1" ht="12.75" customHeight="1">
      <c r="A18" s="12" t="s">
        <v>23</v>
      </c>
      <c r="B18" s="24" t="s">
        <v>20</v>
      </c>
      <c r="C18" s="24">
        <f>2000203+672529+11145088-2000000</f>
        <v>11817820</v>
      </c>
      <c r="D18" s="22"/>
      <c r="E18" s="25"/>
      <c r="F18" s="91"/>
    </row>
    <row r="19" spans="1:6" s="8" customFormat="1" ht="12.75" customHeight="1">
      <c r="A19" s="12" t="s">
        <v>24</v>
      </c>
      <c r="B19" s="24" t="s">
        <v>22</v>
      </c>
      <c r="C19" s="24">
        <f>1781209+500051+1271</f>
        <v>2282531</v>
      </c>
      <c r="D19" s="22"/>
      <c r="E19" s="25"/>
      <c r="F19" s="91"/>
    </row>
    <row r="20" spans="1:5" s="9" customFormat="1" ht="12.75" customHeight="1">
      <c r="A20" s="12" t="s">
        <v>25</v>
      </c>
      <c r="B20" s="24" t="s">
        <v>76</v>
      </c>
      <c r="C20" s="24">
        <f>55000+365964+4022</f>
        <v>424986</v>
      </c>
      <c r="D20" s="22"/>
      <c r="E20" s="25"/>
    </row>
    <row r="21" spans="1:5" s="9" customFormat="1" ht="12.75" customHeight="1">
      <c r="A21" s="12" t="s">
        <v>26</v>
      </c>
      <c r="B21" s="24" t="s">
        <v>77</v>
      </c>
      <c r="C21" s="24">
        <v>1</v>
      </c>
      <c r="D21" s="22"/>
      <c r="E21" s="25"/>
    </row>
    <row r="22" spans="1:5" s="9" customFormat="1" ht="12.75" customHeight="1">
      <c r="A22" s="12" t="s">
        <v>27</v>
      </c>
      <c r="B22" s="24" t="s">
        <v>21</v>
      </c>
      <c r="C22" s="24">
        <f>33941+12699</f>
        <v>46640</v>
      </c>
      <c r="D22" s="22"/>
      <c r="E22" s="25"/>
    </row>
    <row r="23" spans="1:5" s="9" customFormat="1" ht="12.75" customHeight="1">
      <c r="A23" s="12" t="s">
        <v>28</v>
      </c>
      <c r="B23" s="24" t="s">
        <v>19</v>
      </c>
      <c r="C23" s="24">
        <v>151531</v>
      </c>
      <c r="D23" s="22"/>
      <c r="E23" s="25"/>
    </row>
    <row r="24" spans="1:5" s="9" customFormat="1" ht="12.75" customHeight="1">
      <c r="A24" s="11" t="s">
        <v>99</v>
      </c>
      <c r="B24" s="31" t="s">
        <v>100</v>
      </c>
      <c r="C24" s="31">
        <f>SUM(C25:C30)</f>
        <v>22658323</v>
      </c>
      <c r="D24" s="22"/>
      <c r="E24" s="25"/>
    </row>
    <row r="25" spans="1:5" s="9" customFormat="1" ht="12.75" customHeight="1">
      <c r="A25" s="12" t="s">
        <v>30</v>
      </c>
      <c r="B25" s="24" t="s">
        <v>78</v>
      </c>
      <c r="C25" s="24">
        <f>3391612+952571+18842294-5000000</f>
        <v>18186477</v>
      </c>
      <c r="D25" s="22"/>
      <c r="E25" s="25"/>
    </row>
    <row r="26" spans="1:5" s="8" customFormat="1" ht="12.75" customHeight="1">
      <c r="A26" s="12" t="s">
        <v>31</v>
      </c>
      <c r="B26" s="24" t="s">
        <v>79</v>
      </c>
      <c r="C26" s="24">
        <f>3014767+847904</f>
        <v>3862671</v>
      </c>
      <c r="D26" s="22"/>
      <c r="E26" s="25"/>
    </row>
    <row r="27" spans="1:5" s="8" customFormat="1" ht="12.75" customHeight="1">
      <c r="A27" s="12" t="s">
        <v>32</v>
      </c>
      <c r="B27" s="24" t="s">
        <v>80</v>
      </c>
      <c r="C27" s="24">
        <v>574935</v>
      </c>
      <c r="D27" s="22"/>
      <c r="E27" s="25"/>
    </row>
    <row r="28" spans="1:5" s="9" customFormat="1" ht="12.75" customHeight="1">
      <c r="A28" s="12" t="s">
        <v>33</v>
      </c>
      <c r="B28" s="24" t="s">
        <v>81</v>
      </c>
      <c r="C28" s="24">
        <v>1</v>
      </c>
      <c r="D28" s="22"/>
      <c r="E28" s="25"/>
    </row>
    <row r="29" spans="1:5" s="9" customFormat="1" ht="12.75" customHeight="1">
      <c r="A29" s="12" t="s">
        <v>34</v>
      </c>
      <c r="B29" s="24" t="s">
        <v>29</v>
      </c>
      <c r="C29" s="24">
        <f>2822+31416</f>
        <v>34238</v>
      </c>
      <c r="D29" s="22"/>
      <c r="E29" s="25"/>
    </row>
    <row r="30" spans="1:5" s="9" customFormat="1" ht="12.75" customHeight="1">
      <c r="A30" s="12" t="s">
        <v>83</v>
      </c>
      <c r="B30" s="24" t="s">
        <v>82</v>
      </c>
      <c r="C30" s="24">
        <v>1</v>
      </c>
      <c r="D30" s="22"/>
      <c r="E30" s="25"/>
    </row>
    <row r="31" spans="1:6" s="9" customFormat="1" ht="12.75" customHeight="1">
      <c r="A31" s="11" t="s">
        <v>101</v>
      </c>
      <c r="B31" s="31" t="s">
        <v>102</v>
      </c>
      <c r="C31" s="31">
        <f>SUM(C32:C37)</f>
        <v>8250548</v>
      </c>
      <c r="D31" s="22"/>
      <c r="E31" s="25"/>
      <c r="F31" s="92"/>
    </row>
    <row r="32" spans="1:6" s="8" customFormat="1" ht="12.75" customHeight="1">
      <c r="A32" s="12" t="s">
        <v>39</v>
      </c>
      <c r="B32" s="24" t="s">
        <v>35</v>
      </c>
      <c r="C32" s="24">
        <f>1010949+259893+5616384</f>
        <v>6887226</v>
      </c>
      <c r="D32" s="22"/>
      <c r="E32" s="25"/>
      <c r="F32" s="91"/>
    </row>
    <row r="33" spans="1:6" s="8" customFormat="1" ht="12.75" customHeight="1">
      <c r="A33" s="12" t="s">
        <v>40</v>
      </c>
      <c r="B33" s="24" t="s">
        <v>37</v>
      </c>
      <c r="C33" s="24">
        <f>252738+898622</f>
        <v>1151360</v>
      </c>
      <c r="D33" s="22"/>
      <c r="E33" s="25"/>
      <c r="F33" s="91"/>
    </row>
    <row r="34" spans="1:6" s="9" customFormat="1" ht="12.75" customHeight="1">
      <c r="A34" s="12" t="s">
        <v>41</v>
      </c>
      <c r="B34" s="24" t="s">
        <v>84</v>
      </c>
      <c r="C34" s="24">
        <v>156117</v>
      </c>
      <c r="D34" s="22"/>
      <c r="E34" s="25"/>
      <c r="F34" s="91"/>
    </row>
    <row r="35" spans="1:6" s="9" customFormat="1" ht="12.75" customHeight="1">
      <c r="A35" s="12" t="s">
        <v>42</v>
      </c>
      <c r="B35" s="24" t="s">
        <v>85</v>
      </c>
      <c r="C35" s="24">
        <v>1</v>
      </c>
      <c r="D35" s="22"/>
      <c r="E35" s="25"/>
      <c r="F35" s="91"/>
    </row>
    <row r="36" spans="1:6" s="9" customFormat="1" ht="12.75" customHeight="1">
      <c r="A36" s="12" t="s">
        <v>43</v>
      </c>
      <c r="B36" s="24" t="s">
        <v>36</v>
      </c>
      <c r="C36" s="24">
        <f>54432+1411</f>
        <v>55843</v>
      </c>
      <c r="D36" s="22"/>
      <c r="E36" s="25"/>
      <c r="F36" s="91"/>
    </row>
    <row r="37" spans="1:6" s="9" customFormat="1" ht="12.75" customHeight="1">
      <c r="A37" s="12" t="s">
        <v>44</v>
      </c>
      <c r="B37" s="24" t="s">
        <v>38</v>
      </c>
      <c r="C37" s="24">
        <v>1</v>
      </c>
      <c r="D37" s="22"/>
      <c r="E37" s="25"/>
      <c r="F37" s="91"/>
    </row>
    <row r="38" spans="1:6" s="9" customFormat="1" ht="12.75" customHeight="1" thickBot="1">
      <c r="A38" s="12"/>
      <c r="B38" s="24"/>
      <c r="C38" s="24"/>
      <c r="D38" s="22"/>
      <c r="E38" s="25"/>
      <c r="F38" s="91"/>
    </row>
    <row r="39" spans="1:9" s="8" customFormat="1" ht="13.5" customHeight="1" thickBot="1">
      <c r="A39" s="992" t="s">
        <v>2</v>
      </c>
      <c r="B39" s="993"/>
      <c r="C39" s="602">
        <f>C40+C42+C45+C56+C47+C53</f>
        <v>1049430</v>
      </c>
      <c r="D39" s="77"/>
      <c r="E39" s="25"/>
      <c r="F39" s="94"/>
      <c r="G39" s="54"/>
      <c r="H39" s="42"/>
      <c r="I39" s="82"/>
    </row>
    <row r="40" spans="1:9" s="42" customFormat="1" ht="13.5" customHeight="1">
      <c r="A40" s="11" t="s">
        <v>103</v>
      </c>
      <c r="B40" s="199" t="s">
        <v>104</v>
      </c>
      <c r="C40" s="31">
        <f>SUM(C41)</f>
        <v>255000</v>
      </c>
      <c r="D40" s="22"/>
      <c r="E40" s="24"/>
      <c r="F40" s="94"/>
      <c r="G40" s="54"/>
      <c r="I40" s="54"/>
    </row>
    <row r="41" spans="1:7" s="42" customFormat="1" ht="13.5" customHeight="1">
      <c r="A41" s="12" t="s">
        <v>46</v>
      </c>
      <c r="B41" s="8" t="s">
        <v>45</v>
      </c>
      <c r="C41" s="24">
        <v>255000</v>
      </c>
      <c r="E41" s="31"/>
      <c r="F41" s="95"/>
      <c r="G41" s="54"/>
    </row>
    <row r="42" spans="1:7" s="42" customFormat="1" ht="13.5" customHeight="1">
      <c r="A42" s="11" t="s">
        <v>105</v>
      </c>
      <c r="B42" s="502" t="s">
        <v>106</v>
      </c>
      <c r="C42" s="31">
        <f>SUM(C43:C44)</f>
        <v>410580</v>
      </c>
      <c r="E42" s="31"/>
      <c r="F42" s="95"/>
      <c r="G42" s="54"/>
    </row>
    <row r="43" spans="1:7" s="42" customFormat="1" ht="13.5" customHeight="1">
      <c r="A43" s="12" t="s">
        <v>67</v>
      </c>
      <c r="B43" s="8" t="s">
        <v>68</v>
      </c>
      <c r="C43" s="24">
        <v>165780</v>
      </c>
      <c r="E43" s="31"/>
      <c r="F43" s="95"/>
      <c r="G43" s="54"/>
    </row>
    <row r="44" spans="1:7" s="42" customFormat="1" ht="13.5" customHeight="1">
      <c r="A44" s="12" t="s">
        <v>86</v>
      </c>
      <c r="B44" s="8" t="s">
        <v>66</v>
      </c>
      <c r="C44" s="24">
        <v>244800</v>
      </c>
      <c r="E44" s="31"/>
      <c r="F44" s="95"/>
      <c r="G44" s="54"/>
    </row>
    <row r="45" spans="1:7" s="42" customFormat="1" ht="13.5" customHeight="1">
      <c r="A45" s="11" t="s">
        <v>107</v>
      </c>
      <c r="B45" s="502" t="s">
        <v>108</v>
      </c>
      <c r="C45" s="31">
        <f>SUM(C46)</f>
        <v>75820</v>
      </c>
      <c r="E45" s="31"/>
      <c r="F45" s="22"/>
      <c r="G45" s="54"/>
    </row>
    <row r="46" spans="1:8" s="8" customFormat="1" ht="13.5" customHeight="1">
      <c r="A46" s="12" t="s">
        <v>47</v>
      </c>
      <c r="B46" s="23" t="s">
        <v>48</v>
      </c>
      <c r="C46" s="24">
        <v>75820</v>
      </c>
      <c r="E46" s="25"/>
      <c r="F46" s="78"/>
      <c r="G46" s="54"/>
      <c r="H46" s="42"/>
    </row>
    <row r="47" spans="1:8" s="71" customFormat="1" ht="13.5" customHeight="1">
      <c r="A47" s="249" t="s">
        <v>119</v>
      </c>
      <c r="B47" s="25" t="s">
        <v>109</v>
      </c>
      <c r="C47" s="31">
        <f>SUM(C48:C52)</f>
        <v>136390</v>
      </c>
      <c r="D47" s="77"/>
      <c r="E47" s="25"/>
      <c r="F47" s="100"/>
      <c r="G47" s="95"/>
      <c r="H47" s="12"/>
    </row>
    <row r="48" spans="1:8" s="71" customFormat="1" ht="13.5" customHeight="1">
      <c r="A48" s="71" t="s">
        <v>149</v>
      </c>
      <c r="B48" s="23" t="s">
        <v>338</v>
      </c>
      <c r="C48" s="24">
        <v>14850</v>
      </c>
      <c r="D48" s="21"/>
      <c r="E48" s="21"/>
      <c r="F48" s="5"/>
      <c r="G48" s="333"/>
      <c r="H48" s="119"/>
    </row>
    <row r="49" spans="1:8" s="71" customFormat="1" ht="13.5" customHeight="1">
      <c r="A49" s="71" t="s">
        <v>641</v>
      </c>
      <c r="B49" s="42" t="s">
        <v>640</v>
      </c>
      <c r="C49" s="24">
        <v>28540</v>
      </c>
      <c r="D49" s="21"/>
      <c r="E49" s="21"/>
      <c r="F49" s="5"/>
      <c r="G49" s="333"/>
      <c r="H49" s="119"/>
    </row>
    <row r="50" spans="1:5" s="65" customFormat="1" ht="13.5">
      <c r="A50" s="71" t="s">
        <v>758</v>
      </c>
      <c r="B50" s="24" t="s">
        <v>753</v>
      </c>
      <c r="C50" s="24">
        <v>23000</v>
      </c>
      <c r="D50" s="77"/>
      <c r="E50" s="25"/>
    </row>
    <row r="51" spans="1:5" s="65" customFormat="1" ht="13.5">
      <c r="A51" s="71" t="s">
        <v>762</v>
      </c>
      <c r="B51" s="24" t="s">
        <v>763</v>
      </c>
      <c r="C51" s="24">
        <v>55000</v>
      </c>
      <c r="D51" s="77"/>
      <c r="E51" s="25"/>
    </row>
    <row r="52" spans="1:5" s="65" customFormat="1" ht="13.5">
      <c r="A52" s="71" t="s">
        <v>754</v>
      </c>
      <c r="B52" s="24" t="s">
        <v>755</v>
      </c>
      <c r="C52" s="24">
        <v>15000</v>
      </c>
      <c r="D52" s="77"/>
      <c r="E52" s="25"/>
    </row>
    <row r="53" spans="1:8" s="71" customFormat="1" ht="13.5" customHeight="1">
      <c r="A53" s="249" t="s">
        <v>124</v>
      </c>
      <c r="B53" s="25" t="s">
        <v>123</v>
      </c>
      <c r="C53" s="31">
        <f>SUM(C54:C55)</f>
        <v>61000</v>
      </c>
      <c r="D53" s="21"/>
      <c r="E53" s="21"/>
      <c r="F53" s="5"/>
      <c r="G53" s="333"/>
      <c r="H53" s="119"/>
    </row>
    <row r="54" spans="1:5" s="65" customFormat="1" ht="13.5">
      <c r="A54" s="12" t="s">
        <v>231</v>
      </c>
      <c r="B54" s="42" t="s">
        <v>230</v>
      </c>
      <c r="C54" s="24">
        <v>34000</v>
      </c>
      <c r="D54" s="56"/>
      <c r="E54" s="56"/>
    </row>
    <row r="55" spans="1:6" s="65" customFormat="1" ht="13.5">
      <c r="A55" s="71" t="s">
        <v>93</v>
      </c>
      <c r="B55" s="23" t="s">
        <v>72</v>
      </c>
      <c r="C55" s="59">
        <v>27000</v>
      </c>
      <c r="D55" s="67"/>
      <c r="E55" s="67"/>
      <c r="F55" s="67"/>
    </row>
    <row r="56" spans="1:6" s="65" customFormat="1" ht="13.5">
      <c r="A56" s="249" t="s">
        <v>150</v>
      </c>
      <c r="B56" s="25" t="s">
        <v>125</v>
      </c>
      <c r="C56" s="63">
        <f>SUM(C57:C59)</f>
        <v>110640</v>
      </c>
      <c r="D56" s="67"/>
      <c r="E56" s="67"/>
      <c r="F56" s="67"/>
    </row>
    <row r="57" spans="1:6" s="65" customFormat="1" ht="13.5">
      <c r="A57" s="71" t="s">
        <v>151</v>
      </c>
      <c r="B57" s="23" t="s">
        <v>65</v>
      </c>
      <c r="C57" s="59">
        <v>27000</v>
      </c>
      <c r="D57" s="67"/>
      <c r="E57" s="67"/>
      <c r="F57" s="67"/>
    </row>
    <row r="58" spans="1:6" s="65" customFormat="1" ht="13.5">
      <c r="A58" s="71" t="s">
        <v>152</v>
      </c>
      <c r="B58" s="23" t="s">
        <v>70</v>
      </c>
      <c r="C58" s="59">
        <v>45360</v>
      </c>
      <c r="D58" s="67"/>
      <c r="E58" s="67"/>
      <c r="F58" s="67"/>
    </row>
    <row r="59" spans="1:8" s="65" customFormat="1" ht="13.5">
      <c r="A59" s="71" t="s">
        <v>153</v>
      </c>
      <c r="B59" s="23" t="s">
        <v>133</v>
      </c>
      <c r="C59" s="59">
        <v>38280</v>
      </c>
      <c r="F59" s="67"/>
      <c r="G59" s="67"/>
      <c r="H59" s="67"/>
    </row>
    <row r="60" spans="1:8" s="8" customFormat="1" ht="13.5" customHeight="1" thickBot="1">
      <c r="A60" s="71"/>
      <c r="B60" s="23"/>
      <c r="C60" s="23"/>
      <c r="F60" s="77"/>
      <c r="G60" s="25"/>
      <c r="H60" s="93"/>
    </row>
    <row r="61" spans="1:8" s="8" customFormat="1" ht="13.5" customHeight="1" thickBot="1">
      <c r="A61" s="994" t="s">
        <v>3</v>
      </c>
      <c r="B61" s="995"/>
      <c r="C61" s="603">
        <f>C62+C64+C67+C70+C73</f>
        <v>2590040</v>
      </c>
      <c r="F61" s="77"/>
      <c r="G61" s="25"/>
      <c r="H61" s="53"/>
    </row>
    <row r="62" spans="1:8" s="8" customFormat="1" ht="13.5" customHeight="1">
      <c r="A62" s="249" t="s">
        <v>110</v>
      </c>
      <c r="B62" s="281" t="s">
        <v>111</v>
      </c>
      <c r="C62" s="31">
        <f>SUM(C63)</f>
        <v>45000</v>
      </c>
      <c r="F62" s="77"/>
      <c r="G62" s="25"/>
      <c r="H62" s="53"/>
    </row>
    <row r="63" spans="1:8" s="8" customFormat="1" ht="13.5" customHeight="1">
      <c r="A63" s="12" t="s">
        <v>52</v>
      </c>
      <c r="B63" s="24" t="s">
        <v>15</v>
      </c>
      <c r="C63" s="24">
        <v>45000</v>
      </c>
      <c r="F63" s="78"/>
      <c r="G63" s="25"/>
      <c r="H63" s="91"/>
    </row>
    <row r="64" spans="1:8" s="8" customFormat="1" ht="13.5" customHeight="1">
      <c r="A64" s="506" t="s">
        <v>120</v>
      </c>
      <c r="B64" s="507" t="s">
        <v>121</v>
      </c>
      <c r="C64" s="31">
        <f>SUM(C65:C66)</f>
        <v>32280</v>
      </c>
      <c r="F64" s="77"/>
      <c r="G64" s="25"/>
      <c r="H64" s="91"/>
    </row>
    <row r="65" spans="1:8" s="8" customFormat="1" ht="13.5" customHeight="1">
      <c r="A65" s="58" t="s">
        <v>140</v>
      </c>
      <c r="B65" s="42" t="s">
        <v>141</v>
      </c>
      <c r="C65" s="24">
        <v>20280</v>
      </c>
      <c r="F65" s="78"/>
      <c r="G65" s="25"/>
      <c r="H65" s="91"/>
    </row>
    <row r="66" spans="1:8" s="8" customFormat="1" ht="13.5" customHeight="1">
      <c r="A66" s="58" t="s">
        <v>136</v>
      </c>
      <c r="B66" s="58" t="s">
        <v>71</v>
      </c>
      <c r="C66" s="24">
        <v>12000</v>
      </c>
      <c r="G66" s="25"/>
      <c r="H66" s="91"/>
    </row>
    <row r="67" spans="1:8" s="8" customFormat="1" ht="13.5" customHeight="1">
      <c r="A67" s="506" t="s">
        <v>112</v>
      </c>
      <c r="B67" s="505" t="s">
        <v>156</v>
      </c>
      <c r="C67" s="31">
        <f>SUM(C68:C69)</f>
        <v>461600</v>
      </c>
      <c r="F67" s="77"/>
      <c r="G67" s="25"/>
      <c r="H67" s="91"/>
    </row>
    <row r="68" spans="1:8" s="8" customFormat="1" ht="13.5" customHeight="1">
      <c r="A68" s="71" t="s">
        <v>138</v>
      </c>
      <c r="B68" s="58" t="s">
        <v>810</v>
      </c>
      <c r="C68" s="24">
        <v>8700</v>
      </c>
      <c r="F68" s="78"/>
      <c r="G68" s="25"/>
      <c r="H68" s="91"/>
    </row>
    <row r="69" spans="1:8" s="8" customFormat="1" ht="13.5" customHeight="1">
      <c r="A69" s="71" t="s">
        <v>49</v>
      </c>
      <c r="B69" s="23" t="s">
        <v>87</v>
      </c>
      <c r="C69" s="24">
        <v>452900</v>
      </c>
      <c r="F69" s="95"/>
      <c r="G69" s="31"/>
      <c r="H69" s="94"/>
    </row>
    <row r="70" spans="1:8" s="8" customFormat="1" ht="13.5" customHeight="1">
      <c r="A70" s="506" t="s">
        <v>113</v>
      </c>
      <c r="B70" s="506" t="s">
        <v>114</v>
      </c>
      <c r="C70" s="31">
        <f>SUM(C71:C72)</f>
        <v>13200</v>
      </c>
      <c r="F70" s="77"/>
      <c r="G70" s="25"/>
      <c r="H70" s="91"/>
    </row>
    <row r="71" spans="1:8" s="8" customFormat="1" ht="13.5" customHeight="1">
      <c r="A71" s="71" t="s">
        <v>75</v>
      </c>
      <c r="B71" s="23" t="s">
        <v>73</v>
      </c>
      <c r="C71" s="24">
        <v>6000</v>
      </c>
      <c r="F71" s="77"/>
      <c r="G71" s="25"/>
      <c r="H71" s="91"/>
    </row>
    <row r="72" spans="1:8" s="8" customFormat="1" ht="13.5" customHeight="1">
      <c r="A72" s="71" t="s">
        <v>88</v>
      </c>
      <c r="B72" s="23" t="s">
        <v>64</v>
      </c>
      <c r="C72" s="24">
        <v>7200</v>
      </c>
      <c r="F72" s="77"/>
      <c r="G72" s="25"/>
      <c r="H72" s="91"/>
    </row>
    <row r="73" spans="1:8" s="8" customFormat="1" ht="13.5" customHeight="1">
      <c r="A73" s="249" t="s">
        <v>115</v>
      </c>
      <c r="B73" s="25" t="s">
        <v>8</v>
      </c>
      <c r="C73" s="31">
        <f>SUM(C74:C76)</f>
        <v>2037960</v>
      </c>
      <c r="F73" s="77"/>
      <c r="G73" s="25"/>
      <c r="H73" s="91"/>
    </row>
    <row r="74" spans="1:10" s="8" customFormat="1" ht="13.5" customHeight="1">
      <c r="A74" s="71" t="s">
        <v>92</v>
      </c>
      <c r="B74" s="23" t="s">
        <v>8</v>
      </c>
      <c r="C74" s="24">
        <v>1437500</v>
      </c>
      <c r="F74" s="78"/>
      <c r="G74" s="25"/>
      <c r="J74" s="82"/>
    </row>
    <row r="75" spans="1:9" s="8" customFormat="1" ht="13.5" customHeight="1">
      <c r="A75" s="71" t="s">
        <v>94</v>
      </c>
      <c r="B75" s="23" t="s">
        <v>50</v>
      </c>
      <c r="C75" s="24">
        <v>229560</v>
      </c>
      <c r="F75" s="78"/>
      <c r="G75" s="94"/>
      <c r="I75" s="82"/>
    </row>
    <row r="76" spans="1:8" s="8" customFormat="1" ht="13.5" customHeight="1">
      <c r="A76" s="71" t="s">
        <v>90</v>
      </c>
      <c r="B76" s="23" t="s">
        <v>7</v>
      </c>
      <c r="C76" s="24">
        <v>370900</v>
      </c>
      <c r="D76" s="83"/>
      <c r="E76" s="438"/>
      <c r="F76" s="94"/>
      <c r="G76" s="54"/>
      <c r="H76" s="42"/>
    </row>
    <row r="77" spans="1:8" s="8" customFormat="1" ht="13.5" customHeight="1" thickBot="1">
      <c r="A77" s="71"/>
      <c r="B77" s="23"/>
      <c r="C77" s="24"/>
      <c r="D77" s="83"/>
      <c r="E77" s="25"/>
      <c r="F77" s="94"/>
      <c r="G77" s="54"/>
      <c r="H77" s="42"/>
    </row>
    <row r="78" spans="1:8" s="8" customFormat="1" ht="13.5" customHeight="1" thickBot="1">
      <c r="A78" s="996" t="s">
        <v>4</v>
      </c>
      <c r="B78" s="997"/>
      <c r="C78" s="605">
        <f>C79+C82+C86</f>
        <v>129970</v>
      </c>
      <c r="D78" s="77"/>
      <c r="E78" s="25"/>
      <c r="F78" s="94"/>
      <c r="G78" s="54"/>
      <c r="H78" s="42"/>
    </row>
    <row r="79" spans="1:7" s="5" customFormat="1" ht="13.5">
      <c r="A79" s="11" t="s">
        <v>353</v>
      </c>
      <c r="B79" s="31" t="s">
        <v>354</v>
      </c>
      <c r="C79" s="31">
        <f>SUM(C80:C81)</f>
        <v>20</v>
      </c>
      <c r="D79" s="23"/>
      <c r="E79" s="21"/>
      <c r="G79" s="333"/>
    </row>
    <row r="80" spans="1:7" s="5" customFormat="1" ht="13.5">
      <c r="A80" s="12" t="s">
        <v>355</v>
      </c>
      <c r="B80" s="12" t="s">
        <v>356</v>
      </c>
      <c r="C80" s="24">
        <v>10</v>
      </c>
      <c r="D80" s="24"/>
      <c r="E80" s="21"/>
      <c r="G80" s="333"/>
    </row>
    <row r="81" spans="1:7" s="5" customFormat="1" ht="13.5">
      <c r="A81" s="12" t="s">
        <v>357</v>
      </c>
      <c r="B81" s="12" t="s">
        <v>358</v>
      </c>
      <c r="C81" s="24">
        <v>10</v>
      </c>
      <c r="D81" s="24"/>
      <c r="E81" s="21"/>
      <c r="G81" s="333"/>
    </row>
    <row r="82" spans="1:7" s="42" customFormat="1" ht="13.5" customHeight="1">
      <c r="A82" s="249" t="s">
        <v>116</v>
      </c>
      <c r="B82" s="199" t="s">
        <v>117</v>
      </c>
      <c r="C82" s="31">
        <f>SUM(C83:C85)</f>
        <v>114950</v>
      </c>
      <c r="D82" s="22"/>
      <c r="E82" s="24"/>
      <c r="F82" s="94"/>
      <c r="G82" s="54"/>
    </row>
    <row r="83" spans="1:8" s="8" customFormat="1" ht="13.5" customHeight="1">
      <c r="A83" s="71" t="s">
        <v>91</v>
      </c>
      <c r="B83" s="23" t="s">
        <v>9</v>
      </c>
      <c r="C83" s="24">
        <v>69450</v>
      </c>
      <c r="D83" s="77"/>
      <c r="E83" s="25"/>
      <c r="F83" s="94"/>
      <c r="G83" s="54"/>
      <c r="H83" s="42"/>
    </row>
    <row r="84" spans="1:8" s="8" customFormat="1" ht="13.5" customHeight="1">
      <c r="A84" s="71" t="s">
        <v>57</v>
      </c>
      <c r="B84" s="23" t="s">
        <v>58</v>
      </c>
      <c r="C84" s="24">
        <v>15500</v>
      </c>
      <c r="D84" s="77"/>
      <c r="E84" s="25"/>
      <c r="F84" s="53"/>
      <c r="G84" s="72"/>
      <c r="H84" s="42"/>
    </row>
    <row r="85" spans="1:8" s="8" customFormat="1" ht="13.5" customHeight="1">
      <c r="A85" s="71" t="s">
        <v>756</v>
      </c>
      <c r="B85" s="23" t="s">
        <v>757</v>
      </c>
      <c r="C85" s="24">
        <v>30000</v>
      </c>
      <c r="D85" s="77"/>
      <c r="E85" s="25"/>
      <c r="F85" s="98"/>
      <c r="G85" s="54"/>
      <c r="H85" s="42"/>
    </row>
    <row r="86" spans="1:8" s="8" customFormat="1" ht="13.5" customHeight="1">
      <c r="A86" s="249" t="s">
        <v>165</v>
      </c>
      <c r="B86" s="25" t="s">
        <v>135</v>
      </c>
      <c r="C86" s="31">
        <f>SUM(C87)</f>
        <v>15000</v>
      </c>
      <c r="D86" s="77"/>
      <c r="E86" s="25"/>
      <c r="F86" s="94"/>
      <c r="G86" s="54"/>
      <c r="H86" s="42"/>
    </row>
    <row r="87" spans="1:8" s="8" customFormat="1" ht="13.5" customHeight="1">
      <c r="A87" s="71" t="s">
        <v>166</v>
      </c>
      <c r="B87" s="23" t="s">
        <v>51</v>
      </c>
      <c r="C87" s="24">
        <v>15000</v>
      </c>
      <c r="D87" s="77"/>
      <c r="E87" s="25"/>
      <c r="F87" s="94"/>
      <c r="G87" s="54"/>
      <c r="H87" s="42"/>
    </row>
    <row r="88" spans="1:8" s="8" customFormat="1" ht="13.5" customHeight="1">
      <c r="A88" s="71"/>
      <c r="B88" s="23"/>
      <c r="C88" s="24"/>
      <c r="D88" s="77"/>
      <c r="E88" s="25"/>
      <c r="F88" s="94"/>
      <c r="G88" s="54"/>
      <c r="H88" s="42"/>
    </row>
    <row r="89" spans="1:8" s="6" customFormat="1" ht="13.5" customHeight="1" thickBot="1">
      <c r="A89" s="10"/>
      <c r="B89" s="28"/>
      <c r="C89" s="28"/>
      <c r="D89" s="26"/>
      <c r="E89" s="27"/>
      <c r="F89" s="94"/>
      <c r="G89" s="42"/>
      <c r="H89" s="42"/>
    </row>
    <row r="90" spans="1:6" s="51" customFormat="1" ht="12.75" customHeight="1">
      <c r="A90" s="988" t="s">
        <v>983</v>
      </c>
      <c r="B90" s="989"/>
      <c r="C90" s="639" t="s">
        <v>6</v>
      </c>
      <c r="D90" s="754" t="s">
        <v>1000</v>
      </c>
      <c r="F90" s="61"/>
    </row>
    <row r="91" spans="1:6" s="51" customFormat="1" ht="13.5" thickBot="1">
      <c r="A91" s="990"/>
      <c r="B91" s="991"/>
      <c r="C91" s="643"/>
      <c r="D91" s="644"/>
      <c r="F91" s="61"/>
    </row>
    <row r="92" spans="1:6" s="51" customFormat="1" ht="12.75">
      <c r="A92" s="979" t="s">
        <v>984</v>
      </c>
      <c r="B92" s="980"/>
      <c r="C92" s="980"/>
      <c r="D92" s="981"/>
      <c r="E92" s="65"/>
      <c r="F92" s="61"/>
    </row>
    <row r="93" spans="1:6" s="51" customFormat="1" ht="13.5" thickBot="1">
      <c r="A93" s="985"/>
      <c r="B93" s="986"/>
      <c r="C93" s="986"/>
      <c r="D93" s="987"/>
      <c r="E93" s="65"/>
      <c r="F93" s="61"/>
    </row>
    <row r="94" spans="1:6" s="51" customFormat="1" ht="13.5">
      <c r="A94" s="40" t="s">
        <v>809</v>
      </c>
      <c r="B94" s="58"/>
      <c r="C94" s="59"/>
      <c r="D94" s="60"/>
      <c r="E94" s="59"/>
      <c r="F94" s="61"/>
    </row>
    <row r="95" spans="1:6" s="68" customFormat="1" ht="13.5">
      <c r="A95" s="57" t="s">
        <v>667</v>
      </c>
      <c r="B95" s="58"/>
      <c r="C95" s="59"/>
      <c r="D95" s="60"/>
      <c r="E95" s="59"/>
      <c r="F95" s="64"/>
    </row>
    <row r="96" spans="1:6" s="68" customFormat="1" ht="13.5">
      <c r="A96" s="57" t="s">
        <v>668</v>
      </c>
      <c r="B96" s="58"/>
      <c r="C96" s="59"/>
      <c r="D96" s="60"/>
      <c r="E96" s="59"/>
      <c r="F96" s="64"/>
    </row>
    <row r="97" spans="1:6" s="51" customFormat="1" ht="14.25" thickBot="1">
      <c r="A97" s="160" t="s">
        <v>13</v>
      </c>
      <c r="B97" s="159"/>
      <c r="C97" s="158"/>
      <c r="D97" s="157"/>
      <c r="E97" s="59"/>
      <c r="F97" s="61"/>
    </row>
    <row r="98" spans="1:7" s="51" customFormat="1" ht="14.25" thickBot="1">
      <c r="A98" s="678" t="s">
        <v>535</v>
      </c>
      <c r="B98" s="679"/>
      <c r="C98" s="685"/>
      <c r="D98" s="682">
        <f>+C100+C112+C128</f>
        <v>4417850</v>
      </c>
      <c r="E98" s="65"/>
      <c r="F98" s="61"/>
      <c r="G98" s="61"/>
    </row>
    <row r="99" spans="1:6" s="51" customFormat="1" ht="14.25" thickBot="1">
      <c r="A99" s="62"/>
      <c r="B99" s="62"/>
      <c r="C99" s="63"/>
      <c r="D99" s="63"/>
      <c r="E99" s="582"/>
      <c r="F99" s="61"/>
    </row>
    <row r="100" spans="1:6" s="65" customFormat="1" ht="14.25" thickBot="1">
      <c r="A100" s="1013" t="s">
        <v>2</v>
      </c>
      <c r="B100" s="1014"/>
      <c r="C100" s="634">
        <f>C101+C103+C105+C107</f>
        <v>1582300</v>
      </c>
      <c r="D100" s="67"/>
      <c r="E100" s="67"/>
      <c r="F100" s="67"/>
    </row>
    <row r="101" spans="1:6" s="55" customFormat="1" ht="13.5">
      <c r="A101" s="249" t="s">
        <v>200</v>
      </c>
      <c r="B101" s="281" t="s">
        <v>229</v>
      </c>
      <c r="C101" s="63">
        <f>SUM(C102)</f>
        <v>440350</v>
      </c>
      <c r="D101" s="56"/>
      <c r="E101" s="56"/>
      <c r="F101" s="56"/>
    </row>
    <row r="102" spans="1:7" s="42" customFormat="1" ht="13.5" customHeight="1">
      <c r="A102" s="12" t="s">
        <v>228</v>
      </c>
      <c r="B102" s="8" t="s">
        <v>227</v>
      </c>
      <c r="C102" s="24">
        <v>440350</v>
      </c>
      <c r="D102" s="95"/>
      <c r="E102" s="31"/>
      <c r="F102" s="53"/>
      <c r="G102" s="54"/>
    </row>
    <row r="103" spans="1:7" s="42" customFormat="1" ht="13.5" customHeight="1">
      <c r="A103" s="11" t="s">
        <v>105</v>
      </c>
      <c r="B103" s="502" t="s">
        <v>106</v>
      </c>
      <c r="C103" s="31">
        <f>SUM(C104)</f>
        <v>168000</v>
      </c>
      <c r="D103" s="22"/>
      <c r="E103" s="31"/>
      <c r="F103" s="53"/>
      <c r="G103" s="54"/>
    </row>
    <row r="104" spans="1:7" s="42" customFormat="1" ht="13.5" customHeight="1">
      <c r="A104" s="12" t="s">
        <v>86</v>
      </c>
      <c r="B104" s="8" t="s">
        <v>66</v>
      </c>
      <c r="C104" s="24">
        <v>168000</v>
      </c>
      <c r="D104" s="22"/>
      <c r="E104" s="31"/>
      <c r="F104" s="53"/>
      <c r="G104" s="54"/>
    </row>
    <row r="105" spans="1:7" s="42" customFormat="1" ht="13.5" customHeight="1">
      <c r="A105" s="11" t="s">
        <v>107</v>
      </c>
      <c r="B105" s="502" t="s">
        <v>108</v>
      </c>
      <c r="C105" s="31">
        <f>SUM(C106)</f>
        <v>42000</v>
      </c>
      <c r="D105" s="22"/>
      <c r="E105" s="31"/>
      <c r="F105" s="53"/>
      <c r="G105" s="54"/>
    </row>
    <row r="106" spans="1:6" s="65" customFormat="1" ht="13.5">
      <c r="A106" s="12" t="s">
        <v>47</v>
      </c>
      <c r="B106" s="23" t="s">
        <v>48</v>
      </c>
      <c r="C106" s="59">
        <v>42000</v>
      </c>
      <c r="D106" s="67"/>
      <c r="E106" s="67"/>
      <c r="F106" s="67"/>
    </row>
    <row r="107" spans="1:6" s="65" customFormat="1" ht="13.5">
      <c r="A107" s="249" t="s">
        <v>150</v>
      </c>
      <c r="B107" s="25" t="s">
        <v>125</v>
      </c>
      <c r="C107" s="63">
        <f>SUM(C108:C110)</f>
        <v>931950</v>
      </c>
      <c r="D107" s="67"/>
      <c r="E107" s="67"/>
      <c r="F107" s="67"/>
    </row>
    <row r="108" spans="1:6" s="65" customFormat="1" ht="13.5">
      <c r="A108" s="69" t="s">
        <v>152</v>
      </c>
      <c r="B108" s="69" t="s">
        <v>226</v>
      </c>
      <c r="C108" s="59">
        <v>312000</v>
      </c>
      <c r="D108" s="67"/>
      <c r="E108" s="67"/>
      <c r="F108" s="67"/>
    </row>
    <row r="109" spans="1:6" s="65" customFormat="1" ht="13.5">
      <c r="A109" s="71" t="s">
        <v>153</v>
      </c>
      <c r="B109" s="23" t="s">
        <v>133</v>
      </c>
      <c r="C109" s="59">
        <v>42350</v>
      </c>
      <c r="D109" s="67"/>
      <c r="E109" s="67"/>
      <c r="F109" s="67"/>
    </row>
    <row r="110" spans="1:6" s="65" customFormat="1" ht="13.5">
      <c r="A110" s="71" t="s">
        <v>643</v>
      </c>
      <c r="B110" s="42" t="s">
        <v>642</v>
      </c>
      <c r="C110" s="59">
        <v>577600</v>
      </c>
      <c r="D110" s="67"/>
      <c r="E110" s="67"/>
      <c r="F110" s="67"/>
    </row>
    <row r="111" spans="1:6" s="65" customFormat="1" ht="14.25" thickBot="1">
      <c r="A111" s="71"/>
      <c r="B111" s="23"/>
      <c r="C111" s="59"/>
      <c r="D111" s="67"/>
      <c r="E111" s="67"/>
      <c r="F111" s="67"/>
    </row>
    <row r="112" spans="1:6" s="65" customFormat="1" ht="14.25" thickBot="1">
      <c r="A112" s="1015" t="s">
        <v>3</v>
      </c>
      <c r="B112" s="1016"/>
      <c r="C112" s="635">
        <f>C113+C116+C118+C121</f>
        <v>2795610</v>
      </c>
      <c r="D112" s="67"/>
      <c r="E112" s="67"/>
      <c r="F112" s="67"/>
    </row>
    <row r="113" spans="1:6" s="55" customFormat="1" ht="13.5">
      <c r="A113" s="249" t="s">
        <v>110</v>
      </c>
      <c r="B113" s="281" t="s">
        <v>111</v>
      </c>
      <c r="C113" s="63">
        <f>SUM(C114:C115)</f>
        <v>1662300</v>
      </c>
      <c r="D113" s="56"/>
      <c r="E113" s="56"/>
      <c r="F113" s="56"/>
    </row>
    <row r="114" spans="1:6" s="65" customFormat="1" ht="13.5">
      <c r="A114" s="58" t="s">
        <v>52</v>
      </c>
      <c r="B114" s="58" t="s">
        <v>15</v>
      </c>
      <c r="C114" s="59">
        <v>251550</v>
      </c>
      <c r="D114" s="59"/>
      <c r="E114" s="67"/>
      <c r="F114" s="67"/>
    </row>
    <row r="115" spans="1:10" s="65" customFormat="1" ht="13.5">
      <c r="A115" s="71" t="s">
        <v>446</v>
      </c>
      <c r="B115" s="24" t="s">
        <v>447</v>
      </c>
      <c r="C115" s="24">
        <v>1410750</v>
      </c>
      <c r="F115" s="59"/>
      <c r="G115" s="56"/>
      <c r="H115" s="55"/>
      <c r="I115" s="55"/>
      <c r="J115" s="55"/>
    </row>
    <row r="116" spans="1:10" s="65" customFormat="1" ht="13.5">
      <c r="A116" s="506" t="s">
        <v>120</v>
      </c>
      <c r="B116" s="507" t="s">
        <v>121</v>
      </c>
      <c r="C116" s="31">
        <f>SUM(C117:C117)</f>
        <v>30000</v>
      </c>
      <c r="F116" s="56"/>
      <c r="G116" s="55"/>
      <c r="H116" s="55"/>
      <c r="I116" s="55"/>
      <c r="J116" s="55"/>
    </row>
    <row r="117" spans="1:10" s="65" customFormat="1" ht="13.5">
      <c r="A117" s="58" t="s">
        <v>136</v>
      </c>
      <c r="B117" s="58" t="s">
        <v>71</v>
      </c>
      <c r="C117" s="24">
        <v>30000</v>
      </c>
      <c r="F117" s="56"/>
      <c r="G117" s="55"/>
      <c r="H117" s="55"/>
      <c r="I117" s="55"/>
      <c r="J117" s="55"/>
    </row>
    <row r="118" spans="1:10" s="65" customFormat="1" ht="13.5">
      <c r="A118" s="506" t="s">
        <v>112</v>
      </c>
      <c r="B118" s="505" t="s">
        <v>122</v>
      </c>
      <c r="C118" s="63">
        <f>SUM(C119:C120)</f>
        <v>279600</v>
      </c>
      <c r="F118" s="59"/>
      <c r="G118" s="56"/>
      <c r="H118" s="55"/>
      <c r="I118" s="55"/>
      <c r="J118" s="55"/>
    </row>
    <row r="119" spans="1:10" s="65" customFormat="1" ht="13.5">
      <c r="A119" s="71" t="s">
        <v>138</v>
      </c>
      <c r="B119" s="58" t="s">
        <v>810</v>
      </c>
      <c r="C119" s="59">
        <v>9600</v>
      </c>
      <c r="F119" s="59"/>
      <c r="G119" s="56"/>
      <c r="H119" s="55"/>
      <c r="I119" s="55"/>
      <c r="J119" s="55"/>
    </row>
    <row r="120" spans="1:10" s="65" customFormat="1" ht="13.5">
      <c r="A120" s="71" t="s">
        <v>49</v>
      </c>
      <c r="B120" s="23" t="s">
        <v>87</v>
      </c>
      <c r="C120" s="59">
        <v>270000</v>
      </c>
      <c r="F120" s="59"/>
      <c r="G120" s="56"/>
      <c r="H120" s="55"/>
      <c r="I120" s="55"/>
      <c r="J120" s="55"/>
    </row>
    <row r="121" spans="1:10" s="65" customFormat="1" ht="13.5">
      <c r="A121" s="249" t="s">
        <v>115</v>
      </c>
      <c r="B121" s="506" t="s">
        <v>8</v>
      </c>
      <c r="C121" s="63">
        <f>SUM(C122:C126)</f>
        <v>823710</v>
      </c>
      <c r="F121" s="104"/>
      <c r="G121" s="56"/>
      <c r="H121" s="55"/>
      <c r="I121" s="55"/>
      <c r="J121" s="55"/>
    </row>
    <row r="122" spans="1:10" s="65" customFormat="1" ht="13.5">
      <c r="A122" s="69" t="s">
        <v>89</v>
      </c>
      <c r="B122" s="69" t="s">
        <v>8</v>
      </c>
      <c r="C122" s="59">
        <v>237500</v>
      </c>
      <c r="F122" s="56"/>
      <c r="G122" s="56"/>
      <c r="H122" s="55"/>
      <c r="I122" s="55"/>
      <c r="J122" s="55"/>
    </row>
    <row r="123" spans="1:10" s="65" customFormat="1" ht="13.5">
      <c r="A123" s="69" t="s">
        <v>182</v>
      </c>
      <c r="B123" s="69" t="s">
        <v>50</v>
      </c>
      <c r="C123" s="59">
        <v>6120</v>
      </c>
      <c r="F123" s="56"/>
      <c r="G123" s="56"/>
      <c r="H123" s="55"/>
      <c r="I123" s="55"/>
      <c r="J123" s="55"/>
    </row>
    <row r="124" spans="1:10" s="65" customFormat="1" ht="13.5">
      <c r="A124" s="69" t="s">
        <v>225</v>
      </c>
      <c r="B124" s="42" t="s">
        <v>224</v>
      </c>
      <c r="C124" s="59">
        <v>249600</v>
      </c>
      <c r="F124" s="56"/>
      <c r="G124" s="56"/>
      <c r="H124" s="55"/>
      <c r="I124" s="55"/>
      <c r="J124" s="55"/>
    </row>
    <row r="125" spans="1:10" s="65" customFormat="1" ht="13.5">
      <c r="A125" s="69" t="s">
        <v>223</v>
      </c>
      <c r="B125" s="69" t="s">
        <v>222</v>
      </c>
      <c r="C125" s="59">
        <v>218890</v>
      </c>
      <c r="F125" s="56"/>
      <c r="G125" s="56"/>
      <c r="H125" s="55"/>
      <c r="I125" s="55"/>
      <c r="J125" s="55"/>
    </row>
    <row r="126" spans="1:10" s="65" customFormat="1" ht="13.5">
      <c r="A126" s="69" t="s">
        <v>90</v>
      </c>
      <c r="B126" s="69" t="s">
        <v>7</v>
      </c>
      <c r="C126" s="59">
        <v>111600</v>
      </c>
      <c r="F126" s="59"/>
      <c r="G126" s="56"/>
      <c r="H126" s="55"/>
      <c r="I126" s="55"/>
      <c r="J126" s="55"/>
    </row>
    <row r="127" spans="1:10" s="65" customFormat="1" ht="14.25" thickBot="1">
      <c r="A127" s="69"/>
      <c r="B127" s="69"/>
      <c r="C127" s="59"/>
      <c r="D127" s="66"/>
      <c r="E127" s="56"/>
      <c r="F127" s="56"/>
      <c r="G127" s="55"/>
      <c r="H127" s="55"/>
      <c r="I127" s="55"/>
      <c r="J127" s="55"/>
    </row>
    <row r="128" spans="1:6" s="65" customFormat="1" ht="14.25" thickBot="1">
      <c r="A128" s="1017" t="s">
        <v>4</v>
      </c>
      <c r="B128" s="1018"/>
      <c r="C128" s="637">
        <f>C129+C132</f>
        <v>39940</v>
      </c>
      <c r="D128" s="67"/>
      <c r="E128" s="67"/>
      <c r="F128" s="67"/>
    </row>
    <row r="129" spans="1:6" s="55" customFormat="1" ht="13.5">
      <c r="A129" s="249" t="s">
        <v>116</v>
      </c>
      <c r="B129" s="199" t="s">
        <v>117</v>
      </c>
      <c r="C129" s="63">
        <f>SUM(C130:C131)</f>
        <v>30340</v>
      </c>
      <c r="D129" s="56"/>
      <c r="E129" s="56"/>
      <c r="F129" s="56"/>
    </row>
    <row r="130" spans="1:6" s="65" customFormat="1" ht="13.5">
      <c r="A130" s="71" t="s">
        <v>91</v>
      </c>
      <c r="B130" s="23" t="s">
        <v>9</v>
      </c>
      <c r="C130" s="59">
        <v>18240</v>
      </c>
      <c r="D130" s="67"/>
      <c r="E130" s="67"/>
      <c r="F130" s="67"/>
    </row>
    <row r="131" spans="1:8" s="8" customFormat="1" ht="13.5" customHeight="1">
      <c r="A131" s="71" t="s">
        <v>57</v>
      </c>
      <c r="B131" s="23" t="s">
        <v>58</v>
      </c>
      <c r="C131" s="24">
        <v>12100</v>
      </c>
      <c r="D131" s="77"/>
      <c r="E131" s="25"/>
      <c r="F131" s="53"/>
      <c r="G131" s="72"/>
      <c r="H131" s="42"/>
    </row>
    <row r="132" spans="1:8" s="8" customFormat="1" ht="13.5" customHeight="1">
      <c r="A132" s="249" t="s">
        <v>165</v>
      </c>
      <c r="B132" s="25" t="s">
        <v>134</v>
      </c>
      <c r="C132" s="31">
        <f>SUM(C133)</f>
        <v>9600</v>
      </c>
      <c r="D132" s="77"/>
      <c r="E132" s="25"/>
      <c r="F132" s="53"/>
      <c r="G132" s="72"/>
      <c r="H132" s="42"/>
    </row>
    <row r="133" spans="1:8" s="8" customFormat="1" ht="13.5" customHeight="1">
      <c r="A133" s="71" t="s">
        <v>166</v>
      </c>
      <c r="B133" s="23" t="s">
        <v>51</v>
      </c>
      <c r="C133" s="24">
        <v>9600</v>
      </c>
      <c r="D133" s="77"/>
      <c r="E133" s="25"/>
      <c r="F133" s="94"/>
      <c r="G133" s="54"/>
      <c r="H133" s="42"/>
    </row>
    <row r="134" spans="1:8" s="8" customFormat="1" ht="13.5" customHeight="1">
      <c r="A134" s="71"/>
      <c r="B134" s="23"/>
      <c r="C134" s="24"/>
      <c r="D134" s="77"/>
      <c r="E134" s="25"/>
      <c r="F134" s="94"/>
      <c r="G134" s="54"/>
      <c r="H134" s="42"/>
    </row>
    <row r="135" spans="2:6" s="6" customFormat="1" ht="14.25" thickBot="1">
      <c r="B135" s="29"/>
      <c r="C135" s="29"/>
      <c r="D135" s="30"/>
      <c r="E135" s="33"/>
      <c r="F135" s="88"/>
    </row>
    <row r="136" spans="1:6" s="51" customFormat="1" ht="12.75">
      <c r="A136" s="650" t="s">
        <v>669</v>
      </c>
      <c r="B136" s="638"/>
      <c r="C136" s="647"/>
      <c r="D136" s="639" t="s">
        <v>6</v>
      </c>
      <c r="E136" s="754" t="s">
        <v>1001</v>
      </c>
      <c r="F136" s="61"/>
    </row>
    <row r="137" spans="1:6" s="51" customFormat="1" ht="13.5" thickBot="1">
      <c r="A137" s="651"/>
      <c r="B137" s="645"/>
      <c r="C137" s="648"/>
      <c r="D137" s="640"/>
      <c r="E137" s="641"/>
      <c r="F137" s="61"/>
    </row>
    <row r="138" spans="1:6" s="51" customFormat="1" ht="12.75">
      <c r="A138" s="979" t="s">
        <v>985</v>
      </c>
      <c r="B138" s="980"/>
      <c r="C138" s="980"/>
      <c r="D138" s="980"/>
      <c r="E138" s="981"/>
      <c r="F138" s="61"/>
    </row>
    <row r="139" spans="1:6" s="51" customFormat="1" ht="12.75">
      <c r="A139" s="982"/>
      <c r="B139" s="983"/>
      <c r="C139" s="983"/>
      <c r="D139" s="983"/>
      <c r="E139" s="984"/>
      <c r="F139" s="61"/>
    </row>
    <row r="140" spans="1:11" s="205" customFormat="1" ht="13.5" customHeight="1" thickBot="1">
      <c r="A140" s="985"/>
      <c r="B140" s="986"/>
      <c r="C140" s="986"/>
      <c r="D140" s="986"/>
      <c r="E140" s="987"/>
      <c r="F140" s="153"/>
      <c r="G140" s="151"/>
      <c r="H140" s="151"/>
      <c r="I140" s="151"/>
      <c r="J140" s="151"/>
      <c r="K140" s="151"/>
    </row>
    <row r="141" spans="1:6" s="51" customFormat="1" ht="13.5">
      <c r="A141" s="57" t="s">
        <v>809</v>
      </c>
      <c r="B141" s="58"/>
      <c r="C141" s="59"/>
      <c r="D141" s="59"/>
      <c r="E141" s="60"/>
      <c r="F141" s="61"/>
    </row>
    <row r="142" spans="1:6" s="68" customFormat="1" ht="13.5">
      <c r="A142" s="40" t="s">
        <v>665</v>
      </c>
      <c r="B142" s="58"/>
      <c r="C142" s="59"/>
      <c r="D142" s="59"/>
      <c r="E142" s="60"/>
      <c r="F142" s="64"/>
    </row>
    <row r="143" spans="1:6" s="68" customFormat="1" ht="13.5">
      <c r="A143" s="40" t="s">
        <v>666</v>
      </c>
      <c r="B143" s="31"/>
      <c r="C143" s="59"/>
      <c r="D143" s="59"/>
      <c r="E143" s="60"/>
      <c r="F143" s="64"/>
    </row>
    <row r="144" spans="1:6" s="51" customFormat="1" ht="14.25" thickBot="1">
      <c r="A144" s="160" t="s">
        <v>13</v>
      </c>
      <c r="B144" s="159"/>
      <c r="C144" s="158"/>
      <c r="D144" s="158"/>
      <c r="E144" s="157"/>
      <c r="F144" s="61"/>
    </row>
    <row r="145" spans="1:7" s="51" customFormat="1" ht="14.25" thickBot="1">
      <c r="A145" s="678" t="s">
        <v>14</v>
      </c>
      <c r="B145" s="679"/>
      <c r="C145" s="685"/>
      <c r="D145" s="686"/>
      <c r="E145" s="682">
        <f>+C147+C160+C179+D195</f>
        <v>15601300</v>
      </c>
      <c r="F145" s="61"/>
      <c r="G145" s="61"/>
    </row>
    <row r="146" spans="1:6" s="51" customFormat="1" ht="14.25" thickBot="1">
      <c r="A146" s="62"/>
      <c r="B146" s="62"/>
      <c r="C146" s="63"/>
      <c r="D146" s="63"/>
      <c r="E146" s="63"/>
      <c r="F146" s="61"/>
    </row>
    <row r="147" spans="1:6" s="65" customFormat="1" ht="14.25" thickBot="1">
      <c r="A147" s="1013" t="s">
        <v>2</v>
      </c>
      <c r="B147" s="1014"/>
      <c r="C147" s="634">
        <f>C148+C152+C157+C154</f>
        <v>932070</v>
      </c>
      <c r="D147" s="67"/>
      <c r="E147" s="851"/>
      <c r="F147" s="67"/>
    </row>
    <row r="148" spans="1:6" s="55" customFormat="1" ht="13.5">
      <c r="A148" s="11" t="s">
        <v>105</v>
      </c>
      <c r="B148" s="502" t="s">
        <v>106</v>
      </c>
      <c r="C148" s="63">
        <f>SUM(C149:C151)</f>
        <v>711870</v>
      </c>
      <c r="E148" s="56"/>
      <c r="F148" s="56"/>
    </row>
    <row r="149" spans="1:7" s="42" customFormat="1" ht="13.5" customHeight="1">
      <c r="A149" s="12" t="s">
        <v>67</v>
      </c>
      <c r="B149" s="8" t="s">
        <v>68</v>
      </c>
      <c r="C149" s="24">
        <v>97870</v>
      </c>
      <c r="D149" s="56"/>
      <c r="E149" s="31"/>
      <c r="F149" s="53"/>
      <c r="G149" s="54"/>
    </row>
    <row r="150" spans="1:7" s="42" customFormat="1" ht="13.5" customHeight="1">
      <c r="A150" s="12" t="s">
        <v>86</v>
      </c>
      <c r="B150" s="8" t="s">
        <v>66</v>
      </c>
      <c r="C150" s="24">
        <v>506000</v>
      </c>
      <c r="F150" s="95"/>
      <c r="G150" s="31"/>
    </row>
    <row r="151" spans="1:7" s="42" customFormat="1" ht="13.5" customHeight="1">
      <c r="A151" s="12" t="s">
        <v>554</v>
      </c>
      <c r="B151" s="42" t="s">
        <v>553</v>
      </c>
      <c r="C151" s="24">
        <v>108000</v>
      </c>
      <c r="F151" s="95"/>
      <c r="G151" s="31"/>
    </row>
    <row r="152" spans="1:7" s="42" customFormat="1" ht="13.5" customHeight="1">
      <c r="A152" s="11" t="s">
        <v>107</v>
      </c>
      <c r="B152" s="502" t="s">
        <v>108</v>
      </c>
      <c r="C152" s="31">
        <f>SUM(C153)</f>
        <v>86000</v>
      </c>
      <c r="F152" s="22"/>
      <c r="G152" s="31"/>
    </row>
    <row r="153" spans="1:8" s="8" customFormat="1" ht="13.5" customHeight="1">
      <c r="A153" s="12" t="s">
        <v>47</v>
      </c>
      <c r="B153" s="23" t="s">
        <v>48</v>
      </c>
      <c r="C153" s="24">
        <v>86000</v>
      </c>
      <c r="F153" s="56"/>
      <c r="G153" s="25"/>
      <c r="H153" s="42"/>
    </row>
    <row r="154" spans="1:8" s="8" customFormat="1" ht="13.5" customHeight="1">
      <c r="A154" s="249" t="s">
        <v>124</v>
      </c>
      <c r="B154" s="505" t="s">
        <v>123</v>
      </c>
      <c r="C154" s="31">
        <f>SUM(C155:C156)</f>
        <v>98800</v>
      </c>
      <c r="F154" s="56"/>
      <c r="G154" s="25"/>
      <c r="H154" s="42"/>
    </row>
    <row r="155" spans="1:8" s="8" customFormat="1" ht="13.5" customHeight="1">
      <c r="A155" s="71" t="s">
        <v>93</v>
      </c>
      <c r="B155" s="23" t="s">
        <v>72</v>
      </c>
      <c r="C155" s="24">
        <v>14800</v>
      </c>
      <c r="F155" s="56"/>
      <c r="G155" s="25"/>
      <c r="H155" s="42"/>
    </row>
    <row r="156" spans="1:8" s="8" customFormat="1" ht="13.5" customHeight="1">
      <c r="A156" s="71" t="s">
        <v>555</v>
      </c>
      <c r="B156" s="42" t="s">
        <v>556</v>
      </c>
      <c r="C156" s="24">
        <v>84000</v>
      </c>
      <c r="F156" s="56"/>
      <c r="G156" s="25"/>
      <c r="H156" s="42"/>
    </row>
    <row r="157" spans="1:8" s="8" customFormat="1" ht="13.5" customHeight="1">
      <c r="A157" s="249" t="s">
        <v>150</v>
      </c>
      <c r="B157" s="25" t="s">
        <v>133</v>
      </c>
      <c r="C157" s="31">
        <f>SUM(C158)</f>
        <v>35400</v>
      </c>
      <c r="F157" s="77"/>
      <c r="G157" s="25"/>
      <c r="H157" s="42"/>
    </row>
    <row r="158" spans="1:8" s="8" customFormat="1" ht="13.5" customHeight="1">
      <c r="A158" s="71" t="s">
        <v>154</v>
      </c>
      <c r="B158" s="23" t="s">
        <v>133</v>
      </c>
      <c r="C158" s="24">
        <v>35400</v>
      </c>
      <c r="F158" s="77"/>
      <c r="G158" s="25"/>
      <c r="H158" s="73"/>
    </row>
    <row r="159" spans="1:8" s="8" customFormat="1" ht="13.5" customHeight="1" thickBot="1">
      <c r="A159" s="71"/>
      <c r="B159" s="23"/>
      <c r="C159" s="23"/>
      <c r="F159" s="77"/>
      <c r="G159" s="25"/>
      <c r="H159" s="73"/>
    </row>
    <row r="160" spans="1:6" s="65" customFormat="1" ht="14.25" thickBot="1">
      <c r="A160" s="1015" t="s">
        <v>3</v>
      </c>
      <c r="B160" s="1016"/>
      <c r="C160" s="635">
        <f>C161+C163+C165+C168+C170+C175</f>
        <v>10580470</v>
      </c>
      <c r="F160" s="67"/>
    </row>
    <row r="161" spans="1:6" s="55" customFormat="1" ht="14.25" customHeight="1">
      <c r="A161" s="249" t="s">
        <v>110</v>
      </c>
      <c r="B161" s="281" t="s">
        <v>111</v>
      </c>
      <c r="C161" s="63">
        <f>SUM(C162)</f>
        <v>230400</v>
      </c>
      <c r="F161" s="56"/>
    </row>
    <row r="162" spans="1:7" s="65" customFormat="1" ht="13.5">
      <c r="A162" s="58" t="s">
        <v>52</v>
      </c>
      <c r="B162" s="58" t="s">
        <v>15</v>
      </c>
      <c r="C162" s="59">
        <v>230400</v>
      </c>
      <c r="D162" s="55"/>
      <c r="F162" s="59"/>
      <c r="G162" s="67"/>
    </row>
    <row r="163" spans="1:8" s="8" customFormat="1" ht="13.5" customHeight="1">
      <c r="A163" s="506" t="s">
        <v>120</v>
      </c>
      <c r="B163" s="507" t="s">
        <v>121</v>
      </c>
      <c r="C163" s="31">
        <f>SUM(C164:C164)</f>
        <v>12600</v>
      </c>
      <c r="D163" s="42"/>
      <c r="F163" s="77"/>
      <c r="G163" s="25"/>
      <c r="H163" s="54"/>
    </row>
    <row r="164" spans="1:8" s="8" customFormat="1" ht="13.5" customHeight="1">
      <c r="A164" s="58" t="s">
        <v>136</v>
      </c>
      <c r="B164" s="58" t="s">
        <v>71</v>
      </c>
      <c r="C164" s="24">
        <v>12600</v>
      </c>
      <c r="D164" s="42"/>
      <c r="G164" s="25"/>
      <c r="H164" s="54"/>
    </row>
    <row r="165" spans="1:7" s="65" customFormat="1" ht="13.5">
      <c r="A165" s="506" t="s">
        <v>112</v>
      </c>
      <c r="B165" s="505" t="s">
        <v>122</v>
      </c>
      <c r="C165" s="63">
        <f>SUM(C166:C167)</f>
        <v>801250</v>
      </c>
      <c r="D165" s="55"/>
      <c r="F165" s="56"/>
      <c r="G165" s="67"/>
    </row>
    <row r="166" spans="1:10" s="65" customFormat="1" ht="13.5">
      <c r="A166" s="71" t="s">
        <v>138</v>
      </c>
      <c r="B166" s="58" t="s">
        <v>810</v>
      </c>
      <c r="C166" s="59">
        <v>100000</v>
      </c>
      <c r="F166" s="59"/>
      <c r="G166" s="56"/>
      <c r="H166" s="55"/>
      <c r="I166" s="55"/>
      <c r="J166" s="55"/>
    </row>
    <row r="167" spans="1:7" s="65" customFormat="1" ht="13.5">
      <c r="A167" s="71" t="s">
        <v>49</v>
      </c>
      <c r="B167" s="23" t="s">
        <v>87</v>
      </c>
      <c r="C167" s="59">
        <v>701250</v>
      </c>
      <c r="D167" s="55"/>
      <c r="F167" s="56"/>
      <c r="G167" s="67"/>
    </row>
    <row r="168" spans="1:7" s="65" customFormat="1" ht="13.5">
      <c r="A168" s="506" t="s">
        <v>113</v>
      </c>
      <c r="B168" s="506" t="s">
        <v>114</v>
      </c>
      <c r="C168" s="63">
        <f>SUM(C169)</f>
        <v>225000</v>
      </c>
      <c r="D168" s="55"/>
      <c r="F168" s="59"/>
      <c r="G168" s="56"/>
    </row>
    <row r="169" spans="1:7" s="65" customFormat="1" ht="13.5">
      <c r="A169" s="58" t="s">
        <v>53</v>
      </c>
      <c r="B169" s="58" t="s">
        <v>54</v>
      </c>
      <c r="C169" s="59">
        <f>250000-25000</f>
        <v>225000</v>
      </c>
      <c r="D169" s="55"/>
      <c r="F169" s="56"/>
      <c r="G169" s="56"/>
    </row>
    <row r="170" spans="1:7" s="65" customFormat="1" ht="13.5">
      <c r="A170" s="506" t="s">
        <v>132</v>
      </c>
      <c r="B170" s="506" t="s">
        <v>56</v>
      </c>
      <c r="C170" s="63">
        <f>SUM(C171:C174)</f>
        <v>8666820</v>
      </c>
      <c r="D170" s="55"/>
      <c r="F170" s="104"/>
      <c r="G170" s="56"/>
    </row>
    <row r="171" spans="1:8" s="65" customFormat="1" ht="13.5">
      <c r="A171" s="69" t="s">
        <v>55</v>
      </c>
      <c r="B171" s="69" t="s">
        <v>56</v>
      </c>
      <c r="C171" s="59">
        <v>7792000</v>
      </c>
      <c r="D171" s="55"/>
      <c r="E171" s="55"/>
      <c r="F171" s="63"/>
      <c r="G171" s="59"/>
      <c r="H171" s="55"/>
    </row>
    <row r="172" spans="1:6" s="65" customFormat="1" ht="13.5">
      <c r="A172" s="69" t="s">
        <v>143</v>
      </c>
      <c r="B172" s="42" t="s">
        <v>142</v>
      </c>
      <c r="C172" s="59">
        <v>45000</v>
      </c>
      <c r="D172" s="107"/>
      <c r="E172" s="66"/>
      <c r="F172" s="56"/>
    </row>
    <row r="173" spans="1:6" s="65" customFormat="1" ht="13.5">
      <c r="A173" s="69" t="s">
        <v>95</v>
      </c>
      <c r="B173" s="69" t="s">
        <v>96</v>
      </c>
      <c r="C173" s="59">
        <v>526500</v>
      </c>
      <c r="D173" s="59"/>
      <c r="E173" s="66"/>
      <c r="F173" s="56"/>
    </row>
    <row r="174" spans="1:6" s="65" customFormat="1" ht="13.5">
      <c r="A174" s="69" t="s">
        <v>537</v>
      </c>
      <c r="B174" s="42" t="s">
        <v>549</v>
      </c>
      <c r="C174" s="59">
        <f>308320-5000</f>
        <v>303320</v>
      </c>
      <c r="D174" s="59"/>
      <c r="E174" s="66"/>
      <c r="F174" s="56"/>
    </row>
    <row r="175" spans="1:6" s="65" customFormat="1" ht="13.5">
      <c r="A175" s="249" t="s">
        <v>115</v>
      </c>
      <c r="B175" s="25" t="s">
        <v>8</v>
      </c>
      <c r="C175" s="63">
        <f>SUM(C176:C177)</f>
        <v>644400</v>
      </c>
      <c r="D175" s="56"/>
      <c r="E175" s="66"/>
      <c r="F175" s="56"/>
    </row>
    <row r="176" spans="1:6" s="65" customFormat="1" ht="13.5">
      <c r="A176" s="69" t="s">
        <v>89</v>
      </c>
      <c r="B176" s="69" t="s">
        <v>8</v>
      </c>
      <c r="C176" s="59">
        <v>578400</v>
      </c>
      <c r="D176" s="56"/>
      <c r="E176" s="67"/>
      <c r="F176" s="67"/>
    </row>
    <row r="177" spans="1:6" s="65" customFormat="1" ht="13.5">
      <c r="A177" s="69" t="s">
        <v>90</v>
      </c>
      <c r="B177" s="69" t="s">
        <v>7</v>
      </c>
      <c r="C177" s="59">
        <v>66000</v>
      </c>
      <c r="D177" s="56"/>
      <c r="E177" s="67"/>
      <c r="F177" s="67"/>
    </row>
    <row r="178" spans="1:6" s="65" customFormat="1" ht="14.25" thickBot="1">
      <c r="A178" s="69"/>
      <c r="B178" s="69"/>
      <c r="C178" s="59"/>
      <c r="D178" s="67"/>
      <c r="E178" s="67"/>
      <c r="F178" s="67"/>
    </row>
    <row r="179" spans="1:6" s="65" customFormat="1" ht="14.25" thickBot="1">
      <c r="A179" s="1017" t="s">
        <v>4</v>
      </c>
      <c r="B179" s="1018"/>
      <c r="C179" s="637">
        <f>C180+C183</f>
        <v>114800</v>
      </c>
      <c r="D179" s="67"/>
      <c r="E179" s="67"/>
      <c r="F179" s="67"/>
    </row>
    <row r="180" spans="1:6" s="55" customFormat="1" ht="13.5">
      <c r="A180" s="249" t="s">
        <v>116</v>
      </c>
      <c r="B180" s="199" t="s">
        <v>117</v>
      </c>
      <c r="C180" s="63">
        <f>SUM(C181:C182)</f>
        <v>96800</v>
      </c>
      <c r="D180" s="56"/>
      <c r="E180" s="56"/>
      <c r="F180" s="56"/>
    </row>
    <row r="181" spans="1:8" s="8" customFormat="1" ht="13.5" customHeight="1">
      <c r="A181" s="71" t="s">
        <v>91</v>
      </c>
      <c r="B181" s="23" t="s">
        <v>139</v>
      </c>
      <c r="C181" s="24">
        <v>34000</v>
      </c>
      <c r="D181" s="77"/>
      <c r="E181" s="25"/>
      <c r="F181" s="94"/>
      <c r="G181" s="54"/>
      <c r="H181" s="42"/>
    </row>
    <row r="182" spans="1:8" s="8" customFormat="1" ht="13.5" customHeight="1">
      <c r="A182" s="71" t="s">
        <v>57</v>
      </c>
      <c r="B182" s="23" t="s">
        <v>58</v>
      </c>
      <c r="C182" s="24">
        <v>62800</v>
      </c>
      <c r="D182" s="77"/>
      <c r="E182" s="25"/>
      <c r="F182" s="53"/>
      <c r="G182" s="72"/>
      <c r="H182" s="42"/>
    </row>
    <row r="183" spans="1:8" s="8" customFormat="1" ht="13.5" customHeight="1">
      <c r="A183" s="249" t="s">
        <v>165</v>
      </c>
      <c r="B183" s="25" t="s">
        <v>134</v>
      </c>
      <c r="C183" s="31">
        <f>SUM(C184)</f>
        <v>18000</v>
      </c>
      <c r="D183" s="77"/>
      <c r="E183" s="25"/>
      <c r="F183" s="94"/>
      <c r="G183" s="54"/>
      <c r="H183" s="42"/>
    </row>
    <row r="184" spans="1:8" s="8" customFormat="1" ht="13.5" customHeight="1">
      <c r="A184" s="71" t="s">
        <v>166</v>
      </c>
      <c r="B184" s="23" t="s">
        <v>51</v>
      </c>
      <c r="C184" s="24">
        <v>18000</v>
      </c>
      <c r="D184" s="77"/>
      <c r="E184" s="25"/>
      <c r="F184" s="94"/>
      <c r="G184" s="54"/>
      <c r="H184" s="42"/>
    </row>
    <row r="185" spans="1:8" s="8" customFormat="1" ht="13.5" customHeight="1">
      <c r="A185" s="71"/>
      <c r="B185" s="23"/>
      <c r="C185" s="24"/>
      <c r="D185" s="77"/>
      <c r="E185" s="25"/>
      <c r="F185" s="94"/>
      <c r="G185" s="54"/>
      <c r="H185" s="42"/>
    </row>
    <row r="186" spans="3:6" s="51" customFormat="1" ht="13.5" thickBot="1">
      <c r="C186" s="61"/>
      <c r="D186" s="61"/>
      <c r="E186" s="61"/>
      <c r="F186" s="61"/>
    </row>
    <row r="187" spans="1:6" s="51" customFormat="1" ht="12.75">
      <c r="A187" s="650" t="s">
        <v>706</v>
      </c>
      <c r="B187" s="638"/>
      <c r="C187" s="639" t="s">
        <v>6</v>
      </c>
      <c r="D187" s="757" t="s">
        <v>1002</v>
      </c>
      <c r="F187" s="61"/>
    </row>
    <row r="188" spans="1:6" s="51" customFormat="1" ht="13.5" thickBot="1">
      <c r="A188" s="652"/>
      <c r="B188" s="646"/>
      <c r="C188" s="643"/>
      <c r="D188" s="644"/>
      <c r="F188" s="61"/>
    </row>
    <row r="189" spans="1:6" s="65" customFormat="1" ht="12.75">
      <c r="A189" s="979" t="s">
        <v>986</v>
      </c>
      <c r="B189" s="980"/>
      <c r="C189" s="980"/>
      <c r="D189" s="981"/>
      <c r="F189" s="67"/>
    </row>
    <row r="190" spans="1:6" s="65" customFormat="1" ht="13.5" thickBot="1">
      <c r="A190" s="985"/>
      <c r="B190" s="986"/>
      <c r="C190" s="986"/>
      <c r="D190" s="987"/>
      <c r="F190" s="67"/>
    </row>
    <row r="191" spans="1:6" s="65" customFormat="1" ht="13.5">
      <c r="A191" s="436" t="s">
        <v>809</v>
      </c>
      <c r="B191" s="163"/>
      <c r="C191" s="162"/>
      <c r="D191" s="161"/>
      <c r="F191" s="67"/>
    </row>
    <row r="192" spans="1:6" s="55" customFormat="1" ht="13.5">
      <c r="A192" s="40" t="s">
        <v>665</v>
      </c>
      <c r="B192" s="58"/>
      <c r="C192" s="59"/>
      <c r="D192" s="60"/>
      <c r="F192" s="56"/>
    </row>
    <row r="193" spans="1:6" s="68" customFormat="1" ht="13.5">
      <c r="A193" s="40" t="s">
        <v>666</v>
      </c>
      <c r="B193" s="31"/>
      <c r="C193" s="59"/>
      <c r="D193" s="60"/>
      <c r="F193" s="64"/>
    </row>
    <row r="194" spans="1:6" s="51" customFormat="1" ht="14.25" thickBot="1">
      <c r="A194" s="160" t="s">
        <v>13</v>
      </c>
      <c r="B194" s="159"/>
      <c r="C194" s="158"/>
      <c r="D194" s="157"/>
      <c r="F194" s="61"/>
    </row>
    <row r="195" spans="1:7" s="51" customFormat="1" ht="14.25" thickBot="1">
      <c r="A195" s="678" t="s">
        <v>535</v>
      </c>
      <c r="B195" s="679"/>
      <c r="C195" s="686"/>
      <c r="D195" s="682">
        <f>+C197+C209+C225</f>
        <v>3973960</v>
      </c>
      <c r="F195" s="61"/>
      <c r="G195" s="61"/>
    </row>
    <row r="196" spans="1:6" s="51" customFormat="1" ht="14.25" thickBot="1">
      <c r="A196" s="62"/>
      <c r="B196" s="62"/>
      <c r="C196" s="63"/>
      <c r="D196" s="63"/>
      <c r="E196" s="63"/>
      <c r="F196" s="61"/>
    </row>
    <row r="197" spans="1:6" s="65" customFormat="1" ht="14.25" thickBot="1">
      <c r="A197" s="1013" t="s">
        <v>2</v>
      </c>
      <c r="B197" s="1014"/>
      <c r="C197" s="634">
        <f>C198+C201+C206+C203</f>
        <v>431850</v>
      </c>
      <c r="D197" s="67"/>
      <c r="E197" s="851"/>
      <c r="F197" s="67"/>
    </row>
    <row r="198" spans="1:6" s="55" customFormat="1" ht="13.5">
      <c r="A198" s="11" t="s">
        <v>105</v>
      </c>
      <c r="B198" s="502" t="s">
        <v>106</v>
      </c>
      <c r="C198" s="63">
        <f>SUM(C199:C200)</f>
        <v>318000</v>
      </c>
      <c r="E198" s="56"/>
      <c r="F198" s="56"/>
    </row>
    <row r="199" spans="1:7" s="42" customFormat="1" ht="13.5" customHeight="1">
      <c r="A199" s="12" t="s">
        <v>86</v>
      </c>
      <c r="B199" s="8" t="s">
        <v>66</v>
      </c>
      <c r="C199" s="24">
        <v>270000</v>
      </c>
      <c r="F199" s="95"/>
      <c r="G199" s="31"/>
    </row>
    <row r="200" spans="1:7" s="42" customFormat="1" ht="13.5" customHeight="1">
      <c r="A200" s="12" t="s">
        <v>554</v>
      </c>
      <c r="B200" s="42" t="s">
        <v>553</v>
      </c>
      <c r="C200" s="24">
        <v>48000</v>
      </c>
      <c r="F200" s="95"/>
      <c r="G200" s="31"/>
    </row>
    <row r="201" spans="1:7" s="42" customFormat="1" ht="13.5" customHeight="1">
      <c r="A201" s="11" t="s">
        <v>107</v>
      </c>
      <c r="B201" s="502" t="s">
        <v>108</v>
      </c>
      <c r="C201" s="31">
        <f>SUM(C202)</f>
        <v>30000</v>
      </c>
      <c r="F201" s="22"/>
      <c r="G201" s="31"/>
    </row>
    <row r="202" spans="1:8" s="8" customFormat="1" ht="13.5" customHeight="1">
      <c r="A202" s="12" t="s">
        <v>47</v>
      </c>
      <c r="B202" s="23" t="s">
        <v>48</v>
      </c>
      <c r="C202" s="24">
        <v>30000</v>
      </c>
      <c r="F202" s="56"/>
      <c r="G202" s="25"/>
      <c r="H202" s="42"/>
    </row>
    <row r="203" spans="1:8" s="8" customFormat="1" ht="13.5" customHeight="1">
      <c r="A203" s="249" t="s">
        <v>124</v>
      </c>
      <c r="B203" s="505" t="s">
        <v>123</v>
      </c>
      <c r="C203" s="31">
        <f>SUM(C204:C205)</f>
        <v>39600</v>
      </c>
      <c r="F203" s="56"/>
      <c r="G203" s="25"/>
      <c r="H203" s="42"/>
    </row>
    <row r="204" spans="1:8" s="8" customFormat="1" ht="13.5" customHeight="1">
      <c r="A204" s="71" t="s">
        <v>93</v>
      </c>
      <c r="B204" s="23" t="s">
        <v>72</v>
      </c>
      <c r="C204" s="24">
        <v>9600</v>
      </c>
      <c r="F204" s="56"/>
      <c r="G204" s="25"/>
      <c r="H204" s="42"/>
    </row>
    <row r="205" spans="1:8" s="8" customFormat="1" ht="13.5" customHeight="1">
      <c r="A205" s="71" t="s">
        <v>555</v>
      </c>
      <c r="B205" s="42" t="s">
        <v>556</v>
      </c>
      <c r="C205" s="24">
        <v>30000</v>
      </c>
      <c r="F205" s="56"/>
      <c r="G205" s="25"/>
      <c r="H205" s="42"/>
    </row>
    <row r="206" spans="1:8" s="8" customFormat="1" ht="13.5" customHeight="1">
      <c r="A206" s="249" t="s">
        <v>150</v>
      </c>
      <c r="B206" s="25" t="s">
        <v>133</v>
      </c>
      <c r="C206" s="31">
        <f>SUM(C207)</f>
        <v>44250</v>
      </c>
      <c r="F206" s="77"/>
      <c r="G206" s="25"/>
      <c r="H206" s="42"/>
    </row>
    <row r="207" spans="1:8" s="8" customFormat="1" ht="13.5" customHeight="1">
      <c r="A207" s="71" t="s">
        <v>154</v>
      </c>
      <c r="B207" s="23" t="s">
        <v>133</v>
      </c>
      <c r="C207" s="24">
        <v>44250</v>
      </c>
      <c r="F207" s="77"/>
      <c r="G207" s="25"/>
      <c r="H207" s="73"/>
    </row>
    <row r="208" spans="1:8" s="8" customFormat="1" ht="13.5" customHeight="1" thickBot="1">
      <c r="A208" s="71"/>
      <c r="B208" s="23"/>
      <c r="C208" s="23"/>
      <c r="F208" s="77"/>
      <c r="G208" s="25"/>
      <c r="H208" s="73"/>
    </row>
    <row r="209" spans="1:6" s="65" customFormat="1" ht="14.25" thickBot="1">
      <c r="A209" s="1015" t="s">
        <v>3</v>
      </c>
      <c r="B209" s="1016"/>
      <c r="C209" s="635">
        <f>C210+C212+C214+C216+C221</f>
        <v>3412770</v>
      </c>
      <c r="F209" s="67"/>
    </row>
    <row r="210" spans="1:6" s="55" customFormat="1" ht="14.25" customHeight="1">
      <c r="A210" s="249" t="s">
        <v>110</v>
      </c>
      <c r="B210" s="281" t="s">
        <v>111</v>
      </c>
      <c r="C210" s="63">
        <f>SUM(C211)</f>
        <v>20000</v>
      </c>
      <c r="F210" s="56"/>
    </row>
    <row r="211" spans="1:7" s="65" customFormat="1" ht="13.5">
      <c r="A211" s="58" t="s">
        <v>52</v>
      </c>
      <c r="B211" s="58" t="s">
        <v>15</v>
      </c>
      <c r="C211" s="59">
        <v>20000</v>
      </c>
      <c r="D211" s="55"/>
      <c r="F211" s="59"/>
      <c r="G211" s="67"/>
    </row>
    <row r="212" spans="1:8" s="8" customFormat="1" ht="13.5" customHeight="1">
      <c r="A212" s="506" t="s">
        <v>120</v>
      </c>
      <c r="B212" s="507" t="s">
        <v>121</v>
      </c>
      <c r="C212" s="31">
        <f>SUM(C213:C213)</f>
        <v>15120</v>
      </c>
      <c r="D212" s="42"/>
      <c r="F212" s="77"/>
      <c r="G212" s="25"/>
      <c r="H212" s="54"/>
    </row>
    <row r="213" spans="1:8" s="8" customFormat="1" ht="13.5" customHeight="1">
      <c r="A213" s="58" t="s">
        <v>136</v>
      </c>
      <c r="B213" s="58" t="s">
        <v>71</v>
      </c>
      <c r="C213" s="24">
        <v>15120</v>
      </c>
      <c r="D213" s="42"/>
      <c r="G213" s="25"/>
      <c r="H213" s="54"/>
    </row>
    <row r="214" spans="1:7" s="65" customFormat="1" ht="13.5">
      <c r="A214" s="506" t="s">
        <v>112</v>
      </c>
      <c r="B214" s="505" t="s">
        <v>122</v>
      </c>
      <c r="C214" s="63">
        <f>SUM(C215)</f>
        <v>696850</v>
      </c>
      <c r="D214" s="55"/>
      <c r="F214" s="56"/>
      <c r="G214" s="67"/>
    </row>
    <row r="215" spans="1:7" s="65" customFormat="1" ht="13.5">
      <c r="A215" s="71" t="s">
        <v>49</v>
      </c>
      <c r="B215" s="23" t="s">
        <v>87</v>
      </c>
      <c r="C215" s="59">
        <v>696850</v>
      </c>
      <c r="D215" s="55"/>
      <c r="F215" s="56"/>
      <c r="G215" s="67"/>
    </row>
    <row r="216" spans="1:7" s="65" customFormat="1" ht="13.5">
      <c r="A216" s="506" t="s">
        <v>132</v>
      </c>
      <c r="B216" s="506" t="s">
        <v>56</v>
      </c>
      <c r="C216" s="63">
        <f>SUM(C217:C220)</f>
        <v>1871700</v>
      </c>
      <c r="D216" s="55"/>
      <c r="F216" s="104"/>
      <c r="G216" s="56"/>
    </row>
    <row r="217" spans="1:8" s="65" customFormat="1" ht="13.5">
      <c r="A217" s="69" t="s">
        <v>55</v>
      </c>
      <c r="B217" s="69" t="s">
        <v>56</v>
      </c>
      <c r="C217" s="59">
        <v>1089200</v>
      </c>
      <c r="D217" s="55"/>
      <c r="E217" s="55"/>
      <c r="F217" s="63"/>
      <c r="G217" s="59"/>
      <c r="H217" s="55"/>
    </row>
    <row r="218" spans="1:6" s="65" customFormat="1" ht="13.5">
      <c r="A218" s="69" t="s">
        <v>143</v>
      </c>
      <c r="B218" s="42" t="s">
        <v>142</v>
      </c>
      <c r="C218" s="59">
        <v>72500</v>
      </c>
      <c r="D218" s="107"/>
      <c r="E218" s="66"/>
      <c r="F218" s="56"/>
    </row>
    <row r="219" spans="1:6" s="65" customFormat="1" ht="13.5">
      <c r="A219" s="69" t="s">
        <v>95</v>
      </c>
      <c r="B219" s="69" t="s">
        <v>96</v>
      </c>
      <c r="C219" s="59">
        <v>560000</v>
      </c>
      <c r="D219" s="59"/>
      <c r="E219" s="66"/>
      <c r="F219" s="56"/>
    </row>
    <row r="220" spans="1:6" s="65" customFormat="1" ht="13.5">
      <c r="A220" s="69" t="s">
        <v>537</v>
      </c>
      <c r="B220" s="42" t="s">
        <v>549</v>
      </c>
      <c r="C220" s="59">
        <v>150000</v>
      </c>
      <c r="D220" s="59"/>
      <c r="E220" s="66"/>
      <c r="F220" s="56"/>
    </row>
    <row r="221" spans="1:6" s="65" customFormat="1" ht="13.5">
      <c r="A221" s="249" t="s">
        <v>115</v>
      </c>
      <c r="B221" s="25" t="s">
        <v>8</v>
      </c>
      <c r="C221" s="63">
        <f>SUM(C222:C223)</f>
        <v>809100</v>
      </c>
      <c r="D221" s="56"/>
      <c r="E221" s="66"/>
      <c r="F221" s="56"/>
    </row>
    <row r="222" spans="1:6" s="65" customFormat="1" ht="13.5">
      <c r="A222" s="69" t="s">
        <v>89</v>
      </c>
      <c r="B222" s="69" t="s">
        <v>8</v>
      </c>
      <c r="C222" s="59">
        <v>731100</v>
      </c>
      <c r="D222" s="56"/>
      <c r="E222" s="67"/>
      <c r="F222" s="67"/>
    </row>
    <row r="223" spans="1:6" s="65" customFormat="1" ht="13.5">
      <c r="A223" s="69" t="s">
        <v>90</v>
      </c>
      <c r="B223" s="69" t="s">
        <v>7</v>
      </c>
      <c r="C223" s="59">
        <v>78000</v>
      </c>
      <c r="D223" s="56"/>
      <c r="E223" s="67"/>
      <c r="F223" s="67"/>
    </row>
    <row r="224" spans="1:6" s="65" customFormat="1" ht="14.25" thickBot="1">
      <c r="A224" s="69"/>
      <c r="B224" s="69"/>
      <c r="C224" s="59"/>
      <c r="D224" s="67"/>
      <c r="E224" s="67"/>
      <c r="F224" s="67"/>
    </row>
    <row r="225" spans="1:6" s="65" customFormat="1" ht="14.25" thickBot="1">
      <c r="A225" s="1017" t="s">
        <v>4</v>
      </c>
      <c r="B225" s="1018"/>
      <c r="C225" s="637">
        <f>C226+C229</f>
        <v>129340</v>
      </c>
      <c r="D225" s="67"/>
      <c r="E225" s="67"/>
      <c r="F225" s="67"/>
    </row>
    <row r="226" spans="1:6" s="55" customFormat="1" ht="13.5">
      <c r="A226" s="249" t="s">
        <v>116</v>
      </c>
      <c r="B226" s="199" t="s">
        <v>117</v>
      </c>
      <c r="C226" s="63">
        <f>SUM(C227:C228)</f>
        <v>113340</v>
      </c>
      <c r="D226" s="56"/>
      <c r="E226" s="56"/>
      <c r="F226" s="56"/>
    </row>
    <row r="227" spans="1:8" s="8" customFormat="1" ht="13.5" customHeight="1">
      <c r="A227" s="71" t="s">
        <v>91</v>
      </c>
      <c r="B227" s="23" t="s">
        <v>139</v>
      </c>
      <c r="C227" s="24">
        <v>31000</v>
      </c>
      <c r="D227" s="77"/>
      <c r="E227" s="25"/>
      <c r="F227" s="94"/>
      <c r="G227" s="54"/>
      <c r="H227" s="42"/>
    </row>
    <row r="228" spans="1:8" s="8" customFormat="1" ht="13.5" customHeight="1">
      <c r="A228" s="71" t="s">
        <v>57</v>
      </c>
      <c r="B228" s="23" t="s">
        <v>58</v>
      </c>
      <c r="C228" s="24">
        <v>82340</v>
      </c>
      <c r="D228" s="77"/>
      <c r="E228" s="25"/>
      <c r="F228" s="53"/>
      <c r="G228" s="72"/>
      <c r="H228" s="42"/>
    </row>
    <row r="229" spans="1:8" s="8" customFormat="1" ht="13.5" customHeight="1">
      <c r="A229" s="249" t="s">
        <v>165</v>
      </c>
      <c r="B229" s="25" t="s">
        <v>134</v>
      </c>
      <c r="C229" s="31">
        <f>SUM(C230)</f>
        <v>16000</v>
      </c>
      <c r="D229" s="77"/>
      <c r="E229" s="25"/>
      <c r="F229" s="94"/>
      <c r="G229" s="54"/>
      <c r="H229" s="42"/>
    </row>
    <row r="230" spans="1:8" s="8" customFormat="1" ht="13.5" customHeight="1">
      <c r="A230" s="71" t="s">
        <v>166</v>
      </c>
      <c r="B230" s="23" t="s">
        <v>51</v>
      </c>
      <c r="C230" s="24">
        <v>16000</v>
      </c>
      <c r="D230" s="77"/>
      <c r="E230" s="25"/>
      <c r="F230" s="94"/>
      <c r="G230" s="54"/>
      <c r="H230" s="42"/>
    </row>
    <row r="231" spans="1:8" s="8" customFormat="1" ht="13.5" customHeight="1">
      <c r="A231" s="71"/>
      <c r="B231" s="23"/>
      <c r="C231" s="24"/>
      <c r="D231" s="77"/>
      <c r="E231" s="25"/>
      <c r="F231" s="94"/>
      <c r="G231" s="54"/>
      <c r="H231" s="42"/>
    </row>
    <row r="232" spans="1:8" s="8" customFormat="1" ht="13.5" customHeight="1" thickBot="1">
      <c r="A232" s="71"/>
      <c r="B232" s="23"/>
      <c r="C232" s="24"/>
      <c r="D232" s="77"/>
      <c r="E232" s="25"/>
      <c r="F232" s="94"/>
      <c r="G232" s="54"/>
      <c r="H232" s="42"/>
    </row>
    <row r="233" spans="1:6" s="6" customFormat="1" ht="13.5">
      <c r="A233" s="988" t="s">
        <v>987</v>
      </c>
      <c r="B233" s="1009"/>
      <c r="C233" s="989"/>
      <c r="D233" s="627" t="s">
        <v>6</v>
      </c>
      <c r="E233" s="755">
        <v>1803</v>
      </c>
      <c r="F233" s="88"/>
    </row>
    <row r="234" spans="1:6" s="6" customFormat="1" ht="14.25" thickBot="1">
      <c r="A234" s="990"/>
      <c r="B234" s="1010"/>
      <c r="C234" s="991"/>
      <c r="D234" s="630"/>
      <c r="E234" s="631"/>
      <c r="F234" s="88"/>
    </row>
    <row r="235" spans="1:13" s="6" customFormat="1" ht="13.5">
      <c r="A235" s="979" t="s">
        <v>988</v>
      </c>
      <c r="B235" s="980"/>
      <c r="C235" s="980"/>
      <c r="D235" s="980"/>
      <c r="E235" s="981"/>
      <c r="F235" s="89"/>
      <c r="G235" s="13"/>
      <c r="H235" s="13"/>
      <c r="I235" s="13"/>
      <c r="J235" s="13"/>
      <c r="K235" s="13"/>
      <c r="L235" s="13"/>
      <c r="M235" s="13"/>
    </row>
    <row r="236" spans="1:13" s="6" customFormat="1" ht="14.25" thickBot="1">
      <c r="A236" s="985"/>
      <c r="B236" s="986"/>
      <c r="C236" s="986"/>
      <c r="D236" s="986"/>
      <c r="E236" s="987"/>
      <c r="F236" s="89"/>
      <c r="G236" s="13"/>
      <c r="H236" s="13"/>
      <c r="I236" s="13"/>
      <c r="J236" s="13"/>
      <c r="K236" s="13"/>
      <c r="L236" s="13"/>
      <c r="M236" s="13"/>
    </row>
    <row r="237" spans="1:6" s="6" customFormat="1" ht="13.5">
      <c r="A237" s="40" t="s">
        <v>809</v>
      </c>
      <c r="B237" s="45"/>
      <c r="C237" s="31"/>
      <c r="D237" s="32"/>
      <c r="E237" s="41"/>
      <c r="F237" s="88"/>
    </row>
    <row r="238" spans="1:6" s="6" customFormat="1" ht="13.5">
      <c r="A238" s="40" t="s">
        <v>10</v>
      </c>
      <c r="B238" s="45"/>
      <c r="C238" s="31"/>
      <c r="D238" s="32"/>
      <c r="E238" s="41"/>
      <c r="F238" s="88"/>
    </row>
    <row r="239" spans="1:6" s="6" customFormat="1" ht="13.5">
      <c r="A239" s="40" t="s">
        <v>564</v>
      </c>
      <c r="B239" s="31"/>
      <c r="C239" s="31"/>
      <c r="D239" s="32"/>
      <c r="E239" s="41"/>
      <c r="F239" s="88"/>
    </row>
    <row r="240" spans="1:6" s="6" customFormat="1" ht="14.25" thickBot="1">
      <c r="A240" s="75" t="s">
        <v>11</v>
      </c>
      <c r="B240" s="46"/>
      <c r="C240" s="47"/>
      <c r="D240" s="48"/>
      <c r="E240" s="76"/>
      <c r="F240" s="88"/>
    </row>
    <row r="241" spans="1:6" s="857" customFormat="1" ht="14.25" thickBot="1">
      <c r="A241" s="596" t="s">
        <v>0</v>
      </c>
      <c r="B241" s="598"/>
      <c r="C241" s="598"/>
      <c r="D241" s="690"/>
      <c r="E241" s="600">
        <f>+C243+C249</f>
        <v>42798350</v>
      </c>
      <c r="F241" s="88"/>
    </row>
    <row r="242" spans="1:6" s="6" customFormat="1" ht="14.25" thickBot="1">
      <c r="A242" s="11"/>
      <c r="B242" s="31"/>
      <c r="C242" s="31"/>
      <c r="D242" s="32"/>
      <c r="E242" s="44"/>
      <c r="F242" s="88"/>
    </row>
    <row r="243" spans="1:6" s="8" customFormat="1" ht="14.25" thickBot="1">
      <c r="A243" s="994" t="s">
        <v>3</v>
      </c>
      <c r="B243" s="995"/>
      <c r="C243" s="636">
        <f>C244+C246</f>
        <v>388400</v>
      </c>
      <c r="D243" s="103"/>
      <c r="E243" s="97"/>
      <c r="F243" s="91"/>
    </row>
    <row r="244" spans="1:6" s="42" customFormat="1" ht="13.5">
      <c r="A244" s="319" t="s">
        <v>113</v>
      </c>
      <c r="B244" s="281" t="s">
        <v>114</v>
      </c>
      <c r="C244" s="514">
        <f>SUM(C245)</f>
        <v>338400</v>
      </c>
      <c r="D244" s="80"/>
      <c r="E244" s="79"/>
      <c r="F244" s="94"/>
    </row>
    <row r="245" spans="1:6" s="8" customFormat="1" ht="13.5">
      <c r="A245" s="52" t="s">
        <v>163</v>
      </c>
      <c r="B245" s="42" t="s">
        <v>74</v>
      </c>
      <c r="C245" s="101">
        <v>338400</v>
      </c>
      <c r="D245" s="80"/>
      <c r="F245" s="79"/>
    </row>
    <row r="246" spans="1:6" s="8" customFormat="1" ht="13.5">
      <c r="A246" s="506" t="s">
        <v>115</v>
      </c>
      <c r="B246" s="506" t="s">
        <v>8</v>
      </c>
      <c r="C246" s="31">
        <f>SUM(C247)</f>
        <v>50000</v>
      </c>
      <c r="D246" s="80"/>
      <c r="E246" s="79"/>
      <c r="F246" s="91"/>
    </row>
    <row r="247" spans="1:6" s="8" customFormat="1" ht="13.5">
      <c r="A247" s="69" t="s">
        <v>89</v>
      </c>
      <c r="B247" s="69" t="s">
        <v>8</v>
      </c>
      <c r="C247" s="24">
        <v>50000</v>
      </c>
      <c r="D247" s="80"/>
      <c r="E247" s="79"/>
      <c r="F247" s="91"/>
    </row>
    <row r="248" spans="1:6" s="8" customFormat="1" ht="14.25" thickBot="1">
      <c r="A248" s="52"/>
      <c r="B248" s="42"/>
      <c r="C248" s="101"/>
      <c r="D248" s="80"/>
      <c r="E248" s="79"/>
      <c r="F248" s="91"/>
    </row>
    <row r="249" spans="1:6" s="8" customFormat="1" ht="14.25" thickBot="1">
      <c r="A249" s="1007" t="s">
        <v>5</v>
      </c>
      <c r="B249" s="1008"/>
      <c r="C249" s="604">
        <f>C250+C256</f>
        <v>42409950</v>
      </c>
      <c r="D249" s="77"/>
      <c r="E249" s="85"/>
      <c r="F249" s="91"/>
    </row>
    <row r="250" spans="1:6" s="42" customFormat="1" ht="13.5">
      <c r="A250" s="249" t="s">
        <v>126</v>
      </c>
      <c r="B250" s="281" t="s">
        <v>127</v>
      </c>
      <c r="C250" s="31">
        <f>SUM(C251:C255)</f>
        <v>40071200</v>
      </c>
      <c r="D250" s="105"/>
      <c r="E250" s="54"/>
      <c r="F250" s="94"/>
    </row>
    <row r="251" spans="1:4" s="8" customFormat="1" ht="13.5">
      <c r="A251" s="71" t="s">
        <v>59</v>
      </c>
      <c r="B251" s="23" t="s">
        <v>16</v>
      </c>
      <c r="C251" s="24">
        <v>2244000</v>
      </c>
      <c r="D251" s="78"/>
    </row>
    <row r="252" spans="1:4" s="8" customFormat="1" ht="13.5">
      <c r="A252" s="71" t="s">
        <v>60</v>
      </c>
      <c r="B252" s="86" t="s">
        <v>17</v>
      </c>
      <c r="C252" s="24">
        <v>19873200</v>
      </c>
      <c r="D252" s="106"/>
    </row>
    <row r="253" spans="1:4" s="8" customFormat="1" ht="13.5">
      <c r="A253" s="71" t="s">
        <v>61</v>
      </c>
      <c r="B253" s="23" t="s">
        <v>18</v>
      </c>
      <c r="C253" s="24">
        <v>14642000</v>
      </c>
      <c r="D253" s="54"/>
    </row>
    <row r="254" spans="1:8" s="8" customFormat="1" ht="13.5">
      <c r="A254" s="71" t="s">
        <v>63</v>
      </c>
      <c r="B254" s="24" t="s">
        <v>62</v>
      </c>
      <c r="C254" s="24">
        <v>288000</v>
      </c>
      <c r="D254" s="95"/>
      <c r="E254" s="54"/>
      <c r="F254" s="42"/>
      <c r="G254" s="42"/>
      <c r="H254" s="42"/>
    </row>
    <row r="255" spans="1:8" s="42" customFormat="1" ht="13.5">
      <c r="A255" s="71" t="s">
        <v>538</v>
      </c>
      <c r="B255" s="42" t="s">
        <v>539</v>
      </c>
      <c r="C255" s="24">
        <v>3024000</v>
      </c>
      <c r="D255" s="54"/>
      <c r="E255" s="8"/>
      <c r="F255" s="8"/>
      <c r="G255" s="8"/>
      <c r="H255" s="8"/>
    </row>
    <row r="256" spans="1:6" s="8" customFormat="1" ht="13.5">
      <c r="A256" s="249" t="s">
        <v>128</v>
      </c>
      <c r="B256" s="249" t="s">
        <v>129</v>
      </c>
      <c r="C256" s="31">
        <f>SUM(C257:C260)</f>
        <v>2338750</v>
      </c>
      <c r="D256" s="95"/>
      <c r="E256" s="54"/>
      <c r="F256" s="42"/>
    </row>
    <row r="257" spans="1:6" s="8" customFormat="1" ht="13.5">
      <c r="A257" s="71" t="s">
        <v>237</v>
      </c>
      <c r="B257" s="23" t="s">
        <v>238</v>
      </c>
      <c r="C257" s="24">
        <v>418750</v>
      </c>
      <c r="D257" s="95"/>
      <c r="E257" s="54"/>
      <c r="F257" s="42"/>
    </row>
    <row r="258" spans="1:8" s="8" customFormat="1" ht="13.5">
      <c r="A258" s="71" t="s">
        <v>147</v>
      </c>
      <c r="B258" s="42" t="s">
        <v>148</v>
      </c>
      <c r="C258" s="24">
        <v>980000</v>
      </c>
      <c r="D258" s="95"/>
      <c r="E258" s="84"/>
      <c r="F258" s="94"/>
      <c r="G258" s="54"/>
      <c r="H258" s="42"/>
    </row>
    <row r="259" spans="1:8" s="8" customFormat="1" ht="13.5">
      <c r="A259" s="71" t="s">
        <v>146</v>
      </c>
      <c r="B259" s="42" t="s">
        <v>145</v>
      </c>
      <c r="C259" s="24">
        <v>250000</v>
      </c>
      <c r="D259" s="78"/>
      <c r="E259" s="85"/>
      <c r="F259" s="94"/>
      <c r="G259" s="54"/>
      <c r="H259" s="42"/>
    </row>
    <row r="260" spans="1:6" s="8" customFormat="1" ht="13.5">
      <c r="A260" s="71" t="s">
        <v>144</v>
      </c>
      <c r="B260" s="24" t="s">
        <v>12</v>
      </c>
      <c r="C260" s="24">
        <v>690000</v>
      </c>
      <c r="D260" s="77"/>
      <c r="E260" s="85"/>
      <c r="F260" s="91"/>
    </row>
    <row r="261" spans="1:6" s="8" customFormat="1" ht="13.5">
      <c r="A261" s="71"/>
      <c r="B261" s="24"/>
      <c r="C261" s="24"/>
      <c r="D261" s="77"/>
      <c r="E261" s="85"/>
      <c r="F261" s="91"/>
    </row>
    <row r="262" spans="1:6" s="8" customFormat="1" ht="14.25" thickBot="1">
      <c r="A262" s="71"/>
      <c r="B262" s="24"/>
      <c r="C262" s="24"/>
      <c r="D262" s="77"/>
      <c r="E262" s="85"/>
      <c r="F262" s="91"/>
    </row>
    <row r="263" spans="1:11" ht="12.75" customHeight="1">
      <c r="A263" s="650" t="s">
        <v>536</v>
      </c>
      <c r="B263" s="638"/>
      <c r="C263" s="647"/>
      <c r="D263" s="639" t="s">
        <v>6</v>
      </c>
      <c r="E263" s="754" t="s">
        <v>1003</v>
      </c>
      <c r="F263" s="179"/>
      <c r="G263" s="151"/>
      <c r="H263" s="151"/>
      <c r="I263" s="151"/>
      <c r="J263" s="151"/>
      <c r="K263" s="151"/>
    </row>
    <row r="264" spans="1:11" ht="13.5" customHeight="1" thickBot="1">
      <c r="A264" s="652"/>
      <c r="B264" s="646"/>
      <c r="C264" s="649"/>
      <c r="D264" s="643"/>
      <c r="E264" s="644"/>
      <c r="F264" s="517"/>
      <c r="G264" s="518"/>
      <c r="H264" s="518"/>
      <c r="J264" s="151"/>
      <c r="K264" s="151"/>
    </row>
    <row r="265" spans="1:8" s="118" customFormat="1" ht="12.75" customHeight="1">
      <c r="A265" s="979" t="s">
        <v>990</v>
      </c>
      <c r="B265" s="980"/>
      <c r="C265" s="980"/>
      <c r="D265" s="980"/>
      <c r="E265" s="981"/>
      <c r="F265" s="518"/>
      <c r="G265" s="518"/>
      <c r="H265" s="518"/>
    </row>
    <row r="266" spans="1:11" ht="12.75" customHeight="1">
      <c r="A266" s="982"/>
      <c r="B266" s="983"/>
      <c r="C266" s="983"/>
      <c r="D266" s="983"/>
      <c r="E266" s="984"/>
      <c r="F266" s="518"/>
      <c r="G266" s="518"/>
      <c r="H266" s="518"/>
      <c r="J266" s="512"/>
      <c r="K266" s="151"/>
    </row>
    <row r="267" spans="1:11" ht="12.75">
      <c r="A267" s="982"/>
      <c r="B267" s="983"/>
      <c r="C267" s="983"/>
      <c r="D267" s="983"/>
      <c r="E267" s="984"/>
      <c r="H267" s="151"/>
      <c r="J267" s="512"/>
      <c r="K267" s="151"/>
    </row>
    <row r="268" spans="1:11" ht="12.75">
      <c r="A268" s="982"/>
      <c r="B268" s="983"/>
      <c r="C268" s="983"/>
      <c r="D268" s="983"/>
      <c r="E268" s="984"/>
      <c r="H268" s="151"/>
      <c r="J268" s="151"/>
      <c r="K268" s="151"/>
    </row>
    <row r="269" spans="1:11" ht="12.75">
      <c r="A269" s="982"/>
      <c r="B269" s="983"/>
      <c r="C269" s="983"/>
      <c r="D269" s="983"/>
      <c r="E269" s="984"/>
      <c r="F269" s="179"/>
      <c r="H269" s="151"/>
      <c r="I269" s="151"/>
      <c r="J269" s="151"/>
      <c r="K269" s="151"/>
    </row>
    <row r="270" spans="1:11" ht="12.75">
      <c r="A270" s="982"/>
      <c r="B270" s="983"/>
      <c r="C270" s="983"/>
      <c r="D270" s="983"/>
      <c r="E270" s="984"/>
      <c r="F270" s="179"/>
      <c r="H270" s="151"/>
      <c r="I270" s="151"/>
      <c r="J270" s="151"/>
      <c r="K270" s="151"/>
    </row>
    <row r="271" spans="1:11" ht="13.5" thickBot="1">
      <c r="A271" s="985"/>
      <c r="B271" s="986"/>
      <c r="C271" s="986"/>
      <c r="D271" s="986"/>
      <c r="E271" s="987"/>
      <c r="F271" s="179"/>
      <c r="H271" s="151"/>
      <c r="I271" s="151"/>
      <c r="J271" s="151"/>
      <c r="K271" s="151"/>
    </row>
    <row r="272" spans="1:11" ht="13.5">
      <c r="A272" s="436" t="s">
        <v>809</v>
      </c>
      <c r="B272" s="163"/>
      <c r="C272" s="162"/>
      <c r="D272" s="162"/>
      <c r="E272" s="161"/>
      <c r="F272" s="179"/>
      <c r="G272" s="151"/>
      <c r="H272" s="151"/>
      <c r="I272" s="151"/>
      <c r="J272" s="151"/>
      <c r="K272" s="151"/>
    </row>
    <row r="273" spans="1:6" s="118" customFormat="1" ht="13.5">
      <c r="A273" s="57" t="s">
        <v>202</v>
      </c>
      <c r="B273" s="58"/>
      <c r="C273" s="59"/>
      <c r="D273" s="59"/>
      <c r="E273" s="60"/>
      <c r="F273" s="179"/>
    </row>
    <row r="274" spans="1:6" s="178" customFormat="1" ht="13.5" customHeight="1">
      <c r="A274" s="57" t="s">
        <v>630</v>
      </c>
      <c r="B274" s="58"/>
      <c r="C274" s="59"/>
      <c r="D274" s="59"/>
      <c r="E274" s="60"/>
      <c r="F274" s="177"/>
    </row>
    <row r="275" spans="1:11" s="175" customFormat="1" ht="14.25" thickBot="1">
      <c r="A275" s="160" t="s">
        <v>13</v>
      </c>
      <c r="B275" s="159"/>
      <c r="C275" s="158"/>
      <c r="D275" s="158"/>
      <c r="E275" s="157"/>
      <c r="F275" s="177"/>
      <c r="G275" s="176"/>
      <c r="H275" s="176"/>
      <c r="I275" s="176"/>
      <c r="J275" s="176"/>
      <c r="K275" s="176"/>
    </row>
    <row r="276" spans="1:11" s="175" customFormat="1" ht="14.25" thickBot="1">
      <c r="A276" s="678" t="s">
        <v>14</v>
      </c>
      <c r="B276" s="679"/>
      <c r="C276" s="685"/>
      <c r="D276" s="686"/>
      <c r="E276" s="682">
        <f>C278+C301+C325+C345+C352</f>
        <v>104383842</v>
      </c>
      <c r="F276" s="177"/>
      <c r="G276" s="176"/>
      <c r="H276" s="176"/>
      <c r="I276" s="176"/>
      <c r="J276" s="176"/>
      <c r="K276" s="176"/>
    </row>
    <row r="277" spans="1:11" s="175" customFormat="1" ht="14.25" thickBot="1">
      <c r="A277" s="62"/>
      <c r="B277" s="62"/>
      <c r="C277" s="63"/>
      <c r="D277" s="63"/>
      <c r="E277" s="513"/>
      <c r="F277" s="513"/>
      <c r="G277" s="176"/>
      <c r="H277" s="176"/>
      <c r="I277" s="176"/>
      <c r="J277" s="176"/>
      <c r="K277" s="176"/>
    </row>
    <row r="278" spans="1:11" s="175" customFormat="1" ht="14.25" thickBot="1">
      <c r="A278" s="1138" t="s">
        <v>1</v>
      </c>
      <c r="B278" s="1139"/>
      <c r="C278" s="657">
        <f>C279+C286+C293</f>
        <v>50790792</v>
      </c>
      <c r="D278" s="63" t="s">
        <v>201</v>
      </c>
      <c r="E278" s="858"/>
      <c r="F278" s="177"/>
      <c r="G278" s="176"/>
      <c r="H278" s="176"/>
      <c r="I278" s="176"/>
      <c r="J278" s="176"/>
      <c r="K278" s="176"/>
    </row>
    <row r="279" spans="1:11" s="175" customFormat="1" ht="13.5">
      <c r="A279" s="11" t="s">
        <v>97</v>
      </c>
      <c r="B279" s="199" t="s">
        <v>98</v>
      </c>
      <c r="C279" s="63">
        <f>SUM(C280:C285)</f>
        <v>15285304</v>
      </c>
      <c r="D279" s="63"/>
      <c r="E279" s="858"/>
      <c r="F279" s="177"/>
      <c r="G279" s="176"/>
      <c r="H279" s="176"/>
      <c r="I279" s="176"/>
      <c r="J279" s="176"/>
      <c r="K279" s="176"/>
    </row>
    <row r="280" spans="1:8" s="8" customFormat="1" ht="13.5">
      <c r="A280" s="12" t="s">
        <v>23</v>
      </c>
      <c r="B280" s="24" t="s">
        <v>20</v>
      </c>
      <c r="C280" s="24">
        <f>200015+649230+11074651</f>
        <v>11923896</v>
      </c>
      <c r="D280" s="22"/>
      <c r="E280" s="31"/>
      <c r="F280" s="94"/>
      <c r="G280" s="42"/>
      <c r="H280" s="42"/>
    </row>
    <row r="281" spans="1:8" s="9" customFormat="1" ht="13.5">
      <c r="A281" s="12" t="s">
        <v>24</v>
      </c>
      <c r="B281" s="24" t="s">
        <v>22</v>
      </c>
      <c r="C281" s="24">
        <f>488754+1737791+6632</f>
        <v>2233177</v>
      </c>
      <c r="D281" s="22"/>
      <c r="E281" s="31"/>
      <c r="F281" s="38"/>
      <c r="G281" s="72"/>
      <c r="H281" s="72"/>
    </row>
    <row r="282" spans="1:6" s="9" customFormat="1" ht="13.5">
      <c r="A282" s="12" t="s">
        <v>25</v>
      </c>
      <c r="B282" s="24" t="s">
        <v>76</v>
      </c>
      <c r="C282" s="24">
        <f>55000+342510</f>
        <v>397510</v>
      </c>
      <c r="D282" s="22"/>
      <c r="F282" s="91"/>
    </row>
    <row r="283" spans="1:6" s="9" customFormat="1" ht="13.5">
      <c r="A283" s="12" t="s">
        <v>26</v>
      </c>
      <c r="B283" s="24" t="s">
        <v>77</v>
      </c>
      <c r="C283" s="24">
        <v>1</v>
      </c>
      <c r="D283" s="22"/>
      <c r="E283" s="38"/>
      <c r="F283" s="91"/>
    </row>
    <row r="284" spans="1:6" s="8" customFormat="1" ht="13.5">
      <c r="A284" s="12" t="s">
        <v>27</v>
      </c>
      <c r="B284" s="24" t="s">
        <v>21</v>
      </c>
      <c r="C284" s="24">
        <f>438264+25675</f>
        <v>463939</v>
      </c>
      <c r="D284" s="22"/>
      <c r="E284" s="38"/>
      <c r="F284" s="91"/>
    </row>
    <row r="285" spans="1:6" s="9" customFormat="1" ht="13.5">
      <c r="A285" s="12" t="s">
        <v>28</v>
      </c>
      <c r="B285" s="24" t="s">
        <v>19</v>
      </c>
      <c r="C285" s="24">
        <f>48277+218504</f>
        <v>266781</v>
      </c>
      <c r="D285" s="22"/>
      <c r="E285" s="38"/>
      <c r="F285" s="92"/>
    </row>
    <row r="286" spans="1:6" s="9" customFormat="1" ht="13.5">
      <c r="A286" s="11" t="s">
        <v>99</v>
      </c>
      <c r="B286" s="31" t="s">
        <v>100</v>
      </c>
      <c r="C286" s="31">
        <f>SUM(C287:C292)</f>
        <v>25029836</v>
      </c>
      <c r="D286" s="22"/>
      <c r="E286" s="38"/>
      <c r="F286" s="92"/>
    </row>
    <row r="287" spans="1:8" s="8" customFormat="1" ht="13.5">
      <c r="A287" s="12" t="s">
        <v>30</v>
      </c>
      <c r="B287" s="24" t="s">
        <v>78</v>
      </c>
      <c r="C287" s="24">
        <f>19020669+1036221+3452518-3000000</f>
        <v>20509408</v>
      </c>
      <c r="D287" s="22"/>
      <c r="E287" s="31"/>
      <c r="F287" s="53"/>
      <c r="G287" s="42"/>
      <c r="H287" s="42"/>
    </row>
    <row r="288" spans="1:6" s="9" customFormat="1" ht="13.5">
      <c r="A288" s="12" t="s">
        <v>31</v>
      </c>
      <c r="B288" s="24" t="s">
        <v>79</v>
      </c>
      <c r="C288" s="24">
        <f>3068906+863130+1271</f>
        <v>3933307</v>
      </c>
      <c r="D288" s="22"/>
      <c r="E288" s="31"/>
      <c r="F288" s="91"/>
    </row>
    <row r="289" spans="1:6" s="9" customFormat="1" ht="13.5">
      <c r="A289" s="12" t="s">
        <v>32</v>
      </c>
      <c r="B289" s="24" t="s">
        <v>80</v>
      </c>
      <c r="C289" s="24">
        <v>562493</v>
      </c>
      <c r="D289" s="22"/>
      <c r="E289" s="31"/>
      <c r="F289" s="91"/>
    </row>
    <row r="290" spans="1:6" s="9" customFormat="1" ht="13.5">
      <c r="A290" s="12" t="s">
        <v>33</v>
      </c>
      <c r="B290" s="24" t="s">
        <v>81</v>
      </c>
      <c r="C290" s="24">
        <v>1</v>
      </c>
      <c r="D290" s="22"/>
      <c r="E290" s="25"/>
      <c r="F290" s="91"/>
    </row>
    <row r="291" spans="1:6" s="8" customFormat="1" ht="13.5">
      <c r="A291" s="12" t="s">
        <v>34</v>
      </c>
      <c r="B291" s="24" t="s">
        <v>29</v>
      </c>
      <c r="C291" s="24">
        <f>21804+2822</f>
        <v>24626</v>
      </c>
      <c r="D291" s="22"/>
      <c r="E291" s="25"/>
      <c r="F291" s="91"/>
    </row>
    <row r="292" spans="1:6" s="9" customFormat="1" ht="13.5">
      <c r="A292" s="12" t="s">
        <v>83</v>
      </c>
      <c r="B292" s="24" t="s">
        <v>82</v>
      </c>
      <c r="C292" s="24">
        <v>1</v>
      </c>
      <c r="D292" s="22"/>
      <c r="E292" s="25"/>
      <c r="F292" s="92"/>
    </row>
    <row r="293" spans="1:6" s="9" customFormat="1" ht="13.5">
      <c r="A293" s="11" t="s">
        <v>101</v>
      </c>
      <c r="B293" s="31" t="s">
        <v>102</v>
      </c>
      <c r="C293" s="31">
        <f>SUM(C294:C299)</f>
        <v>10475652</v>
      </c>
      <c r="D293" s="22"/>
      <c r="E293" s="25"/>
      <c r="F293" s="92"/>
    </row>
    <row r="294" spans="1:6" s="8" customFormat="1" ht="13.5">
      <c r="A294" s="12" t="s">
        <v>39</v>
      </c>
      <c r="B294" s="24" t="s">
        <v>35</v>
      </c>
      <c r="C294" s="24">
        <f>7077324+363970+1268303</f>
        <v>8709597</v>
      </c>
      <c r="D294" s="22"/>
      <c r="E294" s="25"/>
      <c r="F294" s="91"/>
    </row>
    <row r="295" spans="1:6" s="9" customFormat="1" ht="13.5">
      <c r="A295" s="12" t="s">
        <v>40</v>
      </c>
      <c r="B295" s="24" t="s">
        <v>37</v>
      </c>
      <c r="C295" s="24">
        <f>317076+1132016</f>
        <v>1449092</v>
      </c>
      <c r="D295" s="22"/>
      <c r="E295" s="25"/>
      <c r="F295" s="91"/>
    </row>
    <row r="296" spans="1:6" s="9" customFormat="1" ht="13.5">
      <c r="A296" s="12" t="s">
        <v>41</v>
      </c>
      <c r="B296" s="24" t="s">
        <v>84</v>
      </c>
      <c r="C296" s="24">
        <v>218089</v>
      </c>
      <c r="D296" s="22"/>
      <c r="E296" s="25"/>
      <c r="F296" s="91"/>
    </row>
    <row r="297" spans="1:6" s="9" customFormat="1" ht="13.5">
      <c r="A297" s="12" t="s">
        <v>42</v>
      </c>
      <c r="B297" s="24" t="s">
        <v>85</v>
      </c>
      <c r="C297" s="24">
        <v>1</v>
      </c>
      <c r="D297" s="22"/>
      <c r="E297" s="25"/>
      <c r="F297" s="91"/>
    </row>
    <row r="298" spans="1:6" s="8" customFormat="1" ht="13.5">
      <c r="A298" s="12" t="s">
        <v>43</v>
      </c>
      <c r="B298" s="24" t="s">
        <v>36</v>
      </c>
      <c r="C298" s="24">
        <f>5644+93228</f>
        <v>98872</v>
      </c>
      <c r="D298" s="22"/>
      <c r="E298" s="25"/>
      <c r="F298" s="91"/>
    </row>
    <row r="299" spans="1:6" s="9" customFormat="1" ht="13.5">
      <c r="A299" s="12" t="s">
        <v>44</v>
      </c>
      <c r="B299" s="24" t="s">
        <v>38</v>
      </c>
      <c r="C299" s="24">
        <v>1</v>
      </c>
      <c r="D299" s="22"/>
      <c r="E299" s="25"/>
      <c r="F299" s="92"/>
    </row>
    <row r="300" spans="1:6" s="9" customFormat="1" ht="14.25" thickBot="1">
      <c r="A300" s="12"/>
      <c r="B300" s="24"/>
      <c r="C300" s="24"/>
      <c r="D300" s="22"/>
      <c r="E300" s="25"/>
      <c r="F300" s="92"/>
    </row>
    <row r="301" spans="1:11" s="146" customFormat="1" ht="14.25" thickBot="1">
      <c r="A301" s="1013" t="s">
        <v>2</v>
      </c>
      <c r="B301" s="1014"/>
      <c r="C301" s="634">
        <f>C302+C304+C306+C308+C310+C317+C320</f>
        <v>1208710</v>
      </c>
      <c r="D301" s="67"/>
      <c r="E301" s="67"/>
      <c r="F301" s="171"/>
      <c r="G301" s="147"/>
      <c r="H301" s="147"/>
      <c r="I301" s="147"/>
      <c r="J301" s="147"/>
      <c r="K301" s="147"/>
    </row>
    <row r="302" spans="1:11" s="146" customFormat="1" ht="13.5" customHeight="1">
      <c r="A302" s="11" t="s">
        <v>103</v>
      </c>
      <c r="B302" s="199" t="s">
        <v>104</v>
      </c>
      <c r="C302" s="63">
        <f>SUM(C303)</f>
        <v>295790</v>
      </c>
      <c r="D302" s="67"/>
      <c r="E302" s="67"/>
      <c r="F302" s="171"/>
      <c r="G302" s="147"/>
      <c r="H302" s="147"/>
      <c r="I302" s="147"/>
      <c r="J302" s="147"/>
      <c r="K302" s="147"/>
    </row>
    <row r="303" spans="1:7" s="42" customFormat="1" ht="13.5" customHeight="1">
      <c r="A303" s="12" t="s">
        <v>46</v>
      </c>
      <c r="B303" s="8" t="s">
        <v>45</v>
      </c>
      <c r="C303" s="24">
        <v>295790</v>
      </c>
      <c r="E303" s="31"/>
      <c r="F303" s="95"/>
      <c r="G303" s="54"/>
    </row>
    <row r="304" spans="1:7" s="42" customFormat="1" ht="13.5" customHeight="1">
      <c r="A304" s="11" t="s">
        <v>105</v>
      </c>
      <c r="B304" s="502" t="s">
        <v>106</v>
      </c>
      <c r="C304" s="31">
        <f>SUM(C305:C305)</f>
        <v>61620</v>
      </c>
      <c r="E304" s="31"/>
      <c r="F304" s="22"/>
      <c r="G304" s="54"/>
    </row>
    <row r="305" spans="1:7" s="42" customFormat="1" ht="13.5" customHeight="1">
      <c r="A305" s="12" t="s">
        <v>86</v>
      </c>
      <c r="B305" s="8" t="s">
        <v>66</v>
      </c>
      <c r="C305" s="24">
        <v>61620</v>
      </c>
      <c r="E305" s="31"/>
      <c r="F305" s="22"/>
      <c r="G305" s="54"/>
    </row>
    <row r="306" spans="1:7" s="42" customFormat="1" ht="13.5" customHeight="1">
      <c r="A306" s="11" t="s">
        <v>107</v>
      </c>
      <c r="B306" s="502" t="s">
        <v>108</v>
      </c>
      <c r="C306" s="31">
        <f>SUM(C307)</f>
        <v>85970</v>
      </c>
      <c r="E306" s="31"/>
      <c r="F306" s="22"/>
      <c r="G306" s="54"/>
    </row>
    <row r="307" spans="1:11" s="146" customFormat="1" ht="13.5">
      <c r="A307" s="12" t="s">
        <v>47</v>
      </c>
      <c r="B307" s="23" t="s">
        <v>48</v>
      </c>
      <c r="C307" s="24">
        <v>85970</v>
      </c>
      <c r="E307" s="67"/>
      <c r="F307" s="67"/>
      <c r="G307" s="147"/>
      <c r="H307" s="147"/>
      <c r="I307" s="147"/>
      <c r="J307" s="147"/>
      <c r="K307" s="147"/>
    </row>
    <row r="308" spans="1:11" s="146" customFormat="1" ht="13.5">
      <c r="A308" s="11" t="s">
        <v>196</v>
      </c>
      <c r="B308" s="25" t="s">
        <v>195</v>
      </c>
      <c r="C308" s="31">
        <f>SUM(C309)</f>
        <v>133350</v>
      </c>
      <c r="E308" s="67"/>
      <c r="F308" s="67"/>
      <c r="G308" s="147"/>
      <c r="H308" s="147"/>
      <c r="I308" s="147"/>
      <c r="J308" s="147"/>
      <c r="K308" s="147"/>
    </row>
    <row r="309" spans="1:11" s="146" customFormat="1" ht="13.5">
      <c r="A309" s="12" t="s">
        <v>194</v>
      </c>
      <c r="B309" s="24" t="s">
        <v>216</v>
      </c>
      <c r="C309" s="24">
        <v>133350</v>
      </c>
      <c r="E309" s="67"/>
      <c r="F309" s="56"/>
      <c r="G309" s="147"/>
      <c r="H309" s="147"/>
      <c r="I309" s="147"/>
      <c r="J309" s="147"/>
      <c r="K309" s="147"/>
    </row>
    <row r="310" spans="1:8" s="71" customFormat="1" ht="13.5" customHeight="1">
      <c r="A310" s="249" t="s">
        <v>119</v>
      </c>
      <c r="B310" s="25" t="s">
        <v>109</v>
      </c>
      <c r="C310" s="31">
        <f>SUM(C311:C316)</f>
        <v>250100</v>
      </c>
      <c r="D310" s="77"/>
      <c r="E310" s="25"/>
      <c r="F310" s="100"/>
      <c r="G310" s="95"/>
      <c r="H310" s="12"/>
    </row>
    <row r="311" spans="1:8" s="71" customFormat="1" ht="13.5" customHeight="1">
      <c r="A311" s="71" t="s">
        <v>149</v>
      </c>
      <c r="B311" s="23" t="s">
        <v>338</v>
      </c>
      <c r="C311" s="24">
        <v>18560</v>
      </c>
      <c r="D311" s="21"/>
      <c r="E311" s="21"/>
      <c r="F311" s="5"/>
      <c r="G311" s="333"/>
      <c r="H311" s="119"/>
    </row>
    <row r="312" spans="1:9" s="289" customFormat="1" ht="13.5" customHeight="1">
      <c r="A312" s="12" t="s">
        <v>189</v>
      </c>
      <c r="B312" s="24" t="s">
        <v>188</v>
      </c>
      <c r="C312" s="24">
        <v>75000</v>
      </c>
      <c r="D312" s="285"/>
      <c r="E312" s="283"/>
      <c r="F312" s="624"/>
      <c r="I312" s="290"/>
    </row>
    <row r="313" spans="1:8" s="71" customFormat="1" ht="13.5" customHeight="1">
      <c r="A313" s="71" t="s">
        <v>641</v>
      </c>
      <c r="B313" s="42" t="s">
        <v>640</v>
      </c>
      <c r="C313" s="24">
        <v>28540</v>
      </c>
      <c r="D313" s="21"/>
      <c r="E313" s="21"/>
      <c r="F313" s="5"/>
      <c r="G313" s="333"/>
      <c r="H313" s="119"/>
    </row>
    <row r="314" spans="1:5" s="65" customFormat="1" ht="13.5">
      <c r="A314" s="71" t="s">
        <v>758</v>
      </c>
      <c r="B314" s="24" t="s">
        <v>753</v>
      </c>
      <c r="C314" s="24">
        <v>23000</v>
      </c>
      <c r="D314" s="77"/>
      <c r="E314" s="25"/>
    </row>
    <row r="315" spans="1:5" s="65" customFormat="1" ht="13.5">
      <c r="A315" s="71" t="s">
        <v>762</v>
      </c>
      <c r="B315" s="24" t="s">
        <v>763</v>
      </c>
      <c r="C315" s="24">
        <v>55000</v>
      </c>
      <c r="D315" s="77"/>
      <c r="E315" s="25"/>
    </row>
    <row r="316" spans="1:5" s="65" customFormat="1" ht="13.5">
      <c r="A316" s="71" t="s">
        <v>754</v>
      </c>
      <c r="B316" s="24" t="s">
        <v>755</v>
      </c>
      <c r="C316" s="24">
        <v>50000</v>
      </c>
      <c r="D316" s="77"/>
      <c r="E316" s="25"/>
    </row>
    <row r="317" spans="1:8" s="71" customFormat="1" ht="13.5" customHeight="1">
      <c r="A317" s="249" t="s">
        <v>124</v>
      </c>
      <c r="B317" s="25" t="s">
        <v>123</v>
      </c>
      <c r="C317" s="31">
        <f>SUM(C318:C319)</f>
        <v>71500</v>
      </c>
      <c r="D317" s="21"/>
      <c r="E317" s="21"/>
      <c r="F317" s="5"/>
      <c r="G317" s="333"/>
      <c r="H317" s="119"/>
    </row>
    <row r="318" spans="1:5" s="65" customFormat="1" ht="13.5">
      <c r="A318" s="12" t="s">
        <v>231</v>
      </c>
      <c r="B318" s="42" t="s">
        <v>230</v>
      </c>
      <c r="C318" s="24">
        <v>44500</v>
      </c>
      <c r="D318" s="56"/>
      <c r="E318" s="56"/>
    </row>
    <row r="319" spans="1:6" s="65" customFormat="1" ht="13.5">
      <c r="A319" s="71" t="s">
        <v>93</v>
      </c>
      <c r="B319" s="23" t="s">
        <v>72</v>
      </c>
      <c r="C319" s="59">
        <v>27000</v>
      </c>
      <c r="D319" s="67"/>
      <c r="E319" s="67"/>
      <c r="F319" s="67"/>
    </row>
    <row r="320" spans="1:6" s="65" customFormat="1" ht="13.5">
      <c r="A320" s="249" t="s">
        <v>150</v>
      </c>
      <c r="B320" s="25" t="s">
        <v>133</v>
      </c>
      <c r="C320" s="63">
        <f>SUM(C321:C323)</f>
        <v>310380</v>
      </c>
      <c r="E320" s="67"/>
      <c r="F320" s="67"/>
    </row>
    <row r="321" spans="1:8" s="8" customFormat="1" ht="13.5" customHeight="1">
      <c r="A321" s="71" t="s">
        <v>151</v>
      </c>
      <c r="B321" s="23" t="s">
        <v>65</v>
      </c>
      <c r="C321" s="24">
        <v>26100</v>
      </c>
      <c r="D321" s="77"/>
      <c r="E321" s="25"/>
      <c r="F321" s="98"/>
      <c r="G321" s="54"/>
      <c r="H321" s="42"/>
    </row>
    <row r="322" spans="1:11" s="146" customFormat="1" ht="13.5">
      <c r="A322" s="71" t="s">
        <v>153</v>
      </c>
      <c r="B322" s="23" t="s">
        <v>133</v>
      </c>
      <c r="C322" s="24">
        <v>212280</v>
      </c>
      <c r="E322" s="67"/>
      <c r="F322" s="67"/>
      <c r="G322" s="147"/>
      <c r="H322" s="147"/>
      <c r="I322" s="147"/>
      <c r="J322" s="147"/>
      <c r="K322" s="147"/>
    </row>
    <row r="323" spans="1:7" s="8" customFormat="1" ht="13.5" customHeight="1">
      <c r="A323" s="12" t="s">
        <v>643</v>
      </c>
      <c r="B323" s="42" t="s">
        <v>642</v>
      </c>
      <c r="C323" s="24">
        <v>72000</v>
      </c>
      <c r="F323" s="100"/>
      <c r="G323" s="9"/>
    </row>
    <row r="324" spans="1:11" s="146" customFormat="1" ht="14.25" thickBot="1">
      <c r="A324" s="71"/>
      <c r="B324" s="23"/>
      <c r="C324" s="23"/>
      <c r="E324" s="67"/>
      <c r="F324" s="67"/>
      <c r="G324" s="147"/>
      <c r="H324" s="147"/>
      <c r="I324" s="147"/>
      <c r="J324" s="147"/>
      <c r="K324" s="147"/>
    </row>
    <row r="325" spans="1:11" s="146" customFormat="1" ht="14.25" thickBot="1">
      <c r="A325" s="1015" t="s">
        <v>3</v>
      </c>
      <c r="B325" s="1016"/>
      <c r="C325" s="635">
        <f>C326+C329+C332+C335+C337+C339</f>
        <v>5555420</v>
      </c>
      <c r="E325" s="67"/>
      <c r="F325" s="67"/>
      <c r="G325" s="147"/>
      <c r="H325" s="147"/>
      <c r="I325" s="147"/>
      <c r="J325" s="147"/>
      <c r="K325" s="147"/>
    </row>
    <row r="326" spans="1:11" s="73" customFormat="1" ht="13.5">
      <c r="A326" s="62" t="s">
        <v>110</v>
      </c>
      <c r="B326" s="199" t="s">
        <v>111</v>
      </c>
      <c r="C326" s="63">
        <f>SUM(C327:C328)</f>
        <v>362150</v>
      </c>
      <c r="E326" s="56"/>
      <c r="F326" s="56"/>
      <c r="G326" s="169"/>
      <c r="H326" s="169"/>
      <c r="I326" s="169"/>
      <c r="J326" s="169"/>
      <c r="K326" s="169"/>
    </row>
    <row r="327" spans="1:7" ht="13.5">
      <c r="A327" s="12" t="s">
        <v>159</v>
      </c>
      <c r="B327" s="100" t="s">
        <v>250</v>
      </c>
      <c r="C327" s="22">
        <v>290000</v>
      </c>
      <c r="E327" s="95"/>
      <c r="G327" s="23"/>
    </row>
    <row r="328" spans="1:6" s="65" customFormat="1" ht="13.5">
      <c r="A328" s="58" t="s">
        <v>52</v>
      </c>
      <c r="B328" s="58" t="s">
        <v>15</v>
      </c>
      <c r="C328" s="59">
        <v>72150</v>
      </c>
      <c r="F328" s="67"/>
    </row>
    <row r="329" spans="1:6" s="65" customFormat="1" ht="13.5">
      <c r="A329" s="506" t="s">
        <v>120</v>
      </c>
      <c r="B329" s="507" t="s">
        <v>121</v>
      </c>
      <c r="C329" s="31">
        <f>SUM(C330:C331)</f>
        <v>247310</v>
      </c>
      <c r="F329" s="67"/>
    </row>
    <row r="330" spans="1:8" s="8" customFormat="1" ht="13.5" customHeight="1">
      <c r="A330" s="58" t="s">
        <v>140</v>
      </c>
      <c r="B330" s="42" t="s">
        <v>141</v>
      </c>
      <c r="C330" s="24">
        <v>142500</v>
      </c>
      <c r="F330" s="78"/>
      <c r="G330" s="25"/>
      <c r="H330" s="91"/>
    </row>
    <row r="331" spans="1:6" s="65" customFormat="1" ht="13.5">
      <c r="A331" s="58" t="s">
        <v>136</v>
      </c>
      <c r="B331" s="58" t="s">
        <v>71</v>
      </c>
      <c r="C331" s="24">
        <v>104810</v>
      </c>
      <c r="F331" s="67"/>
    </row>
    <row r="332" spans="1:6" s="65" customFormat="1" ht="13.5">
      <c r="A332" s="506" t="s">
        <v>112</v>
      </c>
      <c r="B332" s="62" t="s">
        <v>156</v>
      </c>
      <c r="C332" s="63">
        <f>SUM(C333:C334)</f>
        <v>842040</v>
      </c>
      <c r="F332" s="67"/>
    </row>
    <row r="333" spans="1:6" s="65" customFormat="1" ht="13.5">
      <c r="A333" s="69" t="s">
        <v>138</v>
      </c>
      <c r="B333" s="58" t="s">
        <v>810</v>
      </c>
      <c r="C333" s="59">
        <v>7000</v>
      </c>
      <c r="F333" s="67"/>
    </row>
    <row r="334" spans="1:6" s="65" customFormat="1" ht="13.5">
      <c r="A334" s="69" t="s">
        <v>155</v>
      </c>
      <c r="B334" s="69" t="s">
        <v>87</v>
      </c>
      <c r="C334" s="59">
        <v>835040</v>
      </c>
      <c r="F334" s="56"/>
    </row>
    <row r="335" spans="1:6" s="65" customFormat="1" ht="13.5">
      <c r="A335" s="62" t="s">
        <v>113</v>
      </c>
      <c r="B335" s="506" t="s">
        <v>114</v>
      </c>
      <c r="C335" s="63">
        <f>SUM(C336)</f>
        <v>9900</v>
      </c>
      <c r="F335" s="56"/>
    </row>
    <row r="336" spans="1:6" s="65" customFormat="1" ht="13.5">
      <c r="A336" s="58" t="s">
        <v>88</v>
      </c>
      <c r="B336" s="58" t="s">
        <v>64</v>
      </c>
      <c r="C336" s="59">
        <v>9900</v>
      </c>
      <c r="F336" s="56"/>
    </row>
    <row r="337" spans="1:6" s="65" customFormat="1" ht="13.5">
      <c r="A337" s="506" t="s">
        <v>132</v>
      </c>
      <c r="B337" s="506" t="s">
        <v>56</v>
      </c>
      <c r="C337" s="63">
        <f>SUM(C338)</f>
        <v>175500</v>
      </c>
      <c r="E337" s="56"/>
      <c r="F337" s="104"/>
    </row>
    <row r="338" spans="1:6" s="65" customFormat="1" ht="13.5">
      <c r="A338" s="69" t="s">
        <v>55</v>
      </c>
      <c r="B338" s="69" t="s">
        <v>56</v>
      </c>
      <c r="C338" s="59">
        <v>175500</v>
      </c>
      <c r="E338" s="66"/>
      <c r="F338" s="59"/>
    </row>
    <row r="339" spans="1:6" s="65" customFormat="1" ht="13.5">
      <c r="A339" s="506" t="s">
        <v>115</v>
      </c>
      <c r="B339" s="506" t="s">
        <v>8</v>
      </c>
      <c r="C339" s="63">
        <f>SUM(C340:C343)</f>
        <v>3918520</v>
      </c>
      <c r="F339" s="56"/>
    </row>
    <row r="340" spans="1:6" s="65" customFormat="1" ht="13.5">
      <c r="A340" s="69" t="s">
        <v>89</v>
      </c>
      <c r="B340" s="69" t="s">
        <v>8</v>
      </c>
      <c r="C340" s="59">
        <v>2840200</v>
      </c>
      <c r="F340" s="67"/>
    </row>
    <row r="341" spans="1:6" s="65" customFormat="1" ht="13.5">
      <c r="A341" s="69" t="s">
        <v>182</v>
      </c>
      <c r="B341" s="69" t="s">
        <v>50</v>
      </c>
      <c r="C341" s="59">
        <v>34450</v>
      </c>
      <c r="F341" s="67"/>
    </row>
    <row r="342" spans="1:6" s="8" customFormat="1" ht="13.5" customHeight="1">
      <c r="A342" s="12" t="s">
        <v>223</v>
      </c>
      <c r="B342" s="42" t="s">
        <v>222</v>
      </c>
      <c r="C342" s="24">
        <v>51120</v>
      </c>
      <c r="D342" s="218"/>
      <c r="E342" s="9"/>
      <c r="F342" s="194"/>
    </row>
    <row r="343" spans="1:6" s="65" customFormat="1" ht="13.5">
      <c r="A343" s="69" t="s">
        <v>90</v>
      </c>
      <c r="B343" s="69" t="s">
        <v>7</v>
      </c>
      <c r="C343" s="59">
        <v>992750</v>
      </c>
      <c r="E343" s="67"/>
      <c r="F343" s="66"/>
    </row>
    <row r="344" spans="1:11" s="146" customFormat="1" ht="14.25" thickBot="1">
      <c r="A344" s="127"/>
      <c r="B344" s="127"/>
      <c r="C344" s="174"/>
      <c r="D344" s="173"/>
      <c r="E344" s="127"/>
      <c r="F344" s="171"/>
      <c r="G344" s="147"/>
      <c r="H344" s="147"/>
      <c r="I344" s="147"/>
      <c r="J344" s="147"/>
      <c r="K344" s="147"/>
    </row>
    <row r="345" spans="1:6" s="8" customFormat="1" ht="14.25" thickBot="1">
      <c r="A345" s="1007" t="s">
        <v>5</v>
      </c>
      <c r="B345" s="1008"/>
      <c r="C345" s="604">
        <f>C346+C349</f>
        <v>46641000</v>
      </c>
      <c r="D345" s="77"/>
      <c r="E345" s="85"/>
      <c r="F345" s="91"/>
    </row>
    <row r="346" spans="1:6" s="98" customFormat="1" ht="13.5">
      <c r="A346" s="249" t="s">
        <v>126</v>
      </c>
      <c r="B346" s="281" t="s">
        <v>234</v>
      </c>
      <c r="C346" s="32">
        <f>SUM(C347:C348)</f>
        <v>45063000</v>
      </c>
      <c r="D346" s="479"/>
      <c r="E346" s="172"/>
      <c r="F346" s="94"/>
    </row>
    <row r="347" spans="1:8" s="8" customFormat="1" ht="13.5">
      <c r="A347" s="71" t="s">
        <v>233</v>
      </c>
      <c r="B347" s="71" t="s">
        <v>232</v>
      </c>
      <c r="C347" s="24">
        <f>51908000-7000000</f>
        <v>44908000</v>
      </c>
      <c r="E347" s="82"/>
      <c r="F347" s="78"/>
      <c r="G347" s="54"/>
      <c r="H347" s="42"/>
    </row>
    <row r="348" spans="1:8" s="8" customFormat="1" ht="13.5">
      <c r="A348" s="12" t="s">
        <v>63</v>
      </c>
      <c r="B348" s="42" t="s">
        <v>550</v>
      </c>
      <c r="C348" s="24">
        <v>155000</v>
      </c>
      <c r="D348" s="78"/>
      <c r="E348" s="82"/>
      <c r="F348" s="94"/>
      <c r="G348" s="54"/>
      <c r="H348" s="42"/>
    </row>
    <row r="349" spans="1:8" s="8" customFormat="1" ht="13.5">
      <c r="A349" s="249" t="s">
        <v>128</v>
      </c>
      <c r="B349" s="281" t="s">
        <v>129</v>
      </c>
      <c r="C349" s="31">
        <f>SUM(C350)</f>
        <v>1578000</v>
      </c>
      <c r="D349" s="78"/>
      <c r="E349" s="82"/>
      <c r="F349" s="94"/>
      <c r="G349" s="54"/>
      <c r="H349" s="42"/>
    </row>
    <row r="350" spans="1:8" s="8" customFormat="1" ht="13.5">
      <c r="A350" s="71" t="s">
        <v>144</v>
      </c>
      <c r="B350" s="42" t="s">
        <v>257</v>
      </c>
      <c r="C350" s="24">
        <v>1578000</v>
      </c>
      <c r="D350" s="78"/>
      <c r="E350" s="82"/>
      <c r="F350" s="94"/>
      <c r="G350" s="54"/>
      <c r="H350" s="42"/>
    </row>
    <row r="351" spans="1:6" s="65" customFormat="1" ht="14.25" thickBot="1">
      <c r="A351" s="69"/>
      <c r="B351" s="69"/>
      <c r="C351" s="59"/>
      <c r="D351" s="66"/>
      <c r="E351" s="67"/>
      <c r="F351" s="67"/>
    </row>
    <row r="352" spans="1:11" s="146" customFormat="1" ht="14.25" thickBot="1">
      <c r="A352" s="1017" t="s">
        <v>4</v>
      </c>
      <c r="B352" s="1018"/>
      <c r="C352" s="637">
        <f>C353+C357</f>
        <v>187920</v>
      </c>
      <c r="D352" s="67"/>
      <c r="E352" s="67"/>
      <c r="F352" s="171"/>
      <c r="G352" s="147"/>
      <c r="H352" s="147"/>
      <c r="I352" s="147"/>
      <c r="J352" s="147"/>
      <c r="K352" s="147"/>
    </row>
    <row r="353" spans="1:11" s="73" customFormat="1" ht="13.5" customHeight="1">
      <c r="A353" s="249" t="s">
        <v>116</v>
      </c>
      <c r="B353" s="199" t="s">
        <v>117</v>
      </c>
      <c r="C353" s="63">
        <f>SUM(C354:C356)</f>
        <v>131920</v>
      </c>
      <c r="D353" s="56"/>
      <c r="E353" s="56"/>
      <c r="F353" s="170"/>
      <c r="G353" s="169"/>
      <c r="H353" s="169"/>
      <c r="I353" s="169"/>
      <c r="J353" s="169"/>
      <c r="K353" s="169"/>
    </row>
    <row r="354" spans="1:8" s="8" customFormat="1" ht="13.5" customHeight="1">
      <c r="A354" s="71" t="s">
        <v>91</v>
      </c>
      <c r="B354" s="23" t="s">
        <v>9</v>
      </c>
      <c r="C354" s="24">
        <v>34920</v>
      </c>
      <c r="D354" s="77"/>
      <c r="E354" s="25"/>
      <c r="F354" s="94"/>
      <c r="G354" s="54"/>
      <c r="H354" s="42"/>
    </row>
    <row r="355" spans="1:8" s="8" customFormat="1" ht="13.5" customHeight="1">
      <c r="A355" s="12" t="s">
        <v>57</v>
      </c>
      <c r="B355" s="24" t="s">
        <v>58</v>
      </c>
      <c r="C355" s="24">
        <v>67000</v>
      </c>
      <c r="D355" s="77"/>
      <c r="E355" s="25"/>
      <c r="F355" s="53"/>
      <c r="G355" s="72"/>
      <c r="H355" s="42"/>
    </row>
    <row r="356" spans="1:8" s="8" customFormat="1" ht="13.5" customHeight="1">
      <c r="A356" s="71" t="s">
        <v>756</v>
      </c>
      <c r="B356" s="23" t="s">
        <v>757</v>
      </c>
      <c r="C356" s="24">
        <v>30000</v>
      </c>
      <c r="D356" s="77"/>
      <c r="E356" s="25"/>
      <c r="F356" s="98"/>
      <c r="G356" s="54"/>
      <c r="H356" s="42"/>
    </row>
    <row r="357" spans="1:8" s="8" customFormat="1" ht="13.5" customHeight="1">
      <c r="A357" s="249" t="s">
        <v>165</v>
      </c>
      <c r="B357" s="25" t="s">
        <v>134</v>
      </c>
      <c r="C357" s="31">
        <f>SUM(C358)</f>
        <v>56000</v>
      </c>
      <c r="D357" s="77"/>
      <c r="E357" s="25"/>
      <c r="F357" s="53"/>
      <c r="G357" s="72"/>
      <c r="H357" s="42"/>
    </row>
    <row r="358" spans="1:8" s="8" customFormat="1" ht="13.5" customHeight="1">
      <c r="A358" s="71" t="s">
        <v>166</v>
      </c>
      <c r="B358" s="23" t="s">
        <v>51</v>
      </c>
      <c r="C358" s="24">
        <v>56000</v>
      </c>
      <c r="D358" s="77"/>
      <c r="E358" s="25"/>
      <c r="F358" s="94"/>
      <c r="G358" s="54"/>
      <c r="H358" s="42"/>
    </row>
    <row r="359" spans="1:8" s="8" customFormat="1" ht="13.5" customHeight="1">
      <c r="A359" s="71"/>
      <c r="B359" s="23"/>
      <c r="C359" s="23"/>
      <c r="D359" s="77"/>
      <c r="E359" s="25"/>
      <c r="F359" s="94"/>
      <c r="G359" s="54"/>
      <c r="H359" s="42"/>
    </row>
    <row r="360" spans="1:10" s="475" customFormat="1" ht="12.75" customHeight="1" thickBot="1">
      <c r="A360" s="476"/>
      <c r="B360" s="469"/>
      <c r="C360" s="470"/>
      <c r="D360" s="471"/>
      <c r="E360" s="472"/>
      <c r="F360" s="473"/>
      <c r="G360" s="474"/>
      <c r="H360" s="474"/>
      <c r="I360" s="474"/>
      <c r="J360" s="474"/>
    </row>
    <row r="361" spans="1:6" s="13" customFormat="1" ht="13.5" customHeight="1">
      <c r="A361" s="583" t="s">
        <v>600</v>
      </c>
      <c r="B361" s="585"/>
      <c r="C361" s="625"/>
      <c r="D361" s="654" t="s">
        <v>6</v>
      </c>
      <c r="E361" s="761">
        <v>1805</v>
      </c>
      <c r="F361" s="212"/>
    </row>
    <row r="362" spans="1:6" s="13" customFormat="1" ht="13.5" customHeight="1" thickBot="1">
      <c r="A362" s="587"/>
      <c r="B362" s="662"/>
      <c r="C362" s="628"/>
      <c r="D362" s="655"/>
      <c r="E362" s="656"/>
      <c r="F362" s="212"/>
    </row>
    <row r="363" spans="1:6" s="13" customFormat="1" ht="13.5" customHeight="1">
      <c r="A363" s="979" t="s">
        <v>991</v>
      </c>
      <c r="B363" s="980"/>
      <c r="C363" s="980"/>
      <c r="D363" s="980"/>
      <c r="E363" s="981"/>
      <c r="F363" s="212"/>
    </row>
    <row r="364" spans="1:6" s="13" customFormat="1" ht="13.5" customHeight="1">
      <c r="A364" s="982"/>
      <c r="B364" s="983"/>
      <c r="C364" s="983"/>
      <c r="D364" s="983"/>
      <c r="E364" s="984"/>
      <c r="F364" s="212"/>
    </row>
    <row r="365" spans="1:6" s="13" customFormat="1" ht="13.5" customHeight="1">
      <c r="A365" s="982"/>
      <c r="B365" s="983"/>
      <c r="C365" s="983"/>
      <c r="D365" s="983"/>
      <c r="E365" s="984"/>
      <c r="F365" s="212"/>
    </row>
    <row r="366" spans="1:6" s="13" customFormat="1" ht="13.5" customHeight="1">
      <c r="A366" s="982"/>
      <c r="B366" s="983"/>
      <c r="C366" s="983"/>
      <c r="D366" s="983"/>
      <c r="E366" s="984"/>
      <c r="F366" s="212"/>
    </row>
    <row r="367" spans="1:6" s="13" customFormat="1" ht="13.5" customHeight="1">
      <c r="A367" s="982"/>
      <c r="B367" s="983"/>
      <c r="C367" s="983"/>
      <c r="D367" s="983"/>
      <c r="E367" s="984"/>
      <c r="F367" s="212"/>
    </row>
    <row r="368" spans="1:6" s="13" customFormat="1" ht="13.5" customHeight="1">
      <c r="A368" s="982"/>
      <c r="B368" s="983"/>
      <c r="C368" s="983"/>
      <c r="D368" s="983"/>
      <c r="E368" s="984"/>
      <c r="F368" s="212"/>
    </row>
    <row r="369" spans="1:6" s="13" customFormat="1" ht="13.5" customHeight="1">
      <c r="A369" s="982"/>
      <c r="B369" s="983"/>
      <c r="C369" s="983"/>
      <c r="D369" s="983"/>
      <c r="E369" s="984"/>
      <c r="F369" s="212"/>
    </row>
    <row r="370" spans="1:6" s="13" customFormat="1" ht="13.5" customHeight="1">
      <c r="A370" s="982"/>
      <c r="B370" s="983"/>
      <c r="C370" s="983"/>
      <c r="D370" s="983"/>
      <c r="E370" s="984"/>
      <c r="F370" s="212"/>
    </row>
    <row r="371" spans="1:6" s="13" customFormat="1" ht="24" customHeight="1" thickBot="1">
      <c r="A371" s="982"/>
      <c r="B371" s="983"/>
      <c r="C371" s="983"/>
      <c r="D371" s="983"/>
      <c r="E371" s="984"/>
      <c r="F371" s="212"/>
    </row>
    <row r="372" spans="1:6" s="13" customFormat="1" ht="13.5" customHeight="1">
      <c r="A372" s="116" t="s">
        <v>809</v>
      </c>
      <c r="B372" s="166"/>
      <c r="C372" s="400"/>
      <c r="D372" s="486"/>
      <c r="E372" s="164"/>
      <c r="F372" s="212"/>
    </row>
    <row r="373" spans="1:6" s="13" customFormat="1" ht="13.5" customHeight="1">
      <c r="A373" s="40" t="s">
        <v>520</v>
      </c>
      <c r="B373" s="138"/>
      <c r="C373" s="24"/>
      <c r="D373" s="215"/>
      <c r="E373" s="136"/>
      <c r="F373" s="212"/>
    </row>
    <row r="374" spans="1:6" s="13" customFormat="1" ht="13.5" customHeight="1">
      <c r="A374" s="40" t="s">
        <v>992</v>
      </c>
      <c r="B374" s="138"/>
      <c r="C374" s="24"/>
      <c r="D374" s="215"/>
      <c r="E374" s="136"/>
      <c r="F374" s="212"/>
    </row>
    <row r="375" spans="1:6" s="13" customFormat="1" ht="13.5" customHeight="1" thickBot="1">
      <c r="A375" s="75" t="s">
        <v>11</v>
      </c>
      <c r="B375" s="134"/>
      <c r="C375" s="360"/>
      <c r="D375" s="487"/>
      <c r="E375" s="132"/>
      <c r="F375" s="212"/>
    </row>
    <row r="376" spans="1:6" s="13" customFormat="1" ht="13.5" customHeight="1" thickBot="1">
      <c r="A376" s="697" t="s">
        <v>0</v>
      </c>
      <c r="B376" s="716"/>
      <c r="C376" s="699" t="s">
        <v>201</v>
      </c>
      <c r="D376" s="717"/>
      <c r="E376" s="707">
        <f>+C378+C401+C420+C443</f>
        <v>29666602</v>
      </c>
      <c r="F376" s="221"/>
    </row>
    <row r="377" spans="1:6" s="6" customFormat="1" ht="13.5" customHeight="1" thickBot="1">
      <c r="A377" s="11"/>
      <c r="B377" s="168"/>
      <c r="C377" s="31"/>
      <c r="D377" s="477"/>
      <c r="E377" s="44"/>
      <c r="F377" s="211"/>
    </row>
    <row r="378" spans="1:6" s="6" customFormat="1" ht="13.5" customHeight="1" thickBot="1">
      <c r="A378" s="1136" t="s">
        <v>1</v>
      </c>
      <c r="B378" s="1137"/>
      <c r="C378" s="601">
        <f>C379+C386+C393</f>
        <v>11792792</v>
      </c>
      <c r="D378" s="219"/>
      <c r="E378" s="478"/>
      <c r="F378" s="211"/>
    </row>
    <row r="379" spans="1:11" s="175" customFormat="1" ht="13.5">
      <c r="A379" s="11" t="s">
        <v>97</v>
      </c>
      <c r="B379" s="199" t="s">
        <v>98</v>
      </c>
      <c r="C379" s="63">
        <f>SUM(C380:C385)</f>
        <v>640529</v>
      </c>
      <c r="D379" s="63"/>
      <c r="F379" s="858"/>
      <c r="G379" s="176"/>
      <c r="H379" s="176"/>
      <c r="I379" s="176"/>
      <c r="J379" s="176"/>
      <c r="K379" s="176"/>
    </row>
    <row r="380" spans="1:12" s="8" customFormat="1" ht="12.75" customHeight="1">
      <c r="A380" s="12" t="s">
        <v>23</v>
      </c>
      <c r="B380" s="24" t="s">
        <v>20</v>
      </c>
      <c r="C380" s="24">
        <f>376659+51588+67799</f>
        <v>496046</v>
      </c>
      <c r="D380" s="22"/>
      <c r="J380" s="444"/>
      <c r="K380" s="444"/>
      <c r="L380" s="444"/>
    </row>
    <row r="381" spans="1:6" s="9" customFormat="1" ht="12.75" customHeight="1">
      <c r="A381" s="12" t="s">
        <v>24</v>
      </c>
      <c r="B381" s="24" t="s">
        <v>22</v>
      </c>
      <c r="C381" s="24">
        <f>60266+16950</f>
        <v>77216</v>
      </c>
      <c r="D381" s="22"/>
      <c r="F381" s="23"/>
    </row>
    <row r="382" spans="1:6" s="9" customFormat="1" ht="12.75" customHeight="1">
      <c r="A382" s="12" t="s">
        <v>25</v>
      </c>
      <c r="B382" s="24" t="s">
        <v>76</v>
      </c>
      <c r="C382" s="24">
        <f>55000+12264</f>
        <v>67264</v>
      </c>
      <c r="D382" s="22"/>
      <c r="F382" s="23"/>
    </row>
    <row r="383" spans="1:6" s="9" customFormat="1" ht="12.75" customHeight="1">
      <c r="A383" s="12" t="s">
        <v>26</v>
      </c>
      <c r="B383" s="24" t="s">
        <v>77</v>
      </c>
      <c r="C383" s="24">
        <v>1</v>
      </c>
      <c r="D383" s="22"/>
      <c r="F383" s="23"/>
    </row>
    <row r="384" spans="1:6" s="8" customFormat="1" ht="12.75" customHeight="1">
      <c r="A384" s="12" t="s">
        <v>27</v>
      </c>
      <c r="B384" s="24" t="s">
        <v>21</v>
      </c>
      <c r="C384" s="24">
        <v>1</v>
      </c>
      <c r="D384" s="22"/>
      <c r="F384" s="25"/>
    </row>
    <row r="385" spans="1:6" s="9" customFormat="1" ht="12.75" customHeight="1">
      <c r="A385" s="12" t="s">
        <v>28</v>
      </c>
      <c r="B385" s="24" t="s">
        <v>19</v>
      </c>
      <c r="C385" s="24">
        <v>1</v>
      </c>
      <c r="D385" s="22"/>
      <c r="F385" s="25"/>
    </row>
    <row r="386" spans="1:6" s="9" customFormat="1" ht="12.75" customHeight="1">
      <c r="A386" s="11" t="s">
        <v>99</v>
      </c>
      <c r="B386" s="31" t="s">
        <v>100</v>
      </c>
      <c r="C386" s="31">
        <f>SUM(C387:C392)</f>
        <v>8177704</v>
      </c>
      <c r="D386" s="22"/>
      <c r="F386" s="25"/>
    </row>
    <row r="387" spans="1:8" s="8" customFormat="1" ht="12.75" customHeight="1">
      <c r="A387" s="12" t="s">
        <v>30</v>
      </c>
      <c r="B387" s="24" t="s">
        <v>78</v>
      </c>
      <c r="C387" s="24">
        <f>1129523+314377+6275125-1000000</f>
        <v>6719025</v>
      </c>
      <c r="D387" s="22"/>
      <c r="F387" s="25"/>
      <c r="G387" s="42"/>
      <c r="H387" s="42"/>
    </row>
    <row r="388" spans="1:6" s="9" customFormat="1" ht="12.75" customHeight="1">
      <c r="A388" s="12" t="s">
        <v>31</v>
      </c>
      <c r="B388" s="24" t="s">
        <v>79</v>
      </c>
      <c r="C388" s="24">
        <f>1004020+282381</f>
        <v>1286401</v>
      </c>
      <c r="D388" s="22"/>
      <c r="F388" s="25"/>
    </row>
    <row r="389" spans="1:6" s="9" customFormat="1" ht="12.75" customHeight="1">
      <c r="A389" s="12" t="s">
        <v>32</v>
      </c>
      <c r="B389" s="24" t="s">
        <v>80</v>
      </c>
      <c r="C389" s="24">
        <v>172275</v>
      </c>
      <c r="D389" s="22"/>
      <c r="F389" s="25"/>
    </row>
    <row r="390" spans="1:6" s="9" customFormat="1" ht="12.75" customHeight="1">
      <c r="A390" s="12" t="s">
        <v>33</v>
      </c>
      <c r="B390" s="24" t="s">
        <v>81</v>
      </c>
      <c r="C390" s="24">
        <v>1</v>
      </c>
      <c r="D390" s="22"/>
      <c r="F390" s="25"/>
    </row>
    <row r="391" spans="1:6" s="8" customFormat="1" ht="12.75" customHeight="1">
      <c r="A391" s="12" t="s">
        <v>34</v>
      </c>
      <c r="B391" s="24" t="s">
        <v>29</v>
      </c>
      <c r="C391" s="24">
        <v>1</v>
      </c>
      <c r="D391" s="479"/>
      <c r="F391" s="25"/>
    </row>
    <row r="392" spans="1:6" s="9" customFormat="1" ht="12.75" customHeight="1">
      <c r="A392" s="12" t="s">
        <v>83</v>
      </c>
      <c r="B392" s="24" t="s">
        <v>82</v>
      </c>
      <c r="C392" s="24">
        <v>1</v>
      </c>
      <c r="D392" s="22"/>
      <c r="F392" s="25"/>
    </row>
    <row r="393" spans="1:6" s="9" customFormat="1" ht="12.75" customHeight="1">
      <c r="A393" s="11" t="s">
        <v>101</v>
      </c>
      <c r="B393" s="31" t="s">
        <v>102</v>
      </c>
      <c r="C393" s="31">
        <f>SUM(C394:C399)</f>
        <v>2974559</v>
      </c>
      <c r="D393" s="22"/>
      <c r="F393" s="25"/>
    </row>
    <row r="394" spans="1:4" s="8" customFormat="1" ht="12.75" customHeight="1">
      <c r="A394" s="12" t="s">
        <v>39</v>
      </c>
      <c r="B394" s="24" t="s">
        <v>35</v>
      </c>
      <c r="C394" s="24">
        <f>367948+94698+2044158</f>
        <v>2506804</v>
      </c>
      <c r="D394" s="22"/>
    </row>
    <row r="395" spans="1:6" s="9" customFormat="1" ht="12.75" customHeight="1">
      <c r="A395" s="12" t="s">
        <v>40</v>
      </c>
      <c r="B395" s="24" t="s">
        <v>37</v>
      </c>
      <c r="C395" s="24">
        <f>327065+91989</f>
        <v>419054</v>
      </c>
      <c r="D395" s="22"/>
      <c r="F395" s="23"/>
    </row>
    <row r="396" spans="1:6" s="9" customFormat="1" ht="12.75" customHeight="1">
      <c r="A396" s="12" t="s">
        <v>41</v>
      </c>
      <c r="B396" s="24" t="s">
        <v>84</v>
      </c>
      <c r="C396" s="24">
        <v>48698</v>
      </c>
      <c r="D396" s="22"/>
      <c r="E396" s="25"/>
      <c r="F396" s="91"/>
    </row>
    <row r="397" spans="1:6" s="9" customFormat="1" ht="12.75" customHeight="1">
      <c r="A397" s="12" t="s">
        <v>42</v>
      </c>
      <c r="B397" s="24" t="s">
        <v>85</v>
      </c>
      <c r="C397" s="24">
        <v>1</v>
      </c>
      <c r="D397" s="22"/>
      <c r="E397" s="25"/>
      <c r="F397" s="91"/>
    </row>
    <row r="398" spans="1:6" s="8" customFormat="1" ht="12.75" customHeight="1">
      <c r="A398" s="12" t="s">
        <v>43</v>
      </c>
      <c r="B398" s="24" t="s">
        <v>36</v>
      </c>
      <c r="C398" s="24">
        <v>1</v>
      </c>
      <c r="D398" s="22"/>
      <c r="E398" s="25"/>
      <c r="F398" s="91"/>
    </row>
    <row r="399" spans="1:6" s="9" customFormat="1" ht="12.75" customHeight="1">
      <c r="A399" s="12" t="s">
        <v>44</v>
      </c>
      <c r="B399" s="24" t="s">
        <v>38</v>
      </c>
      <c r="C399" s="24">
        <v>1</v>
      </c>
      <c r="D399" s="22"/>
      <c r="E399" s="25"/>
      <c r="F399" s="92"/>
    </row>
    <row r="400" spans="1:8" s="9" customFormat="1" ht="12.75" customHeight="1" thickBot="1">
      <c r="A400" s="12"/>
      <c r="B400" s="24"/>
      <c r="C400" s="24"/>
      <c r="D400" s="378"/>
      <c r="E400" s="379"/>
      <c r="F400" s="480"/>
      <c r="G400" s="481"/>
      <c r="H400" s="72"/>
    </row>
    <row r="401" spans="1:6" s="8" customFormat="1" ht="13.5" customHeight="1" thickBot="1">
      <c r="A401" s="992" t="s">
        <v>2</v>
      </c>
      <c r="B401" s="993"/>
      <c r="C401" s="658">
        <f>C402+C404+C406+C408+C413+C415</f>
        <v>385840</v>
      </c>
      <c r="D401" s="67"/>
      <c r="E401" s="9"/>
      <c r="F401" s="194"/>
    </row>
    <row r="402" spans="1:5" s="98" customFormat="1" ht="13.5" customHeight="1">
      <c r="A402" s="11" t="s">
        <v>103</v>
      </c>
      <c r="B402" s="199" t="s">
        <v>104</v>
      </c>
      <c r="C402" s="32">
        <f>SUM(C403)</f>
        <v>87620</v>
      </c>
      <c r="D402" s="94"/>
      <c r="E402" s="150"/>
    </row>
    <row r="403" spans="1:6" s="98" customFormat="1" ht="13.5" customHeight="1">
      <c r="A403" s="12" t="s">
        <v>46</v>
      </c>
      <c r="B403" s="42" t="s">
        <v>160</v>
      </c>
      <c r="C403" s="22">
        <v>87620</v>
      </c>
      <c r="E403" s="150"/>
      <c r="F403" s="94"/>
    </row>
    <row r="404" spans="1:6" s="98" customFormat="1" ht="13.5" customHeight="1">
      <c r="A404" s="11" t="s">
        <v>105</v>
      </c>
      <c r="B404" s="502" t="s">
        <v>106</v>
      </c>
      <c r="C404" s="32">
        <f>SUM(C405:C405)</f>
        <v>8300</v>
      </c>
      <c r="E404" s="150"/>
      <c r="F404" s="94"/>
    </row>
    <row r="405" spans="1:8" s="65" customFormat="1" ht="13.5">
      <c r="A405" s="12" t="s">
        <v>86</v>
      </c>
      <c r="B405" s="8" t="s">
        <v>66</v>
      </c>
      <c r="C405" s="59">
        <v>8300</v>
      </c>
      <c r="E405" s="461"/>
      <c r="F405" s="461"/>
      <c r="G405" s="55"/>
      <c r="H405" s="55"/>
    </row>
    <row r="406" spans="1:8" s="65" customFormat="1" ht="13.5">
      <c r="A406" s="11" t="s">
        <v>107</v>
      </c>
      <c r="B406" s="502" t="s">
        <v>108</v>
      </c>
      <c r="C406" s="63">
        <f>SUM(C407)</f>
        <v>122540</v>
      </c>
      <c r="E406" s="461"/>
      <c r="F406" s="461"/>
      <c r="G406" s="55"/>
      <c r="H406" s="55"/>
    </row>
    <row r="407" spans="1:8" s="65" customFormat="1" ht="13.5">
      <c r="A407" s="12" t="s">
        <v>47</v>
      </c>
      <c r="B407" s="23" t="s">
        <v>48</v>
      </c>
      <c r="C407" s="24">
        <v>122540</v>
      </c>
      <c r="E407" s="461"/>
      <c r="F407" s="467"/>
      <c r="G407" s="482"/>
      <c r="H407" s="55"/>
    </row>
    <row r="408" spans="1:8" s="65" customFormat="1" ht="13.5">
      <c r="A408" s="249" t="s">
        <v>119</v>
      </c>
      <c r="B408" s="25" t="s">
        <v>109</v>
      </c>
      <c r="C408" s="31">
        <f>SUM(C409:C412)</f>
        <v>71140</v>
      </c>
      <c r="E408" s="461"/>
      <c r="F408" s="461"/>
      <c r="G408" s="482"/>
      <c r="H408" s="55"/>
    </row>
    <row r="409" spans="1:8" s="65" customFormat="1" ht="13.5">
      <c r="A409" s="71" t="s">
        <v>149</v>
      </c>
      <c r="B409" s="24" t="s">
        <v>69</v>
      </c>
      <c r="C409" s="59">
        <v>8140</v>
      </c>
      <c r="E409" s="461"/>
      <c r="F409" s="461"/>
      <c r="G409" s="482"/>
      <c r="H409" s="55"/>
    </row>
    <row r="410" spans="1:5" s="65" customFormat="1" ht="13.5">
      <c r="A410" s="71" t="s">
        <v>758</v>
      </c>
      <c r="B410" s="24" t="s">
        <v>753</v>
      </c>
      <c r="C410" s="24">
        <v>23000</v>
      </c>
      <c r="D410" s="77"/>
      <c r="E410" s="25"/>
    </row>
    <row r="411" spans="1:5" s="65" customFormat="1" ht="13.5">
      <c r="A411" s="71" t="s">
        <v>762</v>
      </c>
      <c r="B411" s="24" t="s">
        <v>763</v>
      </c>
      <c r="C411" s="24">
        <v>25000</v>
      </c>
      <c r="D411" s="77"/>
      <c r="E411" s="25"/>
    </row>
    <row r="412" spans="1:5" s="65" customFormat="1" ht="13.5">
      <c r="A412" s="71" t="s">
        <v>754</v>
      </c>
      <c r="B412" s="24" t="s">
        <v>755</v>
      </c>
      <c r="C412" s="24">
        <v>15000</v>
      </c>
      <c r="D412" s="77"/>
      <c r="E412" s="25"/>
    </row>
    <row r="413" spans="1:8" s="65" customFormat="1" ht="13.5">
      <c r="A413" s="11" t="s">
        <v>124</v>
      </c>
      <c r="B413" s="25" t="s">
        <v>521</v>
      </c>
      <c r="C413" s="63">
        <f>SUM(C414)</f>
        <v>8150</v>
      </c>
      <c r="D413" s="461"/>
      <c r="E413" s="461"/>
      <c r="F413" s="461"/>
      <c r="G413" s="482"/>
      <c r="H413" s="55"/>
    </row>
    <row r="414" spans="1:8" s="65" customFormat="1" ht="13.5">
      <c r="A414" s="71" t="s">
        <v>522</v>
      </c>
      <c r="B414" s="24" t="s">
        <v>72</v>
      </c>
      <c r="C414" s="59">
        <v>8150</v>
      </c>
      <c r="D414" s="461"/>
      <c r="E414" s="461"/>
      <c r="F414" s="461"/>
      <c r="G414" s="482"/>
      <c r="H414" s="55"/>
    </row>
    <row r="415" spans="1:8" s="65" customFormat="1" ht="13.5">
      <c r="A415" s="249" t="s">
        <v>150</v>
      </c>
      <c r="B415" s="25" t="s">
        <v>133</v>
      </c>
      <c r="C415" s="63">
        <f>SUM(C416:C418)</f>
        <v>88090</v>
      </c>
      <c r="D415" s="461"/>
      <c r="E415" s="461"/>
      <c r="F415" s="461"/>
      <c r="G415" s="482"/>
      <c r="H415" s="55"/>
    </row>
    <row r="416" spans="1:8" s="5" customFormat="1" ht="13.5">
      <c r="A416" s="71" t="s">
        <v>151</v>
      </c>
      <c r="B416" s="24" t="s">
        <v>65</v>
      </c>
      <c r="C416" s="24">
        <v>15180</v>
      </c>
      <c r="D416" s="336"/>
      <c r="E416" s="336"/>
      <c r="F416" s="336"/>
      <c r="G416" s="374"/>
      <c r="H416" s="142"/>
    </row>
    <row r="417" spans="1:8" s="65" customFormat="1" ht="13.5">
      <c r="A417" s="71" t="s">
        <v>154</v>
      </c>
      <c r="B417" s="23" t="s">
        <v>125</v>
      </c>
      <c r="C417" s="59">
        <v>28510</v>
      </c>
      <c r="D417" s="461"/>
      <c r="E417" s="461"/>
      <c r="F417" s="461"/>
      <c r="G417" s="482"/>
      <c r="H417" s="55"/>
    </row>
    <row r="418" spans="1:7" s="8" customFormat="1" ht="13.5" customHeight="1">
      <c r="A418" s="12" t="s">
        <v>643</v>
      </c>
      <c r="B418" s="42" t="s">
        <v>642</v>
      </c>
      <c r="C418" s="24">
        <v>44400</v>
      </c>
      <c r="F418" s="100"/>
      <c r="G418" s="9"/>
    </row>
    <row r="419" spans="1:8" s="65" customFormat="1" ht="14.25" thickBot="1">
      <c r="A419" s="71"/>
      <c r="B419" s="23"/>
      <c r="C419" s="66"/>
      <c r="D419" s="461"/>
      <c r="E419" s="461"/>
      <c r="F419" s="461"/>
      <c r="G419" s="482"/>
      <c r="H419" s="55"/>
    </row>
    <row r="420" spans="1:6" s="8" customFormat="1" ht="13.5" customHeight="1" thickBot="1">
      <c r="A420" s="994" t="s">
        <v>3</v>
      </c>
      <c r="B420" s="995"/>
      <c r="C420" s="659">
        <f>C421+C423+C426+C429+C432+C437</f>
        <v>17375490</v>
      </c>
      <c r="D420" s="67"/>
      <c r="E420" s="9"/>
      <c r="F420" s="194"/>
    </row>
    <row r="421" spans="1:5" s="98" customFormat="1" ht="13.5" customHeight="1">
      <c r="A421" s="506" t="s">
        <v>110</v>
      </c>
      <c r="B421" s="281" t="s">
        <v>111</v>
      </c>
      <c r="C421" s="32">
        <f>SUM(C422)</f>
        <v>45670</v>
      </c>
      <c r="D421" s="94"/>
      <c r="E421" s="150"/>
    </row>
    <row r="422" spans="1:8" s="8" customFormat="1" ht="13.5" customHeight="1">
      <c r="A422" s="71" t="s">
        <v>52</v>
      </c>
      <c r="B422" s="24" t="s">
        <v>15</v>
      </c>
      <c r="C422" s="24">
        <v>45670</v>
      </c>
      <c r="E422" s="336"/>
      <c r="F422" s="340"/>
      <c r="G422" s="481"/>
      <c r="H422" s="54"/>
    </row>
    <row r="423" spans="1:8" s="8" customFormat="1" ht="13.5" customHeight="1">
      <c r="A423" s="506" t="s">
        <v>112</v>
      </c>
      <c r="B423" s="62" t="s">
        <v>156</v>
      </c>
      <c r="C423" s="31">
        <f>SUM(C424:C425)</f>
        <v>711900</v>
      </c>
      <c r="E423" s="336"/>
      <c r="F423" s="336"/>
      <c r="G423" s="481"/>
      <c r="H423" s="54"/>
    </row>
    <row r="424" spans="1:8" s="8" customFormat="1" ht="13.5" customHeight="1">
      <c r="A424" s="69" t="s">
        <v>138</v>
      </c>
      <c r="B424" s="58" t="s">
        <v>810</v>
      </c>
      <c r="C424" s="24">
        <v>9600</v>
      </c>
      <c r="E424" s="336"/>
      <c r="F424" s="336"/>
      <c r="G424" s="481"/>
      <c r="H424" s="54"/>
    </row>
    <row r="425" spans="1:8" s="8" customFormat="1" ht="13.5" customHeight="1">
      <c r="A425" s="69" t="s">
        <v>155</v>
      </c>
      <c r="B425" s="58" t="s">
        <v>523</v>
      </c>
      <c r="C425" s="24">
        <v>702300</v>
      </c>
      <c r="E425" s="336"/>
      <c r="F425" s="340"/>
      <c r="G425" s="481"/>
      <c r="H425" s="54"/>
    </row>
    <row r="426" spans="1:8" s="8" customFormat="1" ht="13.5" customHeight="1">
      <c r="A426" s="62" t="s">
        <v>113</v>
      </c>
      <c r="B426" s="506" t="s">
        <v>114</v>
      </c>
      <c r="C426" s="31">
        <f>SUM(C427:C428)</f>
        <v>394200</v>
      </c>
      <c r="E426" s="336"/>
      <c r="F426" s="336"/>
      <c r="G426" s="481"/>
      <c r="H426" s="54"/>
    </row>
    <row r="427" spans="1:8" s="8" customFormat="1" ht="13.5" customHeight="1">
      <c r="A427" s="58" t="s">
        <v>88</v>
      </c>
      <c r="B427" s="58" t="s">
        <v>64</v>
      </c>
      <c r="C427" s="24">
        <v>278000</v>
      </c>
      <c r="E427" s="335"/>
      <c r="F427" s="483"/>
      <c r="G427" s="481"/>
      <c r="H427" s="42"/>
    </row>
    <row r="428" spans="1:11" s="8" customFormat="1" ht="13.5" customHeight="1">
      <c r="A428" s="12" t="s">
        <v>362</v>
      </c>
      <c r="B428" s="12" t="s">
        <v>532</v>
      </c>
      <c r="C428" s="24">
        <v>116200</v>
      </c>
      <c r="E428" s="72"/>
      <c r="F428" s="56"/>
      <c r="G428" s="42"/>
      <c r="H428" s="42"/>
      <c r="I428" s="42"/>
      <c r="J428" s="42"/>
      <c r="K428" s="42"/>
    </row>
    <row r="429" spans="1:8" s="8" customFormat="1" ht="13.5" customHeight="1">
      <c r="A429" s="506" t="s">
        <v>132</v>
      </c>
      <c r="B429" s="506" t="s">
        <v>56</v>
      </c>
      <c r="C429" s="31">
        <f>SUM(C430:C431)</f>
        <v>90720</v>
      </c>
      <c r="E429" s="335"/>
      <c r="F429" s="483"/>
      <c r="G429" s="481"/>
      <c r="H429" s="42"/>
    </row>
    <row r="430" spans="1:8" s="8" customFormat="1" ht="13.5" customHeight="1">
      <c r="A430" s="58" t="s">
        <v>55</v>
      </c>
      <c r="B430" s="58" t="s">
        <v>56</v>
      </c>
      <c r="C430" s="24">
        <v>60000</v>
      </c>
      <c r="E430" s="335"/>
      <c r="F430" s="483"/>
      <c r="G430" s="481"/>
      <c r="H430" s="42"/>
    </row>
    <row r="431" spans="1:8" s="8" customFormat="1" ht="13.5" customHeight="1">
      <c r="A431" s="58" t="s">
        <v>524</v>
      </c>
      <c r="B431" s="58" t="s">
        <v>525</v>
      </c>
      <c r="C431" s="24">
        <v>30720</v>
      </c>
      <c r="E431" s="335"/>
      <c r="F431" s="483"/>
      <c r="G431" s="481"/>
      <c r="H431" s="42"/>
    </row>
    <row r="432" spans="1:7" s="42" customFormat="1" ht="13.5" customHeight="1">
      <c r="A432" s="11" t="s">
        <v>364</v>
      </c>
      <c r="B432" s="31" t="s">
        <v>365</v>
      </c>
      <c r="C432" s="31">
        <f>SUM(C433:C436)</f>
        <v>15562500</v>
      </c>
      <c r="E432" s="336"/>
      <c r="F432" s="480"/>
      <c r="G432" s="481"/>
    </row>
    <row r="433" spans="1:12" s="42" customFormat="1" ht="13.5" customHeight="1">
      <c r="A433" s="12" t="s">
        <v>526</v>
      </c>
      <c r="B433" s="42" t="s">
        <v>527</v>
      </c>
      <c r="C433" s="24">
        <v>13250000</v>
      </c>
      <c r="F433" s="123"/>
      <c r="J433" s="281"/>
      <c r="K433" s="199"/>
      <c r="L433" s="505"/>
    </row>
    <row r="434" spans="1:5" s="42" customFormat="1" ht="13.5" customHeight="1">
      <c r="A434" s="12" t="s">
        <v>528</v>
      </c>
      <c r="B434" s="42" t="s">
        <v>529</v>
      </c>
      <c r="C434" s="24">
        <v>1750000</v>
      </c>
      <c r="E434" s="72"/>
    </row>
    <row r="435" spans="1:6" s="42" customFormat="1" ht="13.5" customHeight="1">
      <c r="A435" s="12" t="s">
        <v>530</v>
      </c>
      <c r="B435" s="42" t="s">
        <v>531</v>
      </c>
      <c r="C435" s="24">
        <v>187500</v>
      </c>
      <c r="E435" s="72"/>
      <c r="F435" s="100"/>
    </row>
    <row r="436" spans="1:6" s="42" customFormat="1" ht="13.5" customHeight="1">
      <c r="A436" s="12" t="s">
        <v>547</v>
      </c>
      <c r="B436" s="42" t="s">
        <v>546</v>
      </c>
      <c r="C436" s="24">
        <v>375000</v>
      </c>
      <c r="E436" s="72"/>
      <c r="F436" s="100"/>
    </row>
    <row r="437" spans="1:6" s="8" customFormat="1" ht="13.5" customHeight="1">
      <c r="A437" s="506" t="s">
        <v>115</v>
      </c>
      <c r="B437" s="31" t="s">
        <v>8</v>
      </c>
      <c r="C437" s="31">
        <f>SUM(C438:C441)</f>
        <v>570500</v>
      </c>
      <c r="E437" s="9"/>
      <c r="F437" s="217"/>
    </row>
    <row r="438" spans="1:7" s="8" customFormat="1" ht="13.5" customHeight="1">
      <c r="A438" s="71" t="s">
        <v>92</v>
      </c>
      <c r="B438" s="24" t="s">
        <v>8</v>
      </c>
      <c r="C438" s="59">
        <v>319500</v>
      </c>
      <c r="E438" s="336"/>
      <c r="F438" s="484"/>
      <c r="G438" s="484"/>
    </row>
    <row r="439" spans="1:7" s="8" customFormat="1" ht="13.5" customHeight="1">
      <c r="A439" s="71" t="s">
        <v>94</v>
      </c>
      <c r="B439" s="24" t="s">
        <v>50</v>
      </c>
      <c r="C439" s="59">
        <v>47500</v>
      </c>
      <c r="D439" s="336"/>
      <c r="E439" s="336"/>
      <c r="F439" s="468"/>
      <c r="G439" s="484"/>
    </row>
    <row r="440" spans="1:6" s="8" customFormat="1" ht="13.5" customHeight="1">
      <c r="A440" s="12" t="s">
        <v>223</v>
      </c>
      <c r="B440" s="42" t="s">
        <v>222</v>
      </c>
      <c r="C440" s="24">
        <v>135500</v>
      </c>
      <c r="D440" s="218"/>
      <c r="E440" s="9"/>
      <c r="F440" s="194"/>
    </row>
    <row r="441" spans="1:10" s="8" customFormat="1" ht="13.5" customHeight="1">
      <c r="A441" s="71" t="s">
        <v>90</v>
      </c>
      <c r="B441" s="24" t="s">
        <v>7</v>
      </c>
      <c r="C441" s="24">
        <v>68000</v>
      </c>
      <c r="D441" s="340"/>
      <c r="F441" s="461"/>
      <c r="G441" s="481"/>
      <c r="H441" s="42"/>
      <c r="J441" s="82"/>
    </row>
    <row r="442" spans="1:10" s="8" customFormat="1" ht="13.5" customHeight="1" thickBot="1">
      <c r="A442" s="71"/>
      <c r="B442" s="24"/>
      <c r="C442" s="24"/>
      <c r="D442" s="336"/>
      <c r="F442" s="461"/>
      <c r="G442" s="481"/>
      <c r="H442" s="42"/>
      <c r="J442" s="82"/>
    </row>
    <row r="443" spans="1:6" s="8" customFormat="1" ht="13.5" customHeight="1" thickBot="1">
      <c r="A443" s="996" t="s">
        <v>4</v>
      </c>
      <c r="B443" s="997"/>
      <c r="C443" s="660">
        <f>C444+C446</f>
        <v>112480</v>
      </c>
      <c r="D443" s="67"/>
      <c r="E443" s="9"/>
      <c r="F443" s="194"/>
    </row>
    <row r="444" spans="1:5" s="98" customFormat="1" ht="13.5" customHeight="1">
      <c r="A444" s="249" t="s">
        <v>116</v>
      </c>
      <c r="B444" s="199" t="s">
        <v>117</v>
      </c>
      <c r="C444" s="32">
        <f>SUM(C445)</f>
        <v>74880</v>
      </c>
      <c r="D444" s="94"/>
      <c r="E444" s="150"/>
    </row>
    <row r="445" spans="1:7" s="65" customFormat="1" ht="13.5">
      <c r="A445" s="69" t="s">
        <v>91</v>
      </c>
      <c r="B445" s="69" t="s">
        <v>139</v>
      </c>
      <c r="C445" s="59">
        <v>74880</v>
      </c>
      <c r="D445" s="468"/>
      <c r="E445" s="468"/>
      <c r="F445" s="468"/>
      <c r="G445" s="485"/>
    </row>
    <row r="446" spans="1:7" s="65" customFormat="1" ht="13.5">
      <c r="A446" s="249" t="s">
        <v>165</v>
      </c>
      <c r="B446" s="25" t="s">
        <v>134</v>
      </c>
      <c r="C446" s="63">
        <f>SUM(C447)</f>
        <v>37600</v>
      </c>
      <c r="D446" s="468"/>
      <c r="E446" s="468"/>
      <c r="F446" s="468"/>
      <c r="G446" s="485"/>
    </row>
    <row r="447" spans="1:7" s="65" customFormat="1" ht="13.5">
      <c r="A447" s="12" t="s">
        <v>166</v>
      </c>
      <c r="B447" s="24" t="s">
        <v>51</v>
      </c>
      <c r="C447" s="59">
        <v>37600</v>
      </c>
      <c r="D447" s="468"/>
      <c r="E447" s="468"/>
      <c r="F447" s="468"/>
      <c r="G447" s="485"/>
    </row>
    <row r="448" spans="1:6" s="8" customFormat="1" ht="13.5">
      <c r="A448" s="71"/>
      <c r="B448" s="24"/>
      <c r="C448" s="24"/>
      <c r="D448" s="77"/>
      <c r="E448" s="85"/>
      <c r="F448" s="91"/>
    </row>
    <row r="449" spans="1:6" s="8" customFormat="1" ht="14.25" thickBot="1">
      <c r="A449" s="71"/>
      <c r="B449" s="24"/>
      <c r="C449" s="24"/>
      <c r="D449" s="77"/>
      <c r="E449" s="85"/>
      <c r="F449" s="91"/>
    </row>
    <row r="450" spans="1:6" s="178" customFormat="1" ht="13.5" customHeight="1">
      <c r="A450" s="988" t="s">
        <v>606</v>
      </c>
      <c r="B450" s="1009"/>
      <c r="C450" s="989"/>
      <c r="D450" s="654" t="s">
        <v>6</v>
      </c>
      <c r="E450" s="761">
        <v>1806</v>
      </c>
      <c r="F450" s="579"/>
    </row>
    <row r="451" spans="1:6" s="178" customFormat="1" ht="13.5" customHeight="1" thickBot="1">
      <c r="A451" s="990"/>
      <c r="B451" s="1010"/>
      <c r="C451" s="991"/>
      <c r="D451" s="671"/>
      <c r="E451" s="672"/>
      <c r="F451" s="579"/>
    </row>
    <row r="452" spans="1:11" s="206" customFormat="1" ht="13.5" customHeight="1">
      <c r="A452" s="979" t="s">
        <v>993</v>
      </c>
      <c r="B452" s="980"/>
      <c r="C452" s="980"/>
      <c r="D452" s="980"/>
      <c r="E452" s="981"/>
      <c r="F452" s="192"/>
      <c r="G452" s="176"/>
      <c r="H452" s="176"/>
      <c r="I452" s="176"/>
      <c r="J452" s="176"/>
      <c r="K452" s="176"/>
    </row>
    <row r="453" spans="1:11" s="206" customFormat="1" ht="13.5" customHeight="1">
      <c r="A453" s="982"/>
      <c r="B453" s="983"/>
      <c r="C453" s="983"/>
      <c r="D453" s="983"/>
      <c r="E453" s="984"/>
      <c r="F453" s="192"/>
      <c r="G453" s="176"/>
      <c r="H453" s="176"/>
      <c r="I453" s="176"/>
      <c r="J453" s="176"/>
      <c r="K453" s="176"/>
    </row>
    <row r="454" spans="1:11" s="205" customFormat="1" ht="13.5" customHeight="1">
      <c r="A454" s="982"/>
      <c r="B454" s="983"/>
      <c r="C454" s="983"/>
      <c r="D454" s="983"/>
      <c r="E454" s="984"/>
      <c r="F454" s="153"/>
      <c r="G454" s="151"/>
      <c r="H454" s="151"/>
      <c r="I454" s="151"/>
      <c r="J454" s="151"/>
      <c r="K454" s="151"/>
    </row>
    <row r="455" spans="1:11" s="205" customFormat="1" ht="13.5" customHeight="1">
      <c r="A455" s="982"/>
      <c r="B455" s="983"/>
      <c r="C455" s="983"/>
      <c r="D455" s="983"/>
      <c r="E455" s="984"/>
      <c r="F455" s="153"/>
      <c r="G455" s="151"/>
      <c r="H455" s="151"/>
      <c r="I455" s="151"/>
      <c r="J455" s="151"/>
      <c r="K455" s="151"/>
    </row>
    <row r="456" spans="1:11" s="205" customFormat="1" ht="13.5" customHeight="1">
      <c r="A456" s="982"/>
      <c r="B456" s="983"/>
      <c r="C456" s="983"/>
      <c r="D456" s="983"/>
      <c r="E456" s="984"/>
      <c r="F456" s="153"/>
      <c r="G456" s="151"/>
      <c r="H456" s="151"/>
      <c r="I456" s="151"/>
      <c r="J456" s="151"/>
      <c r="K456" s="151"/>
    </row>
    <row r="457" spans="1:11" s="205" customFormat="1" ht="13.5" customHeight="1">
      <c r="A457" s="982"/>
      <c r="B457" s="983"/>
      <c r="C457" s="983"/>
      <c r="D457" s="983"/>
      <c r="E457" s="984"/>
      <c r="F457" s="153"/>
      <c r="G457" s="151"/>
      <c r="H457" s="151"/>
      <c r="I457" s="151"/>
      <c r="J457" s="151"/>
      <c r="K457" s="151"/>
    </row>
    <row r="458" spans="1:11" s="205" customFormat="1" ht="13.5" customHeight="1">
      <c r="A458" s="982"/>
      <c r="B458" s="983"/>
      <c r="C458" s="983"/>
      <c r="D458" s="983"/>
      <c r="E458" s="984"/>
      <c r="F458" s="153"/>
      <c r="G458" s="151"/>
      <c r="H458" s="151"/>
      <c r="I458" s="151"/>
      <c r="J458" s="151"/>
      <c r="K458" s="151"/>
    </row>
    <row r="459" spans="1:11" s="205" customFormat="1" ht="13.5" customHeight="1">
      <c r="A459" s="982"/>
      <c r="B459" s="983"/>
      <c r="C459" s="983"/>
      <c r="D459" s="983"/>
      <c r="E459" s="984"/>
      <c r="F459" s="153"/>
      <c r="G459" s="151"/>
      <c r="H459" s="151"/>
      <c r="I459" s="151"/>
      <c r="J459" s="151"/>
      <c r="K459" s="151"/>
    </row>
    <row r="460" spans="1:11" s="206" customFormat="1" ht="13.5" customHeight="1">
      <c r="A460" s="982"/>
      <c r="B460" s="983"/>
      <c r="C460" s="983"/>
      <c r="D460" s="983"/>
      <c r="E460" s="984"/>
      <c r="F460" s="192"/>
      <c r="G460" s="176"/>
      <c r="H460" s="176"/>
      <c r="I460" s="176"/>
      <c r="J460" s="176"/>
      <c r="K460" s="176"/>
    </row>
    <row r="461" spans="1:11" s="206" customFormat="1" ht="12" thickBot="1">
      <c r="A461" s="985"/>
      <c r="B461" s="986"/>
      <c r="C461" s="986"/>
      <c r="D461" s="986"/>
      <c r="E461" s="987"/>
      <c r="F461" s="192"/>
      <c r="G461" s="176"/>
      <c r="H461" s="176"/>
      <c r="I461" s="176"/>
      <c r="J461" s="176"/>
      <c r="K461" s="176"/>
    </row>
    <row r="462" spans="1:11" s="205" customFormat="1" ht="13.5" customHeight="1">
      <c r="A462" s="40" t="s">
        <v>809</v>
      </c>
      <c r="B462" s="12"/>
      <c r="C462" s="138"/>
      <c r="D462" s="70"/>
      <c r="E462" s="136"/>
      <c r="F462" s="153"/>
      <c r="G462" s="151"/>
      <c r="H462" s="151"/>
      <c r="I462" s="151"/>
      <c r="J462" s="151"/>
      <c r="K462" s="151"/>
    </row>
    <row r="463" spans="1:11" s="205" customFormat="1" ht="13.5" customHeight="1">
      <c r="A463" s="40" t="s">
        <v>607</v>
      </c>
      <c r="B463" s="12"/>
      <c r="C463" s="138"/>
      <c r="D463" s="70"/>
      <c r="E463" s="136"/>
      <c r="F463" s="153"/>
      <c r="G463" s="151"/>
      <c r="H463" s="151"/>
      <c r="I463" s="151"/>
      <c r="J463" s="151"/>
      <c r="K463" s="151"/>
    </row>
    <row r="464" spans="1:11" s="205" customFormat="1" ht="13.5" customHeight="1">
      <c r="A464" s="40" t="s">
        <v>608</v>
      </c>
      <c r="B464" s="12"/>
      <c r="C464" s="138"/>
      <c r="D464" s="70"/>
      <c r="E464" s="136"/>
      <c r="F464" s="153"/>
      <c r="G464" s="151"/>
      <c r="H464" s="151"/>
      <c r="I464" s="151"/>
      <c r="J464" s="151"/>
      <c r="K464" s="151"/>
    </row>
    <row r="465" spans="1:11" s="205" customFormat="1" ht="13.5" customHeight="1" thickBot="1">
      <c r="A465" s="40" t="s">
        <v>11</v>
      </c>
      <c r="B465" s="12"/>
      <c r="C465" s="138"/>
      <c r="D465" s="70"/>
      <c r="E465" s="136"/>
      <c r="F465" s="153"/>
      <c r="G465" s="151"/>
      <c r="H465" s="151"/>
      <c r="I465" s="151"/>
      <c r="J465" s="151"/>
      <c r="K465" s="151"/>
    </row>
    <row r="466" spans="1:11" s="205" customFormat="1" ht="13.5" customHeight="1" thickBot="1">
      <c r="A466" s="724" t="s">
        <v>0</v>
      </c>
      <c r="B466" s="725"/>
      <c r="C466" s="699"/>
      <c r="D466" s="701"/>
      <c r="E466" s="707">
        <f>C468+C500+C519</f>
        <v>8679460</v>
      </c>
      <c r="F466" s="153"/>
      <c r="G466" s="151"/>
      <c r="H466" s="859"/>
      <c r="I466" s="151"/>
      <c r="J466" s="151"/>
      <c r="K466" s="151"/>
    </row>
    <row r="467" spans="1:11" s="205" customFormat="1" ht="13.5" customHeight="1" thickBot="1">
      <c r="A467" s="71"/>
      <c r="B467" s="71"/>
      <c r="C467" s="28"/>
      <c r="D467" s="28"/>
      <c r="E467" s="31"/>
      <c r="F467" s="153"/>
      <c r="G467" s="151"/>
      <c r="H467" s="151"/>
      <c r="I467" s="151"/>
      <c r="J467" s="151"/>
      <c r="K467" s="151"/>
    </row>
    <row r="468" spans="1:11" s="193" customFormat="1" ht="13.5" customHeight="1" thickBot="1">
      <c r="A468" s="992" t="s">
        <v>2</v>
      </c>
      <c r="B468" s="993"/>
      <c r="C468" s="602">
        <f>C469+C471+C475+C477+C479+C482+C490+C494</f>
        <v>4237090</v>
      </c>
      <c r="D468" s="23"/>
      <c r="E468" s="31"/>
      <c r="F468" s="207"/>
      <c r="G468" s="147"/>
      <c r="H468" s="147"/>
      <c r="I468" s="147"/>
      <c r="J468" s="147"/>
      <c r="K468" s="147"/>
    </row>
    <row r="469" spans="1:11" s="206" customFormat="1" ht="13.5" customHeight="1">
      <c r="A469" s="11" t="s">
        <v>103</v>
      </c>
      <c r="B469" s="199" t="s">
        <v>104</v>
      </c>
      <c r="C469" s="31">
        <f>SUM(C470)</f>
        <v>202900</v>
      </c>
      <c r="D469" s="208"/>
      <c r="E469" s="209"/>
      <c r="F469" s="192"/>
      <c r="G469" s="176"/>
      <c r="H469" s="176"/>
      <c r="I469" s="176"/>
      <c r="J469" s="176"/>
      <c r="K469" s="176"/>
    </row>
    <row r="470" spans="1:11" s="205" customFormat="1" ht="13.5" customHeight="1">
      <c r="A470" s="12" t="s">
        <v>46</v>
      </c>
      <c r="B470" s="8" t="s">
        <v>45</v>
      </c>
      <c r="C470" s="24">
        <v>202900</v>
      </c>
      <c r="D470" s="28"/>
      <c r="E470" s="28"/>
      <c r="F470" s="153"/>
      <c r="G470" s="151"/>
      <c r="H470" s="151"/>
      <c r="I470" s="151"/>
      <c r="J470" s="151"/>
      <c r="K470" s="151"/>
    </row>
    <row r="471" spans="1:11" s="202" customFormat="1" ht="13.5" customHeight="1">
      <c r="A471" s="249" t="s">
        <v>200</v>
      </c>
      <c r="B471" s="281" t="s">
        <v>229</v>
      </c>
      <c r="C471" s="31">
        <f>SUM(C472:C474)</f>
        <v>1878140</v>
      </c>
      <c r="D471" s="24"/>
      <c r="E471" s="24"/>
      <c r="F471" s="203"/>
      <c r="G471" s="169"/>
      <c r="H471" s="169"/>
      <c r="I471" s="169"/>
      <c r="J471" s="169"/>
      <c r="K471" s="169"/>
    </row>
    <row r="472" spans="1:11" s="193" customFormat="1" ht="13.5">
      <c r="A472" s="71" t="s">
        <v>198</v>
      </c>
      <c r="B472" s="42" t="s">
        <v>197</v>
      </c>
      <c r="C472" s="24">
        <v>1838800</v>
      </c>
      <c r="E472" s="71"/>
      <c r="F472" s="207"/>
      <c r="G472" s="23"/>
      <c r="H472" s="147"/>
      <c r="I472" s="147"/>
      <c r="J472" s="147"/>
      <c r="K472" s="147"/>
    </row>
    <row r="473" spans="1:11" s="205" customFormat="1" ht="13.5" customHeight="1">
      <c r="A473" s="12" t="s">
        <v>228</v>
      </c>
      <c r="B473" s="8" t="s">
        <v>227</v>
      </c>
      <c r="C473" s="24">
        <v>22000</v>
      </c>
      <c r="D473" s="28"/>
      <c r="E473" s="28"/>
      <c r="F473" s="153"/>
      <c r="G473" s="151"/>
      <c r="H473" s="151"/>
      <c r="I473" s="151"/>
      <c r="J473" s="151"/>
      <c r="K473" s="151"/>
    </row>
    <row r="474" spans="1:11" s="205" customFormat="1" ht="13.5" customHeight="1">
      <c r="A474" s="12" t="s">
        <v>219</v>
      </c>
      <c r="B474" s="42" t="s">
        <v>218</v>
      </c>
      <c r="C474" s="24">
        <v>17340</v>
      </c>
      <c r="D474" s="28"/>
      <c r="E474" s="28"/>
      <c r="F474" s="153"/>
      <c r="G474" s="151"/>
      <c r="H474" s="151"/>
      <c r="I474" s="151"/>
      <c r="J474" s="151"/>
      <c r="K474" s="151"/>
    </row>
    <row r="475" spans="1:11" s="193" customFormat="1" ht="13.5">
      <c r="A475" s="11" t="s">
        <v>105</v>
      </c>
      <c r="B475" s="502" t="s">
        <v>106</v>
      </c>
      <c r="C475" s="31">
        <f>SUM(C476)</f>
        <v>28000</v>
      </c>
      <c r="D475" s="208"/>
      <c r="F475" s="207"/>
      <c r="G475" s="147"/>
      <c r="H475" s="147"/>
      <c r="I475" s="147"/>
      <c r="J475" s="147"/>
      <c r="K475" s="147"/>
    </row>
    <row r="476" spans="1:7" s="42" customFormat="1" ht="13.5" customHeight="1">
      <c r="A476" s="12" t="s">
        <v>86</v>
      </c>
      <c r="B476" s="8" t="s">
        <v>66</v>
      </c>
      <c r="C476" s="24">
        <v>28000</v>
      </c>
      <c r="D476" s="22"/>
      <c r="E476" s="31"/>
      <c r="F476" s="53"/>
      <c r="G476" s="54"/>
    </row>
    <row r="477" spans="1:7" s="42" customFormat="1" ht="13.5" customHeight="1">
      <c r="A477" s="11" t="s">
        <v>107</v>
      </c>
      <c r="B477" s="502" t="s">
        <v>108</v>
      </c>
      <c r="C477" s="31">
        <f>SUM(C478)</f>
        <v>73200</v>
      </c>
      <c r="D477" s="22"/>
      <c r="E477" s="31"/>
      <c r="F477" s="53"/>
      <c r="G477" s="54"/>
    </row>
    <row r="478" spans="1:6" s="8" customFormat="1" ht="13.5">
      <c r="A478" s="12" t="s">
        <v>47</v>
      </c>
      <c r="B478" s="23" t="s">
        <v>48</v>
      </c>
      <c r="C478" s="24">
        <v>73200</v>
      </c>
      <c r="D478" s="110"/>
      <c r="E478" s="85"/>
      <c r="F478" s="91"/>
    </row>
    <row r="479" spans="1:11" s="205" customFormat="1" ht="13.5" customHeight="1">
      <c r="A479" s="11" t="s">
        <v>196</v>
      </c>
      <c r="B479" s="25" t="s">
        <v>195</v>
      </c>
      <c r="C479" s="31">
        <f>SUM(C480:C481)</f>
        <v>918250</v>
      </c>
      <c r="D479" s="28"/>
      <c r="E479" s="28"/>
      <c r="F479" s="153"/>
      <c r="G479" s="151"/>
      <c r="H479" s="151"/>
      <c r="I479" s="151"/>
      <c r="J479" s="151"/>
      <c r="K479" s="151"/>
    </row>
    <row r="480" spans="1:11" s="205" customFormat="1" ht="13.5" customHeight="1">
      <c r="A480" s="12" t="s">
        <v>194</v>
      </c>
      <c r="B480" s="8" t="s">
        <v>216</v>
      </c>
      <c r="C480" s="24">
        <v>910500</v>
      </c>
      <c r="E480" s="28"/>
      <c r="F480" s="153"/>
      <c r="G480" s="28"/>
      <c r="H480" s="151"/>
      <c r="I480" s="151"/>
      <c r="J480" s="151"/>
      <c r="K480" s="151"/>
    </row>
    <row r="481" spans="1:11" s="205" customFormat="1" ht="13.5" customHeight="1">
      <c r="A481" s="12" t="s">
        <v>215</v>
      </c>
      <c r="B481" s="8" t="s">
        <v>214</v>
      </c>
      <c r="C481" s="24">
        <v>7750</v>
      </c>
      <c r="E481" s="28"/>
      <c r="F481" s="153"/>
      <c r="G481" s="28"/>
      <c r="H481" s="151"/>
      <c r="I481" s="151"/>
      <c r="J481" s="151"/>
      <c r="K481" s="151"/>
    </row>
    <row r="482" spans="1:11" s="205" customFormat="1" ht="13.5" customHeight="1">
      <c r="A482" s="11" t="s">
        <v>119</v>
      </c>
      <c r="B482" s="502" t="s">
        <v>109</v>
      </c>
      <c r="C482" s="31">
        <f>SUM(C483:C489)</f>
        <v>526280</v>
      </c>
      <c r="E482" s="28"/>
      <c r="F482" s="153"/>
      <c r="G482" s="28"/>
      <c r="H482" s="151"/>
      <c r="I482" s="151"/>
      <c r="J482" s="151"/>
      <c r="K482" s="151"/>
    </row>
    <row r="483" spans="1:11" s="205" customFormat="1" ht="13.5" customHeight="1">
      <c r="A483" s="12" t="s">
        <v>191</v>
      </c>
      <c r="B483" s="42" t="s">
        <v>190</v>
      </c>
      <c r="C483" s="24">
        <v>102350</v>
      </c>
      <c r="E483" s="28"/>
      <c r="F483" s="153"/>
      <c r="G483" s="28"/>
      <c r="H483" s="151"/>
      <c r="I483" s="151"/>
      <c r="J483" s="151"/>
      <c r="K483" s="151"/>
    </row>
    <row r="484" spans="1:11" s="205" customFormat="1" ht="13.5" customHeight="1">
      <c r="A484" s="12" t="s">
        <v>189</v>
      </c>
      <c r="B484" s="42" t="s">
        <v>188</v>
      </c>
      <c r="C484" s="24">
        <v>308170</v>
      </c>
      <c r="E484" s="28"/>
      <c r="F484" s="153"/>
      <c r="G484" s="28"/>
      <c r="H484" s="151"/>
      <c r="I484" s="151"/>
      <c r="J484" s="151"/>
      <c r="K484" s="151"/>
    </row>
    <row r="485" spans="1:11" s="205" customFormat="1" ht="13.5" customHeight="1">
      <c r="A485" s="12" t="s">
        <v>187</v>
      </c>
      <c r="B485" s="42" t="s">
        <v>186</v>
      </c>
      <c r="C485" s="24">
        <v>5260</v>
      </c>
      <c r="E485" s="28"/>
      <c r="F485" s="153"/>
      <c r="G485" s="28"/>
      <c r="H485" s="151"/>
      <c r="I485" s="151"/>
      <c r="J485" s="151"/>
      <c r="K485" s="151"/>
    </row>
    <row r="486" spans="1:11" s="205" customFormat="1" ht="13.5" customHeight="1">
      <c r="A486" s="12" t="s">
        <v>641</v>
      </c>
      <c r="B486" s="42" t="s">
        <v>640</v>
      </c>
      <c r="C486" s="24">
        <v>17500</v>
      </c>
      <c r="E486" s="28"/>
      <c r="F486" s="153"/>
      <c r="G486" s="28"/>
      <c r="H486" s="151"/>
      <c r="I486" s="151"/>
      <c r="J486" s="151"/>
      <c r="K486" s="151"/>
    </row>
    <row r="487" spans="1:5" s="65" customFormat="1" ht="13.5">
      <c r="A487" s="71" t="s">
        <v>758</v>
      </c>
      <c r="B487" s="24" t="s">
        <v>753</v>
      </c>
      <c r="C487" s="24">
        <v>23000</v>
      </c>
      <c r="D487" s="77"/>
      <c r="E487" s="25"/>
    </row>
    <row r="488" spans="1:5" s="65" customFormat="1" ht="13.5">
      <c r="A488" s="71" t="s">
        <v>762</v>
      </c>
      <c r="B488" s="24" t="s">
        <v>763</v>
      </c>
      <c r="C488" s="24">
        <v>55000</v>
      </c>
      <c r="D488" s="77"/>
      <c r="E488" s="25"/>
    </row>
    <row r="489" spans="1:5" s="65" customFormat="1" ht="13.5">
      <c r="A489" s="71" t="s">
        <v>754</v>
      </c>
      <c r="B489" s="24" t="s">
        <v>755</v>
      </c>
      <c r="C489" s="24">
        <v>15000</v>
      </c>
      <c r="D489" s="77"/>
      <c r="E489" s="25"/>
    </row>
    <row r="490" spans="1:11" s="205" customFormat="1" ht="13.5" customHeight="1">
      <c r="A490" s="249" t="s">
        <v>124</v>
      </c>
      <c r="B490" s="505" t="s">
        <v>123</v>
      </c>
      <c r="C490" s="31">
        <f>SUM(C491:C493)</f>
        <v>90420</v>
      </c>
      <c r="E490" s="28"/>
      <c r="F490" s="153"/>
      <c r="G490" s="27"/>
      <c r="H490" s="151"/>
      <c r="I490" s="151"/>
      <c r="J490" s="151"/>
      <c r="K490" s="151"/>
    </row>
    <row r="491" spans="1:11" s="205" customFormat="1" ht="13.5" customHeight="1">
      <c r="A491" s="71" t="s">
        <v>231</v>
      </c>
      <c r="B491" s="23" t="s">
        <v>230</v>
      </c>
      <c r="C491" s="24">
        <v>17550</v>
      </c>
      <c r="E491" s="28"/>
      <c r="F491" s="153"/>
      <c r="G491" s="27"/>
      <c r="H491" s="151"/>
      <c r="I491" s="151"/>
      <c r="J491" s="151"/>
      <c r="K491" s="151"/>
    </row>
    <row r="492" spans="1:11" s="205" customFormat="1" ht="13.5" customHeight="1">
      <c r="A492" s="71" t="s">
        <v>241</v>
      </c>
      <c r="B492" s="42" t="s">
        <v>242</v>
      </c>
      <c r="C492" s="24">
        <v>26100</v>
      </c>
      <c r="E492" s="28"/>
      <c r="F492" s="153"/>
      <c r="G492" s="209"/>
      <c r="H492" s="151"/>
      <c r="I492" s="151"/>
      <c r="J492" s="151"/>
      <c r="K492" s="151"/>
    </row>
    <row r="493" spans="1:11" s="205" customFormat="1" ht="13.5" customHeight="1">
      <c r="A493" s="71" t="s">
        <v>93</v>
      </c>
      <c r="B493" s="23" t="s">
        <v>72</v>
      </c>
      <c r="C493" s="24">
        <v>46770</v>
      </c>
      <c r="E493" s="28"/>
      <c r="F493" s="153"/>
      <c r="G493" s="209"/>
      <c r="H493" s="151"/>
      <c r="I493" s="151"/>
      <c r="J493" s="151"/>
      <c r="K493" s="151"/>
    </row>
    <row r="494" spans="1:11" s="193" customFormat="1" ht="13.5" customHeight="1">
      <c r="A494" s="249" t="s">
        <v>150</v>
      </c>
      <c r="B494" s="25" t="s">
        <v>133</v>
      </c>
      <c r="C494" s="31">
        <f>SUM(C495:C498)</f>
        <v>519900</v>
      </c>
      <c r="E494" s="31"/>
      <c r="F494" s="207"/>
      <c r="G494" s="23"/>
      <c r="H494" s="147"/>
      <c r="I494" s="147"/>
      <c r="J494" s="147"/>
      <c r="K494" s="147"/>
    </row>
    <row r="495" spans="1:11" s="193" customFormat="1" ht="13.5" customHeight="1">
      <c r="A495" s="71" t="s">
        <v>151</v>
      </c>
      <c r="B495" s="23" t="s">
        <v>65</v>
      </c>
      <c r="C495" s="24">
        <v>222270</v>
      </c>
      <c r="E495" s="31"/>
      <c r="F495" s="207"/>
      <c r="G495" s="28"/>
      <c r="H495" s="147"/>
      <c r="I495" s="147"/>
      <c r="J495" s="147"/>
      <c r="K495" s="147"/>
    </row>
    <row r="496" spans="1:11" s="193" customFormat="1" ht="13.5" customHeight="1">
      <c r="A496" s="71" t="s">
        <v>243</v>
      </c>
      <c r="B496" s="23" t="s">
        <v>244</v>
      </c>
      <c r="C496" s="24">
        <v>255610</v>
      </c>
      <c r="E496" s="31"/>
      <c r="F496" s="207"/>
      <c r="G496" s="23"/>
      <c r="H496" s="147"/>
      <c r="I496" s="147"/>
      <c r="J496" s="147"/>
      <c r="K496" s="147"/>
    </row>
    <row r="497" spans="1:11" s="193" customFormat="1" ht="13.5" customHeight="1">
      <c r="A497" s="71" t="s">
        <v>211</v>
      </c>
      <c r="B497" s="23" t="s">
        <v>210</v>
      </c>
      <c r="C497" s="24">
        <v>17760</v>
      </c>
      <c r="D497" s="23"/>
      <c r="E497" s="31"/>
      <c r="F497" s="207"/>
      <c r="G497" s="147"/>
      <c r="H497" s="147"/>
      <c r="I497" s="147"/>
      <c r="J497" s="147"/>
      <c r="K497" s="147"/>
    </row>
    <row r="498" spans="1:6" s="8" customFormat="1" ht="13.5">
      <c r="A498" s="71" t="s">
        <v>154</v>
      </c>
      <c r="B498" s="23" t="s">
        <v>133</v>
      </c>
      <c r="C498" s="24">
        <v>24260</v>
      </c>
      <c r="D498" s="110"/>
      <c r="E498" s="85"/>
      <c r="F498" s="91"/>
    </row>
    <row r="499" spans="1:11" s="8" customFormat="1" ht="13.5" customHeight="1" thickBot="1">
      <c r="A499" s="71"/>
      <c r="B499" s="23"/>
      <c r="C499" s="23"/>
      <c r="D499" s="110"/>
      <c r="E499" s="85"/>
      <c r="F499" s="91"/>
      <c r="K499" s="8" t="s">
        <v>201</v>
      </c>
    </row>
    <row r="500" spans="1:11" s="193" customFormat="1" ht="13.5" customHeight="1" thickBot="1">
      <c r="A500" s="994" t="s">
        <v>3</v>
      </c>
      <c r="B500" s="995"/>
      <c r="C500" s="603">
        <f>C501+C503+C508+C511+C514</f>
        <v>4227940</v>
      </c>
      <c r="D500" s="23"/>
      <c r="E500" s="31"/>
      <c r="F500" s="207"/>
      <c r="G500" s="147"/>
      <c r="H500" s="147"/>
      <c r="I500" s="147"/>
      <c r="J500" s="147"/>
      <c r="K500" s="147"/>
    </row>
    <row r="501" spans="1:11" s="202" customFormat="1" ht="13.5" customHeight="1">
      <c r="A501" s="506" t="s">
        <v>110</v>
      </c>
      <c r="B501" s="281" t="s">
        <v>111</v>
      </c>
      <c r="C501" s="31">
        <f>SUM(C502)</f>
        <v>83830</v>
      </c>
      <c r="E501" s="24"/>
      <c r="F501" s="203"/>
      <c r="G501" s="24"/>
      <c r="H501" s="169"/>
      <c r="I501" s="169"/>
      <c r="J501" s="169"/>
      <c r="K501" s="169"/>
    </row>
    <row r="502" spans="1:11" s="193" customFormat="1" ht="13.5" customHeight="1">
      <c r="A502" s="69" t="s">
        <v>52</v>
      </c>
      <c r="B502" s="70" t="s">
        <v>15</v>
      </c>
      <c r="C502" s="24">
        <v>83830</v>
      </c>
      <c r="E502" s="23"/>
      <c r="F502" s="207"/>
      <c r="G502" s="31"/>
      <c r="H502" s="147"/>
      <c r="I502" s="147"/>
      <c r="J502" s="147"/>
      <c r="K502" s="147"/>
    </row>
    <row r="503" spans="1:11" s="193" customFormat="1" ht="13.5" customHeight="1">
      <c r="A503" s="506" t="s">
        <v>120</v>
      </c>
      <c r="B503" s="507" t="s">
        <v>121</v>
      </c>
      <c r="C503" s="31">
        <f>SUM(C504:C507)</f>
        <v>1237100</v>
      </c>
      <c r="E503" s="23"/>
      <c r="F503" s="207"/>
      <c r="G503" s="31"/>
      <c r="H503" s="147"/>
      <c r="I503" s="147"/>
      <c r="J503" s="147"/>
      <c r="K503" s="147"/>
    </row>
    <row r="504" spans="1:11" s="193" customFormat="1" ht="13.5" customHeight="1">
      <c r="A504" s="69" t="s">
        <v>245</v>
      </c>
      <c r="B504" s="70" t="s">
        <v>246</v>
      </c>
      <c r="C504" s="24">
        <v>679200</v>
      </c>
      <c r="E504" s="23"/>
      <c r="F504" s="207"/>
      <c r="G504" s="31"/>
      <c r="H504" s="147"/>
      <c r="I504" s="147"/>
      <c r="J504" s="147"/>
      <c r="K504" s="147"/>
    </row>
    <row r="505" spans="1:11" s="193" customFormat="1" ht="13.5" customHeight="1">
      <c r="A505" s="69" t="s">
        <v>184</v>
      </c>
      <c r="B505" s="70" t="s">
        <v>247</v>
      </c>
      <c r="C505" s="24">
        <v>296500</v>
      </c>
      <c r="E505" s="23"/>
      <c r="F505" s="207"/>
      <c r="G505" s="31"/>
      <c r="H505" s="147"/>
      <c r="I505" s="147"/>
      <c r="J505" s="147"/>
      <c r="K505" s="147"/>
    </row>
    <row r="506" spans="1:11" s="193" customFormat="1" ht="13.5" customHeight="1">
      <c r="A506" s="12" t="s">
        <v>209</v>
      </c>
      <c r="B506" s="12" t="s">
        <v>208</v>
      </c>
      <c r="C506" s="24">
        <v>18520</v>
      </c>
      <c r="E506" s="23"/>
      <c r="F506" s="207"/>
      <c r="G506" s="31"/>
      <c r="H506" s="147"/>
      <c r="I506" s="147"/>
      <c r="J506" s="147"/>
      <c r="K506" s="147"/>
    </row>
    <row r="507" spans="1:11" s="193" customFormat="1" ht="13.5" customHeight="1">
      <c r="A507" s="69" t="s">
        <v>136</v>
      </c>
      <c r="B507" s="42" t="s">
        <v>207</v>
      </c>
      <c r="C507" s="24">
        <v>242880</v>
      </c>
      <c r="E507" s="23"/>
      <c r="F507" s="207"/>
      <c r="G507" s="31"/>
      <c r="H507" s="147"/>
      <c r="I507" s="147"/>
      <c r="J507" s="147"/>
      <c r="K507" s="147"/>
    </row>
    <row r="508" spans="1:11" s="193" customFormat="1" ht="13.5" customHeight="1">
      <c r="A508" s="506" t="s">
        <v>112</v>
      </c>
      <c r="B508" s="505" t="s">
        <v>156</v>
      </c>
      <c r="C508" s="31">
        <f>SUM(C509:C510)</f>
        <v>1163560</v>
      </c>
      <c r="E508" s="23"/>
      <c r="F508" s="207"/>
      <c r="G508" s="31"/>
      <c r="H508" s="147"/>
      <c r="I508" s="147"/>
      <c r="J508" s="147"/>
      <c r="K508" s="147"/>
    </row>
    <row r="509" spans="1:11" s="193" customFormat="1" ht="13.5" customHeight="1">
      <c r="A509" s="69" t="s">
        <v>138</v>
      </c>
      <c r="B509" s="58" t="s">
        <v>810</v>
      </c>
      <c r="C509" s="24">
        <v>7000</v>
      </c>
      <c r="E509" s="54"/>
      <c r="F509" s="203"/>
      <c r="G509" s="82"/>
      <c r="H509" s="147"/>
      <c r="I509" s="147"/>
      <c r="J509" s="147"/>
      <c r="K509" s="147"/>
    </row>
    <row r="510" spans="1:11" s="193" customFormat="1" ht="13.5" customHeight="1">
      <c r="A510" s="69" t="s">
        <v>155</v>
      </c>
      <c r="B510" s="69" t="s">
        <v>87</v>
      </c>
      <c r="C510" s="24">
        <v>1156560</v>
      </c>
      <c r="F510" s="207"/>
      <c r="G510" s="82"/>
      <c r="H510" s="147"/>
      <c r="I510" s="147"/>
      <c r="J510" s="147"/>
      <c r="K510" s="147"/>
    </row>
    <row r="511" spans="1:11" s="193" customFormat="1" ht="13.5" customHeight="1">
      <c r="A511" s="506" t="s">
        <v>113</v>
      </c>
      <c r="B511" s="506" t="s">
        <v>114</v>
      </c>
      <c r="C511" s="31">
        <f>SUM(C512:C513)</f>
        <v>42510</v>
      </c>
      <c r="E511" s="82"/>
      <c r="F511" s="207"/>
      <c r="G511" s="23"/>
      <c r="H511" s="147"/>
      <c r="I511" s="147"/>
      <c r="J511" s="147"/>
      <c r="K511" s="147"/>
    </row>
    <row r="512" spans="1:7" s="5" customFormat="1" ht="13.5">
      <c r="A512" s="71" t="s">
        <v>163</v>
      </c>
      <c r="B512" s="12" t="s">
        <v>74</v>
      </c>
      <c r="C512" s="24">
        <v>30570</v>
      </c>
      <c r="E512" s="14"/>
      <c r="F512" s="14"/>
      <c r="G512" s="24"/>
    </row>
    <row r="513" spans="1:11" s="193" customFormat="1" ht="13.5" customHeight="1">
      <c r="A513" s="69" t="s">
        <v>88</v>
      </c>
      <c r="B513" s="58" t="s">
        <v>64</v>
      </c>
      <c r="C513" s="24">
        <v>11940</v>
      </c>
      <c r="E513" s="23"/>
      <c r="F513" s="207"/>
      <c r="G513" s="23"/>
      <c r="H513" s="147"/>
      <c r="I513" s="147"/>
      <c r="J513" s="147"/>
      <c r="K513" s="147"/>
    </row>
    <row r="514" spans="1:11" s="193" customFormat="1" ht="13.5" customHeight="1">
      <c r="A514" s="506" t="s">
        <v>115</v>
      </c>
      <c r="B514" s="267" t="s">
        <v>8</v>
      </c>
      <c r="C514" s="31">
        <f>SUM(C515:C517)</f>
        <v>1700940</v>
      </c>
      <c r="E514" s="23"/>
      <c r="F514" s="207"/>
      <c r="G514" s="23"/>
      <c r="H514" s="147"/>
      <c r="I514" s="147"/>
      <c r="J514" s="147"/>
      <c r="K514" s="147"/>
    </row>
    <row r="515" spans="1:11" s="193" customFormat="1" ht="13.5" customHeight="1">
      <c r="A515" s="69" t="s">
        <v>89</v>
      </c>
      <c r="B515" s="127" t="s">
        <v>8</v>
      </c>
      <c r="C515" s="24">
        <v>887040</v>
      </c>
      <c r="E515" s="23"/>
      <c r="F515" s="207"/>
      <c r="G515" s="23"/>
      <c r="H515" s="147"/>
      <c r="I515" s="147"/>
      <c r="J515" s="147"/>
      <c r="K515" s="147"/>
    </row>
    <row r="516" spans="1:11" s="193" customFormat="1" ht="13.5" customHeight="1">
      <c r="A516" s="69" t="s">
        <v>182</v>
      </c>
      <c r="B516" s="69" t="s">
        <v>50</v>
      </c>
      <c r="C516" s="24">
        <v>786000</v>
      </c>
      <c r="E516" s="23"/>
      <c r="F516" s="207"/>
      <c r="G516" s="23"/>
      <c r="H516" s="147"/>
      <c r="I516" s="147"/>
      <c r="J516" s="147"/>
      <c r="K516" s="147"/>
    </row>
    <row r="517" spans="1:11" s="193" customFormat="1" ht="13.5" customHeight="1">
      <c r="A517" s="69" t="s">
        <v>90</v>
      </c>
      <c r="B517" s="70" t="s">
        <v>7</v>
      </c>
      <c r="C517" s="24">
        <v>27900</v>
      </c>
      <c r="E517" s="23"/>
      <c r="F517" s="207"/>
      <c r="G517" s="31"/>
      <c r="H517" s="147"/>
      <c r="I517" s="147"/>
      <c r="J517" s="147"/>
      <c r="K517" s="147"/>
    </row>
    <row r="518" spans="1:11" s="193" customFormat="1" ht="13.5" customHeight="1" thickBot="1">
      <c r="A518" s="69"/>
      <c r="B518" s="70"/>
      <c r="C518" s="24"/>
      <c r="E518" s="23"/>
      <c r="F518" s="207"/>
      <c r="G518" s="31"/>
      <c r="H518" s="147"/>
      <c r="I518" s="147"/>
      <c r="J518" s="147"/>
      <c r="K518" s="147"/>
    </row>
    <row r="519" spans="1:11" s="193" customFormat="1" ht="13.5" customHeight="1" thickBot="1">
      <c r="A519" s="1038" t="s">
        <v>4</v>
      </c>
      <c r="B519" s="1039"/>
      <c r="C519" s="605">
        <f>C520+C525+C529+C523</f>
        <v>214430</v>
      </c>
      <c r="E519" s="23"/>
      <c r="F519" s="207"/>
      <c r="G519" s="23"/>
      <c r="H519" s="147"/>
      <c r="I519" s="147"/>
      <c r="J519" s="147"/>
      <c r="K519" s="147"/>
    </row>
    <row r="520" spans="1:11" s="206" customFormat="1" ht="13.5" customHeight="1">
      <c r="A520" s="267" t="s">
        <v>178</v>
      </c>
      <c r="B520" s="508" t="s">
        <v>177</v>
      </c>
      <c r="C520" s="31">
        <f>SUM(C521:C522)</f>
        <v>71020</v>
      </c>
      <c r="E520" s="192"/>
      <c r="G520" s="209"/>
      <c r="H520" s="176"/>
      <c r="I520" s="176"/>
      <c r="J520" s="176"/>
      <c r="K520" s="176"/>
    </row>
    <row r="521" spans="1:11" s="205" customFormat="1" ht="13.5" customHeight="1">
      <c r="A521" s="127" t="s">
        <v>174</v>
      </c>
      <c r="B521" s="127" t="s">
        <v>173</v>
      </c>
      <c r="C521" s="24">
        <v>40900</v>
      </c>
      <c r="E521" s="153"/>
      <c r="G521" s="130"/>
      <c r="H521" s="151"/>
      <c r="I521" s="151"/>
      <c r="J521" s="151"/>
      <c r="K521" s="151"/>
    </row>
    <row r="522" spans="1:11" s="205" customFormat="1" ht="13.5" customHeight="1">
      <c r="A522" s="127" t="s">
        <v>172</v>
      </c>
      <c r="B522" s="127" t="s">
        <v>171</v>
      </c>
      <c r="C522" s="24">
        <v>30120</v>
      </c>
      <c r="E522" s="153"/>
      <c r="G522" s="130"/>
      <c r="H522" s="151"/>
      <c r="I522" s="151"/>
      <c r="J522" s="151"/>
      <c r="K522" s="151"/>
    </row>
    <row r="523" spans="1:8" s="8" customFormat="1" ht="13.5" customHeight="1">
      <c r="A523" s="249" t="s">
        <v>170</v>
      </c>
      <c r="B523" s="25" t="s">
        <v>169</v>
      </c>
      <c r="C523" s="31">
        <f>SUM(C524)</f>
        <v>10</v>
      </c>
      <c r="D523" s="77"/>
      <c r="E523" s="61"/>
      <c r="F523" s="98"/>
      <c r="G523" s="54"/>
      <c r="H523" s="42"/>
    </row>
    <row r="524" spans="1:8" s="8" customFormat="1" ht="13.5" customHeight="1">
      <c r="A524" s="71" t="s">
        <v>168</v>
      </c>
      <c r="B524" s="24" t="s">
        <v>167</v>
      </c>
      <c r="C524" s="24">
        <v>10</v>
      </c>
      <c r="D524" s="77"/>
      <c r="E524" s="61"/>
      <c r="F524" s="98"/>
      <c r="G524" s="54"/>
      <c r="H524" s="42"/>
    </row>
    <row r="525" spans="1:11" s="202" customFormat="1" ht="13.5" customHeight="1">
      <c r="A525" s="249" t="s">
        <v>116</v>
      </c>
      <c r="B525" s="199" t="s">
        <v>117</v>
      </c>
      <c r="C525" s="31">
        <f>SUM(C526:C528)</f>
        <v>132900</v>
      </c>
      <c r="D525" s="24"/>
      <c r="E525" s="24"/>
      <c r="F525" s="203"/>
      <c r="G525" s="169"/>
      <c r="H525" s="169"/>
      <c r="I525" s="169"/>
      <c r="J525" s="169"/>
      <c r="K525" s="169"/>
    </row>
    <row r="526" spans="1:11" s="193" customFormat="1" ht="13.5" customHeight="1">
      <c r="A526" s="71" t="s">
        <v>91</v>
      </c>
      <c r="B526" s="127" t="s">
        <v>139</v>
      </c>
      <c r="C526" s="24">
        <v>21100</v>
      </c>
      <c r="D526" s="23"/>
      <c r="E526" s="23"/>
      <c r="F526" s="207"/>
      <c r="G526" s="147"/>
      <c r="H526" s="147"/>
      <c r="I526" s="147"/>
      <c r="J526" s="147"/>
      <c r="K526" s="147"/>
    </row>
    <row r="527" spans="1:11" s="193" customFormat="1" ht="13.5" customHeight="1">
      <c r="A527" s="71" t="s">
        <v>161</v>
      </c>
      <c r="B527" s="42" t="s">
        <v>162</v>
      </c>
      <c r="C527" s="24">
        <v>81800</v>
      </c>
      <c r="D527" s="25"/>
      <c r="E527" s="23"/>
      <c r="F527" s="207"/>
      <c r="G527" s="147"/>
      <c r="H527" s="147"/>
      <c r="I527" s="147"/>
      <c r="J527" s="147"/>
      <c r="K527" s="147"/>
    </row>
    <row r="528" spans="1:8" s="8" customFormat="1" ht="13.5" customHeight="1">
      <c r="A528" s="71" t="s">
        <v>756</v>
      </c>
      <c r="B528" s="23" t="s">
        <v>757</v>
      </c>
      <c r="C528" s="24">
        <v>30000</v>
      </c>
      <c r="D528" s="77"/>
      <c r="E528" s="25"/>
      <c r="F528" s="98"/>
      <c r="G528" s="54"/>
      <c r="H528" s="42"/>
    </row>
    <row r="529" spans="1:11" s="193" customFormat="1" ht="13.5" customHeight="1">
      <c r="A529" s="249" t="s">
        <v>165</v>
      </c>
      <c r="B529" s="25" t="s">
        <v>134</v>
      </c>
      <c r="C529" s="31">
        <f>SUM(C530)</f>
        <v>10500</v>
      </c>
      <c r="D529" s="25"/>
      <c r="E529" s="23"/>
      <c r="F529" s="207"/>
      <c r="G529" s="147"/>
      <c r="H529" s="147"/>
      <c r="I529" s="147"/>
      <c r="J529" s="147"/>
      <c r="K529" s="147"/>
    </row>
    <row r="530" spans="1:11" s="193" customFormat="1" ht="13.5" customHeight="1">
      <c r="A530" s="71" t="s">
        <v>166</v>
      </c>
      <c r="B530" s="42" t="s">
        <v>51</v>
      </c>
      <c r="C530" s="24">
        <v>10500</v>
      </c>
      <c r="D530" s="23"/>
      <c r="E530" s="23"/>
      <c r="F530" s="207"/>
      <c r="G530" s="147"/>
      <c r="H530" s="147"/>
      <c r="I530" s="147"/>
      <c r="J530" s="147"/>
      <c r="K530" s="147"/>
    </row>
    <row r="531" spans="1:11" s="193" customFormat="1" ht="13.5" customHeight="1">
      <c r="A531" s="71"/>
      <c r="B531" s="42"/>
      <c r="C531" s="24"/>
      <c r="D531" s="23"/>
      <c r="E531" s="23"/>
      <c r="F531" s="207"/>
      <c r="G531" s="147"/>
      <c r="H531" s="147"/>
      <c r="I531" s="147"/>
      <c r="J531" s="147"/>
      <c r="K531" s="147"/>
    </row>
    <row r="532" spans="1:6" s="6" customFormat="1" ht="13.5" customHeight="1" thickBot="1">
      <c r="A532" s="11"/>
      <c r="B532" s="168"/>
      <c r="C532" s="31"/>
      <c r="D532" s="210"/>
      <c r="E532" s="152"/>
      <c r="F532" s="211"/>
    </row>
    <row r="533" spans="1:6" s="213" customFormat="1" ht="13.5" customHeight="1">
      <c r="A533" s="988" t="s">
        <v>248</v>
      </c>
      <c r="B533" s="1009"/>
      <c r="C533" s="989"/>
      <c r="D533" s="654" t="s">
        <v>6</v>
      </c>
      <c r="E533" s="761">
        <v>1807</v>
      </c>
      <c r="F533" s="212"/>
    </row>
    <row r="534" spans="1:6" s="213" customFormat="1" ht="13.5" customHeight="1" thickBot="1">
      <c r="A534" s="990"/>
      <c r="B534" s="1010"/>
      <c r="C534" s="991"/>
      <c r="D534" s="671"/>
      <c r="E534" s="672"/>
      <c r="F534" s="212"/>
    </row>
    <row r="535" spans="1:6" s="213" customFormat="1" ht="13.5" customHeight="1">
      <c r="A535" s="979" t="s">
        <v>994</v>
      </c>
      <c r="B535" s="980"/>
      <c r="C535" s="980"/>
      <c r="D535" s="980"/>
      <c r="E535" s="981"/>
      <c r="F535" s="214"/>
    </row>
    <row r="536" spans="1:6" s="213" customFormat="1" ht="13.5" customHeight="1">
      <c r="A536" s="982"/>
      <c r="B536" s="983"/>
      <c r="C536" s="983"/>
      <c r="D536" s="983"/>
      <c r="E536" s="984"/>
      <c r="F536" s="214"/>
    </row>
    <row r="537" spans="1:6" s="213" customFormat="1" ht="13.5" customHeight="1">
      <c r="A537" s="982"/>
      <c r="B537" s="983"/>
      <c r="C537" s="983"/>
      <c r="D537" s="983"/>
      <c r="E537" s="984"/>
      <c r="F537" s="214"/>
    </row>
    <row r="538" spans="1:6" s="213" customFormat="1" ht="13.5" customHeight="1">
      <c r="A538" s="982"/>
      <c r="B538" s="983"/>
      <c r="C538" s="983"/>
      <c r="D538" s="983"/>
      <c r="E538" s="984"/>
      <c r="F538" s="214"/>
    </row>
    <row r="539" spans="1:6" s="213" customFormat="1" ht="13.5" customHeight="1" thickBot="1">
      <c r="A539" s="985"/>
      <c r="B539" s="986"/>
      <c r="C539" s="986"/>
      <c r="D539" s="986"/>
      <c r="E539" s="987"/>
      <c r="F539" s="214"/>
    </row>
    <row r="540" spans="1:6" s="13" customFormat="1" ht="13.5" customHeight="1">
      <c r="A540" s="40" t="s">
        <v>809</v>
      </c>
      <c r="B540" s="138"/>
      <c r="C540" s="24"/>
      <c r="D540" s="215"/>
      <c r="E540" s="136"/>
      <c r="F540" s="212"/>
    </row>
    <row r="541" spans="1:6" s="13" customFormat="1" ht="13.5" customHeight="1">
      <c r="A541" s="40" t="s">
        <v>249</v>
      </c>
      <c r="B541" s="138"/>
      <c r="C541" s="24"/>
      <c r="D541" s="215"/>
      <c r="E541" s="136"/>
      <c r="F541" s="212"/>
    </row>
    <row r="542" spans="1:6" s="13" customFormat="1" ht="13.5" customHeight="1">
      <c r="A542" s="40" t="s">
        <v>589</v>
      </c>
      <c r="B542" s="138"/>
      <c r="C542" s="24"/>
      <c r="D542" s="215"/>
      <c r="E542" s="136"/>
      <c r="F542" s="212"/>
    </row>
    <row r="543" spans="1:6" s="13" customFormat="1" ht="13.5" customHeight="1" thickBot="1">
      <c r="A543" s="40" t="s">
        <v>11</v>
      </c>
      <c r="B543" s="138"/>
      <c r="C543" s="24"/>
      <c r="D543" s="215"/>
      <c r="E543" s="132"/>
      <c r="F543" s="212"/>
    </row>
    <row r="544" spans="1:8" s="213" customFormat="1" ht="13.5" customHeight="1" thickBot="1">
      <c r="A544" s="726" t="s">
        <v>0</v>
      </c>
      <c r="B544" s="727"/>
      <c r="C544" s="728"/>
      <c r="D544" s="729"/>
      <c r="E544" s="730">
        <f>SUM(C546+C564+C576)</f>
        <v>1651060</v>
      </c>
      <c r="F544" s="216"/>
      <c r="H544" s="860"/>
    </row>
    <row r="545" spans="1:6" s="6" customFormat="1" ht="13.5" customHeight="1" thickBot="1">
      <c r="A545" s="12"/>
      <c r="B545" s="138"/>
      <c r="C545" s="24"/>
      <c r="D545" s="215"/>
      <c r="E545" s="44"/>
      <c r="F545" s="211"/>
    </row>
    <row r="546" spans="1:6" s="6" customFormat="1" ht="13.5" customHeight="1" thickBot="1">
      <c r="A546" s="992" t="s">
        <v>2</v>
      </c>
      <c r="B546" s="993"/>
      <c r="C546" s="602">
        <f>C547+C549+C551+C559+C553</f>
        <v>963850</v>
      </c>
      <c r="D546" s="61"/>
      <c r="E546" s="861"/>
      <c r="F546" s="211"/>
    </row>
    <row r="547" spans="1:5" s="212" customFormat="1" ht="13.5" customHeight="1">
      <c r="A547" s="11" t="s">
        <v>103</v>
      </c>
      <c r="B547" s="281" t="s">
        <v>104</v>
      </c>
      <c r="C547" s="32">
        <f>SUM(C548)</f>
        <v>92040</v>
      </c>
      <c r="D547" s="89"/>
      <c r="E547" s="862"/>
    </row>
    <row r="548" spans="1:7" s="42" customFormat="1" ht="13.5" customHeight="1">
      <c r="A548" s="12" t="s">
        <v>46</v>
      </c>
      <c r="B548" s="42" t="s">
        <v>160</v>
      </c>
      <c r="C548" s="24">
        <v>92040</v>
      </c>
      <c r="F548" s="95"/>
      <c r="G548" s="31"/>
    </row>
    <row r="549" spans="1:7" s="42" customFormat="1" ht="13.5" customHeight="1">
      <c r="A549" s="11" t="s">
        <v>105</v>
      </c>
      <c r="B549" s="502" t="s">
        <v>106</v>
      </c>
      <c r="C549" s="31">
        <f>SUM(C550)</f>
        <v>116640</v>
      </c>
      <c r="F549" s="95"/>
      <c r="G549" s="31"/>
    </row>
    <row r="550" spans="1:7" s="8" customFormat="1" ht="13.5" customHeight="1">
      <c r="A550" s="12" t="s">
        <v>86</v>
      </c>
      <c r="B550" s="42" t="s">
        <v>66</v>
      </c>
      <c r="C550" s="24">
        <v>116640</v>
      </c>
      <c r="F550" s="100"/>
      <c r="G550" s="9"/>
    </row>
    <row r="551" spans="1:7" s="8" customFormat="1" ht="13.5" customHeight="1">
      <c r="A551" s="11" t="s">
        <v>107</v>
      </c>
      <c r="B551" s="502" t="s">
        <v>108</v>
      </c>
      <c r="C551" s="31">
        <f>SUM(C552)</f>
        <v>515880</v>
      </c>
      <c r="F551" s="100"/>
      <c r="G551" s="9"/>
    </row>
    <row r="552" spans="1:7" s="8" customFormat="1" ht="13.5" customHeight="1">
      <c r="A552" s="12" t="s">
        <v>47</v>
      </c>
      <c r="B552" s="42" t="s">
        <v>48</v>
      </c>
      <c r="C552" s="24">
        <v>515880</v>
      </c>
      <c r="F552" s="100"/>
      <c r="G552" s="9"/>
    </row>
    <row r="553" spans="1:5" ht="13.5">
      <c r="A553" s="249" t="s">
        <v>119</v>
      </c>
      <c r="B553" s="25" t="s">
        <v>109</v>
      </c>
      <c r="C553" s="31">
        <f>SUM(C554:C558)</f>
        <v>123280</v>
      </c>
      <c r="D553" s="23"/>
      <c r="E553" s="23"/>
    </row>
    <row r="554" spans="1:5" ht="13.5">
      <c r="A554" s="71" t="s">
        <v>149</v>
      </c>
      <c r="B554" s="42" t="s">
        <v>639</v>
      </c>
      <c r="C554" s="24">
        <v>14800</v>
      </c>
      <c r="D554" s="23"/>
      <c r="E554" s="23"/>
    </row>
    <row r="555" spans="1:5" ht="13.5">
      <c r="A555" s="71" t="s">
        <v>641</v>
      </c>
      <c r="B555" s="42" t="s">
        <v>640</v>
      </c>
      <c r="C555" s="24">
        <v>15480</v>
      </c>
      <c r="D555" s="23"/>
      <c r="E555" s="23"/>
    </row>
    <row r="556" spans="1:5" s="65" customFormat="1" ht="13.5">
      <c r="A556" s="71" t="s">
        <v>758</v>
      </c>
      <c r="B556" s="24" t="s">
        <v>753</v>
      </c>
      <c r="C556" s="24">
        <v>23000</v>
      </c>
      <c r="D556" s="77"/>
      <c r="E556" s="25"/>
    </row>
    <row r="557" spans="1:5" s="65" customFormat="1" ht="13.5">
      <c r="A557" s="71" t="s">
        <v>762</v>
      </c>
      <c r="B557" s="24" t="s">
        <v>763</v>
      </c>
      <c r="C557" s="24">
        <v>55000</v>
      </c>
      <c r="D557" s="77"/>
      <c r="E557" s="25"/>
    </row>
    <row r="558" spans="1:5" s="65" customFormat="1" ht="13.5">
      <c r="A558" s="71" t="s">
        <v>754</v>
      </c>
      <c r="B558" s="24" t="s">
        <v>755</v>
      </c>
      <c r="C558" s="24">
        <v>15000</v>
      </c>
      <c r="D558" s="77"/>
      <c r="E558" s="25"/>
    </row>
    <row r="559" spans="1:7" s="8" customFormat="1" ht="13.5" customHeight="1">
      <c r="A559" s="249" t="s">
        <v>150</v>
      </c>
      <c r="B559" s="25" t="s">
        <v>133</v>
      </c>
      <c r="C559" s="31">
        <f>SUM(C560:C562)</f>
        <v>116010</v>
      </c>
      <c r="F559" s="100"/>
      <c r="G559" s="9"/>
    </row>
    <row r="560" spans="1:7" s="8" customFormat="1" ht="13.5" customHeight="1">
      <c r="A560" s="12" t="s">
        <v>151</v>
      </c>
      <c r="B560" s="42" t="s">
        <v>65</v>
      </c>
      <c r="C560" s="24">
        <v>17760</v>
      </c>
      <c r="F560" s="100"/>
      <c r="G560" s="9"/>
    </row>
    <row r="561" spans="1:7" s="8" customFormat="1" ht="13.5" customHeight="1">
      <c r="A561" s="12" t="s">
        <v>153</v>
      </c>
      <c r="B561" s="42" t="s">
        <v>125</v>
      </c>
      <c r="C561" s="24">
        <v>46700</v>
      </c>
      <c r="F561" s="100"/>
      <c r="G561" s="9"/>
    </row>
    <row r="562" spans="1:7" s="8" customFormat="1" ht="13.5" customHeight="1">
      <c r="A562" s="12" t="s">
        <v>643</v>
      </c>
      <c r="B562" s="42" t="s">
        <v>642</v>
      </c>
      <c r="C562" s="24">
        <v>51550</v>
      </c>
      <c r="F562" s="100"/>
      <c r="G562" s="9"/>
    </row>
    <row r="563" spans="1:7" s="8" customFormat="1" ht="13.5" customHeight="1" thickBot="1">
      <c r="A563" s="71"/>
      <c r="B563" s="42"/>
      <c r="C563" s="23"/>
      <c r="F563" s="100"/>
      <c r="G563" s="9"/>
    </row>
    <row r="564" spans="1:7" s="8" customFormat="1" ht="13.5" customHeight="1" thickBot="1">
      <c r="A564" s="994" t="s">
        <v>3</v>
      </c>
      <c r="B564" s="995"/>
      <c r="C564" s="603">
        <f>C565+C567+C570</f>
        <v>630210</v>
      </c>
      <c r="F564" s="67"/>
      <c r="G564" s="9"/>
    </row>
    <row r="565" spans="1:7" s="98" customFormat="1" ht="13.5" customHeight="1">
      <c r="A565" s="62" t="s">
        <v>110</v>
      </c>
      <c r="B565" s="281" t="s">
        <v>111</v>
      </c>
      <c r="C565" s="32">
        <f>SUM(C566)</f>
        <v>88550</v>
      </c>
      <c r="F565" s="94"/>
      <c r="G565" s="150"/>
    </row>
    <row r="566" spans="1:7" s="8" customFormat="1" ht="13.5" customHeight="1">
      <c r="A566" s="58" t="s">
        <v>52</v>
      </c>
      <c r="B566" s="58" t="s">
        <v>15</v>
      </c>
      <c r="C566" s="24">
        <v>88550</v>
      </c>
      <c r="F566" s="217"/>
      <c r="G566" s="9"/>
    </row>
    <row r="567" spans="1:7" s="8" customFormat="1" ht="13.5" customHeight="1">
      <c r="A567" s="62" t="s">
        <v>120</v>
      </c>
      <c r="B567" s="62" t="s">
        <v>121</v>
      </c>
      <c r="C567" s="31">
        <f>SUM(C568:C569)</f>
        <v>25900</v>
      </c>
      <c r="F567" s="217"/>
      <c r="G567" s="9"/>
    </row>
    <row r="568" spans="1:7" s="42" customFormat="1" ht="13.5" customHeight="1">
      <c r="A568" s="58" t="s">
        <v>235</v>
      </c>
      <c r="B568" s="42" t="s">
        <v>236</v>
      </c>
      <c r="C568" s="24">
        <v>10000</v>
      </c>
      <c r="F568" s="100"/>
      <c r="G568" s="72"/>
    </row>
    <row r="569" spans="1:7" s="42" customFormat="1" ht="13.5" customHeight="1">
      <c r="A569" s="58" t="s">
        <v>136</v>
      </c>
      <c r="B569" s="42" t="s">
        <v>207</v>
      </c>
      <c r="C569" s="24">
        <v>15900</v>
      </c>
      <c r="F569" s="100"/>
      <c r="G569" s="72"/>
    </row>
    <row r="570" spans="1:7" s="42" customFormat="1" ht="13.5" customHeight="1">
      <c r="A570" s="11" t="s">
        <v>115</v>
      </c>
      <c r="B570" s="249" t="s">
        <v>8</v>
      </c>
      <c r="C570" s="31">
        <f>SUM(C571:C574)</f>
        <v>515760</v>
      </c>
      <c r="F570" s="100"/>
      <c r="G570" s="72"/>
    </row>
    <row r="571" spans="1:255" s="42" customFormat="1" ht="13.5" customHeight="1">
      <c r="A571" s="58" t="s">
        <v>89</v>
      </c>
      <c r="B571" s="71" t="s">
        <v>8</v>
      </c>
      <c r="C571" s="24">
        <v>441000</v>
      </c>
      <c r="F571" s="9"/>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c r="AQ571" s="8"/>
      <c r="AR571" s="8"/>
      <c r="AS571" s="8"/>
      <c r="AT571" s="8"/>
      <c r="AU571" s="8"/>
      <c r="AV571" s="8"/>
      <c r="AW571" s="8"/>
      <c r="AX571" s="8"/>
      <c r="AY571" s="8"/>
      <c r="AZ571" s="8"/>
      <c r="BA571" s="8"/>
      <c r="BB571" s="8"/>
      <c r="BC571" s="8"/>
      <c r="BD571" s="8"/>
      <c r="BE571" s="8"/>
      <c r="BF571" s="8"/>
      <c r="BG571" s="8"/>
      <c r="BH571" s="8"/>
      <c r="BI571" s="8"/>
      <c r="BJ571" s="8"/>
      <c r="BK571" s="8"/>
      <c r="BL571" s="8"/>
      <c r="BM571" s="8"/>
      <c r="BN571" s="8"/>
      <c r="BO571" s="8"/>
      <c r="BP571" s="8"/>
      <c r="BQ571" s="8"/>
      <c r="BR571" s="8"/>
      <c r="BS571" s="8"/>
      <c r="BT571" s="8"/>
      <c r="BU571" s="8"/>
      <c r="BV571" s="8"/>
      <c r="BW571" s="8"/>
      <c r="BX571" s="8"/>
      <c r="BY571" s="8"/>
      <c r="BZ571" s="8"/>
      <c r="CA571" s="8"/>
      <c r="CB571" s="8"/>
      <c r="CC571" s="8"/>
      <c r="CD571" s="8"/>
      <c r="CE571" s="8"/>
      <c r="CF571" s="8"/>
      <c r="CG571" s="8"/>
      <c r="CH571" s="8"/>
      <c r="CI571" s="8"/>
      <c r="CJ571" s="8"/>
      <c r="CK571" s="8"/>
      <c r="CL571" s="8"/>
      <c r="CM571" s="8"/>
      <c r="CN571" s="8"/>
      <c r="CO571" s="8"/>
      <c r="CP571" s="8"/>
      <c r="CQ571" s="8"/>
      <c r="CR571" s="8"/>
      <c r="CS571" s="8"/>
      <c r="CT571" s="8"/>
      <c r="CU571" s="8"/>
      <c r="CV571" s="8"/>
      <c r="CW571" s="8"/>
      <c r="CX571" s="8"/>
      <c r="CY571" s="8"/>
      <c r="CZ571" s="8"/>
      <c r="DA571" s="8"/>
      <c r="DB571" s="8"/>
      <c r="DC571" s="8"/>
      <c r="DD571" s="8"/>
      <c r="DE571" s="8"/>
      <c r="DF571" s="8"/>
      <c r="DG571" s="8"/>
      <c r="DH571" s="8"/>
      <c r="DI571" s="8"/>
      <c r="DJ571" s="8"/>
      <c r="DK571" s="8"/>
      <c r="DL571" s="8"/>
      <c r="DM571" s="8"/>
      <c r="DN571" s="8"/>
      <c r="DO571" s="8"/>
      <c r="DP571" s="8"/>
      <c r="DQ571" s="8"/>
      <c r="DR571" s="8"/>
      <c r="DS571" s="8"/>
      <c r="DT571" s="8"/>
      <c r="DU571" s="8"/>
      <c r="DV571" s="8"/>
      <c r="DW571" s="8"/>
      <c r="DX571" s="8"/>
      <c r="DY571" s="8"/>
      <c r="DZ571" s="8"/>
      <c r="EA571" s="8"/>
      <c r="EB571" s="8"/>
      <c r="EC571" s="8"/>
      <c r="ED571" s="8"/>
      <c r="EE571" s="8"/>
      <c r="EF571" s="8"/>
      <c r="EG571" s="8"/>
      <c r="EH571" s="8"/>
      <c r="EI571" s="8"/>
      <c r="EJ571" s="8"/>
      <c r="EK571" s="8"/>
      <c r="EL571" s="8"/>
      <c r="EM571" s="8"/>
      <c r="EN571" s="8"/>
      <c r="EO571" s="8"/>
      <c r="EP571" s="8"/>
      <c r="EQ571" s="8"/>
      <c r="ER571" s="8"/>
      <c r="ES571" s="8"/>
      <c r="ET571" s="8"/>
      <c r="EU571" s="8"/>
      <c r="EV571" s="8"/>
      <c r="EW571" s="8"/>
      <c r="EX571" s="8"/>
      <c r="EY571" s="8"/>
      <c r="EZ571" s="8"/>
      <c r="FA571" s="8"/>
      <c r="FB571" s="8"/>
      <c r="FC571" s="8"/>
      <c r="FD571" s="8"/>
      <c r="FE571" s="8"/>
      <c r="FF571" s="8"/>
      <c r="FG571" s="8"/>
      <c r="FH571" s="8"/>
      <c r="FI571" s="8"/>
      <c r="FJ571" s="8"/>
      <c r="FK571" s="8"/>
      <c r="FL571" s="8"/>
      <c r="FM571" s="8"/>
      <c r="FN571" s="8"/>
      <c r="FO571" s="8"/>
      <c r="FP571" s="8"/>
      <c r="FQ571" s="8"/>
      <c r="FR571" s="8"/>
      <c r="FS571" s="8"/>
      <c r="FT571" s="8"/>
      <c r="FU571" s="8"/>
      <c r="FV571" s="8"/>
      <c r="FW571" s="8"/>
      <c r="FX571" s="8"/>
      <c r="FY571" s="8"/>
      <c r="FZ571" s="8"/>
      <c r="GA571" s="8"/>
      <c r="GB571" s="8"/>
      <c r="GC571" s="8"/>
      <c r="GD571" s="8"/>
      <c r="GE571" s="8"/>
      <c r="GF571" s="8"/>
      <c r="GG571" s="8"/>
      <c r="GH571" s="8"/>
      <c r="GI571" s="8"/>
      <c r="GJ571" s="8"/>
      <c r="GK571" s="8"/>
      <c r="GL571" s="8"/>
      <c r="GM571" s="8"/>
      <c r="GN571" s="8"/>
      <c r="GO571" s="8"/>
      <c r="GP571" s="8"/>
      <c r="GQ571" s="8"/>
      <c r="GR571" s="8"/>
      <c r="GS571" s="8"/>
      <c r="GT571" s="8"/>
      <c r="GU571" s="8"/>
      <c r="GV571" s="8"/>
      <c r="GW571" s="8"/>
      <c r="GX571" s="8"/>
      <c r="GY571" s="8"/>
      <c r="GZ571" s="8"/>
      <c r="HA571" s="8"/>
      <c r="HB571" s="8"/>
      <c r="HC571" s="8"/>
      <c r="HD571" s="8"/>
      <c r="HE571" s="8"/>
      <c r="HF571" s="8"/>
      <c r="HG571" s="8"/>
      <c r="HH571" s="8"/>
      <c r="HI571" s="8"/>
      <c r="HJ571" s="8"/>
      <c r="HK571" s="8"/>
      <c r="HL571" s="8"/>
      <c r="HM571" s="8"/>
      <c r="HN571" s="8"/>
      <c r="HO571" s="8"/>
      <c r="HP571" s="8"/>
      <c r="HQ571" s="8"/>
      <c r="HR571" s="8"/>
      <c r="HS571" s="8"/>
      <c r="HT571" s="8"/>
      <c r="HU571" s="8"/>
      <c r="HV571" s="8"/>
      <c r="HW571" s="8"/>
      <c r="HX571" s="8"/>
      <c r="HY571" s="8"/>
      <c r="HZ571" s="8"/>
      <c r="IA571" s="8"/>
      <c r="IB571" s="8"/>
      <c r="IC571" s="8"/>
      <c r="ID571" s="8"/>
      <c r="IE571" s="8"/>
      <c r="IF571" s="8"/>
      <c r="IG571" s="8"/>
      <c r="IH571" s="8"/>
      <c r="II571" s="8"/>
      <c r="IJ571" s="8"/>
      <c r="IK571" s="8"/>
      <c r="IL571" s="8"/>
      <c r="IM571" s="8"/>
      <c r="IN571" s="8"/>
      <c r="IO571" s="8"/>
      <c r="IP571" s="8"/>
      <c r="IQ571" s="8"/>
      <c r="IR571" s="8"/>
      <c r="IS571" s="8"/>
      <c r="IT571" s="8"/>
      <c r="IU571" s="8"/>
    </row>
    <row r="572" spans="1:6" s="8" customFormat="1" ht="13.5" customHeight="1">
      <c r="A572" s="58" t="s">
        <v>182</v>
      </c>
      <c r="B572" s="42" t="s">
        <v>181</v>
      </c>
      <c r="C572" s="24">
        <v>21600</v>
      </c>
      <c r="D572" s="218"/>
      <c r="E572" s="9"/>
      <c r="F572" s="194"/>
    </row>
    <row r="573" spans="1:6" s="8" customFormat="1" ht="13.5" customHeight="1">
      <c r="A573" s="12" t="s">
        <v>223</v>
      </c>
      <c r="B573" s="42" t="s">
        <v>222</v>
      </c>
      <c r="C573" s="24">
        <v>29520</v>
      </c>
      <c r="D573" s="218"/>
      <c r="E573" s="9"/>
      <c r="F573" s="194"/>
    </row>
    <row r="574" spans="1:255" s="8" customFormat="1" ht="13.5" customHeight="1">
      <c r="A574" s="58" t="s">
        <v>90</v>
      </c>
      <c r="B574" s="12" t="s">
        <v>7</v>
      </c>
      <c r="C574" s="24">
        <v>23640</v>
      </c>
      <c r="D574" s="100"/>
      <c r="E574" s="72"/>
      <c r="F574" s="98"/>
      <c r="G574" s="42"/>
      <c r="H574" s="42"/>
      <c r="I574" s="42"/>
      <c r="J574" s="42"/>
      <c r="K574" s="42"/>
      <c r="L574" s="42"/>
      <c r="M574" s="42"/>
      <c r="N574" s="42"/>
      <c r="O574" s="42"/>
      <c r="P574" s="42"/>
      <c r="Q574" s="42"/>
      <c r="R574" s="42"/>
      <c r="S574" s="42"/>
      <c r="T574" s="42"/>
      <c r="U574" s="42"/>
      <c r="V574" s="42"/>
      <c r="W574" s="42"/>
      <c r="X574" s="42"/>
      <c r="Y574" s="42"/>
      <c r="Z574" s="42"/>
      <c r="AA574" s="42"/>
      <c r="AB574" s="42"/>
      <c r="AC574" s="42"/>
      <c r="AD574" s="42"/>
      <c r="AE574" s="42"/>
      <c r="AF574" s="42"/>
      <c r="AG574" s="42"/>
      <c r="AH574" s="42"/>
      <c r="AI574" s="42"/>
      <c r="AJ574" s="42"/>
      <c r="AK574" s="42"/>
      <c r="AL574" s="42"/>
      <c r="AM574" s="42"/>
      <c r="AN574" s="42"/>
      <c r="AO574" s="42"/>
      <c r="AP574" s="42"/>
      <c r="AQ574" s="42"/>
      <c r="AR574" s="42"/>
      <c r="AS574" s="42"/>
      <c r="AT574" s="42"/>
      <c r="AU574" s="42"/>
      <c r="AV574" s="42"/>
      <c r="AW574" s="42"/>
      <c r="AX574" s="42"/>
      <c r="AY574" s="42"/>
      <c r="AZ574" s="42"/>
      <c r="BA574" s="42"/>
      <c r="BB574" s="42"/>
      <c r="BC574" s="42"/>
      <c r="BD574" s="42"/>
      <c r="BE574" s="42"/>
      <c r="BF574" s="42"/>
      <c r="BG574" s="42"/>
      <c r="BH574" s="42"/>
      <c r="BI574" s="42"/>
      <c r="BJ574" s="42"/>
      <c r="BK574" s="42"/>
      <c r="BL574" s="42"/>
      <c r="BM574" s="42"/>
      <c r="BN574" s="42"/>
      <c r="BO574" s="42"/>
      <c r="BP574" s="42"/>
      <c r="BQ574" s="42"/>
      <c r="BR574" s="42"/>
      <c r="BS574" s="42"/>
      <c r="BT574" s="42"/>
      <c r="BU574" s="42"/>
      <c r="BV574" s="42"/>
      <c r="BW574" s="42"/>
      <c r="BX574" s="42"/>
      <c r="BY574" s="42"/>
      <c r="BZ574" s="42"/>
      <c r="CA574" s="42"/>
      <c r="CB574" s="42"/>
      <c r="CC574" s="42"/>
      <c r="CD574" s="42"/>
      <c r="CE574" s="42"/>
      <c r="CF574" s="42"/>
      <c r="CG574" s="42"/>
      <c r="CH574" s="42"/>
      <c r="CI574" s="42"/>
      <c r="CJ574" s="42"/>
      <c r="CK574" s="42"/>
      <c r="CL574" s="42"/>
      <c r="CM574" s="42"/>
      <c r="CN574" s="42"/>
      <c r="CO574" s="42"/>
      <c r="CP574" s="42"/>
      <c r="CQ574" s="42"/>
      <c r="CR574" s="42"/>
      <c r="CS574" s="42"/>
      <c r="CT574" s="42"/>
      <c r="CU574" s="42"/>
      <c r="CV574" s="42"/>
      <c r="CW574" s="42"/>
      <c r="CX574" s="42"/>
      <c r="CY574" s="42"/>
      <c r="CZ574" s="42"/>
      <c r="DA574" s="42"/>
      <c r="DB574" s="42"/>
      <c r="DC574" s="42"/>
      <c r="DD574" s="42"/>
      <c r="DE574" s="42"/>
      <c r="DF574" s="42"/>
      <c r="DG574" s="42"/>
      <c r="DH574" s="42"/>
      <c r="DI574" s="42"/>
      <c r="DJ574" s="42"/>
      <c r="DK574" s="42"/>
      <c r="DL574" s="42"/>
      <c r="DM574" s="42"/>
      <c r="DN574" s="42"/>
      <c r="DO574" s="42"/>
      <c r="DP574" s="42"/>
      <c r="DQ574" s="42"/>
      <c r="DR574" s="42"/>
      <c r="DS574" s="42"/>
      <c r="DT574" s="42"/>
      <c r="DU574" s="42"/>
      <c r="DV574" s="42"/>
      <c r="DW574" s="42"/>
      <c r="DX574" s="42"/>
      <c r="DY574" s="42"/>
      <c r="DZ574" s="42"/>
      <c r="EA574" s="42"/>
      <c r="EB574" s="42"/>
      <c r="EC574" s="42"/>
      <c r="ED574" s="42"/>
      <c r="EE574" s="42"/>
      <c r="EF574" s="42"/>
      <c r="EG574" s="42"/>
      <c r="EH574" s="42"/>
      <c r="EI574" s="42"/>
      <c r="EJ574" s="42"/>
      <c r="EK574" s="42"/>
      <c r="EL574" s="42"/>
      <c r="EM574" s="42"/>
      <c r="EN574" s="42"/>
      <c r="EO574" s="42"/>
      <c r="EP574" s="42"/>
      <c r="EQ574" s="42"/>
      <c r="ER574" s="42"/>
      <c r="ES574" s="42"/>
      <c r="ET574" s="42"/>
      <c r="EU574" s="42"/>
      <c r="EV574" s="42"/>
      <c r="EW574" s="42"/>
      <c r="EX574" s="42"/>
      <c r="EY574" s="42"/>
      <c r="EZ574" s="42"/>
      <c r="FA574" s="42"/>
      <c r="FB574" s="42"/>
      <c r="FC574" s="42"/>
      <c r="FD574" s="42"/>
      <c r="FE574" s="42"/>
      <c r="FF574" s="42"/>
      <c r="FG574" s="42"/>
      <c r="FH574" s="42"/>
      <c r="FI574" s="42"/>
      <c r="FJ574" s="42"/>
      <c r="FK574" s="42"/>
      <c r="FL574" s="42"/>
      <c r="FM574" s="42"/>
      <c r="FN574" s="42"/>
      <c r="FO574" s="42"/>
      <c r="FP574" s="42"/>
      <c r="FQ574" s="42"/>
      <c r="FR574" s="42"/>
      <c r="FS574" s="42"/>
      <c r="FT574" s="42"/>
      <c r="FU574" s="42"/>
      <c r="FV574" s="42"/>
      <c r="FW574" s="42"/>
      <c r="FX574" s="42"/>
      <c r="FY574" s="42"/>
      <c r="FZ574" s="42"/>
      <c r="GA574" s="42"/>
      <c r="GB574" s="42"/>
      <c r="GC574" s="42"/>
      <c r="GD574" s="42"/>
      <c r="GE574" s="42"/>
      <c r="GF574" s="42"/>
      <c r="GG574" s="42"/>
      <c r="GH574" s="42"/>
      <c r="GI574" s="42"/>
      <c r="GJ574" s="42"/>
      <c r="GK574" s="42"/>
      <c r="GL574" s="42"/>
      <c r="GM574" s="42"/>
      <c r="GN574" s="42"/>
      <c r="GO574" s="42"/>
      <c r="GP574" s="42"/>
      <c r="GQ574" s="42"/>
      <c r="GR574" s="42"/>
      <c r="GS574" s="42"/>
      <c r="GT574" s="42"/>
      <c r="GU574" s="42"/>
      <c r="GV574" s="42"/>
      <c r="GW574" s="42"/>
      <c r="GX574" s="42"/>
      <c r="GY574" s="42"/>
      <c r="GZ574" s="42"/>
      <c r="HA574" s="42"/>
      <c r="HB574" s="42"/>
      <c r="HC574" s="42"/>
      <c r="HD574" s="42"/>
      <c r="HE574" s="42"/>
      <c r="HF574" s="42"/>
      <c r="HG574" s="42"/>
      <c r="HH574" s="42"/>
      <c r="HI574" s="42"/>
      <c r="HJ574" s="42"/>
      <c r="HK574" s="42"/>
      <c r="HL574" s="42"/>
      <c r="HM574" s="42"/>
      <c r="HN574" s="42"/>
      <c r="HO574" s="42"/>
      <c r="HP574" s="42"/>
      <c r="HQ574" s="42"/>
      <c r="HR574" s="42"/>
      <c r="HS574" s="42"/>
      <c r="HT574" s="42"/>
      <c r="HU574" s="42"/>
      <c r="HV574" s="42"/>
      <c r="HW574" s="42"/>
      <c r="HX574" s="42"/>
      <c r="HY574" s="42"/>
      <c r="HZ574" s="42"/>
      <c r="IA574" s="42"/>
      <c r="IB574" s="42"/>
      <c r="IC574" s="42"/>
      <c r="ID574" s="42"/>
      <c r="IE574" s="42"/>
      <c r="IF574" s="42"/>
      <c r="IG574" s="42"/>
      <c r="IH574" s="42"/>
      <c r="II574" s="42"/>
      <c r="IJ574" s="42"/>
      <c r="IK574" s="42"/>
      <c r="IL574" s="42"/>
      <c r="IM574" s="42"/>
      <c r="IN574" s="42"/>
      <c r="IO574" s="42"/>
      <c r="IP574" s="42"/>
      <c r="IQ574" s="42"/>
      <c r="IR574" s="42"/>
      <c r="IS574" s="42"/>
      <c r="IT574" s="42"/>
      <c r="IU574" s="42"/>
    </row>
    <row r="575" spans="1:6" s="8" customFormat="1" ht="13.5" customHeight="1" thickBot="1">
      <c r="A575" s="71"/>
      <c r="B575" s="71"/>
      <c r="C575" s="23"/>
      <c r="D575" s="217"/>
      <c r="E575" s="9"/>
      <c r="F575" s="194"/>
    </row>
    <row r="576" spans="1:6" s="8" customFormat="1" ht="13.5" customHeight="1" thickBot="1">
      <c r="A576" s="996" t="s">
        <v>4</v>
      </c>
      <c r="B576" s="997"/>
      <c r="C576" s="605">
        <f>C577+C579</f>
        <v>57000</v>
      </c>
      <c r="D576" s="67"/>
      <c r="E576" s="9"/>
      <c r="F576" s="194"/>
    </row>
    <row r="577" spans="1:5" s="98" customFormat="1" ht="13.5" customHeight="1">
      <c r="A577" s="249" t="s">
        <v>116</v>
      </c>
      <c r="B577" s="281" t="s">
        <v>117</v>
      </c>
      <c r="C577" s="32">
        <f>SUM(C578:C578)</f>
        <v>42000</v>
      </c>
      <c r="D577" s="94"/>
      <c r="E577" s="150"/>
    </row>
    <row r="578" spans="1:6" s="8" customFormat="1" ht="13.5" customHeight="1">
      <c r="A578" s="71" t="s">
        <v>91</v>
      </c>
      <c r="B578" s="42" t="s">
        <v>139</v>
      </c>
      <c r="C578" s="24">
        <v>42000</v>
      </c>
      <c r="D578" s="217"/>
      <c r="E578" s="9"/>
      <c r="F578" s="194"/>
    </row>
    <row r="579" spans="1:6" s="8" customFormat="1" ht="13.5" customHeight="1">
      <c r="A579" s="249" t="s">
        <v>165</v>
      </c>
      <c r="B579" s="25" t="s">
        <v>135</v>
      </c>
      <c r="C579" s="31">
        <f>SUM(C580)</f>
        <v>15000</v>
      </c>
      <c r="D579" s="217"/>
      <c r="E579" s="9"/>
      <c r="F579" s="194"/>
    </row>
    <row r="580" spans="1:6" s="8" customFormat="1" ht="13.5" customHeight="1">
      <c r="A580" s="71" t="s">
        <v>166</v>
      </c>
      <c r="B580" s="42" t="s">
        <v>51</v>
      </c>
      <c r="C580" s="24">
        <v>15000</v>
      </c>
      <c r="D580" s="218"/>
      <c r="E580" s="9"/>
      <c r="F580" s="194"/>
    </row>
    <row r="581" spans="1:6" s="8" customFormat="1" ht="13.5">
      <c r="A581" s="71"/>
      <c r="B581" s="24"/>
      <c r="C581" s="24"/>
      <c r="D581" s="77"/>
      <c r="E581" s="85"/>
      <c r="F581" s="91"/>
    </row>
    <row r="582" spans="1:6" s="8" customFormat="1" ht="14.25" thickBot="1">
      <c r="A582" s="71"/>
      <c r="B582" s="24"/>
      <c r="C582" s="24"/>
      <c r="D582" s="77"/>
      <c r="E582" s="85"/>
      <c r="F582" s="91"/>
    </row>
    <row r="583" spans="1:6" s="178" customFormat="1" ht="13.5" customHeight="1">
      <c r="A583" s="988" t="s">
        <v>551</v>
      </c>
      <c r="B583" s="1009"/>
      <c r="C583" s="989"/>
      <c r="D583" s="654" t="s">
        <v>6</v>
      </c>
      <c r="E583" s="761">
        <v>1808</v>
      </c>
      <c r="F583" s="526"/>
    </row>
    <row r="584" spans="1:6" s="178" customFormat="1" ht="14.25" thickBot="1">
      <c r="A584" s="990"/>
      <c r="B584" s="1010"/>
      <c r="C584" s="991"/>
      <c r="D584" s="664"/>
      <c r="E584" s="665"/>
      <c r="F584" s="188"/>
    </row>
    <row r="585" spans="1:11" ht="13.5" customHeight="1">
      <c r="A585" s="979" t="s">
        <v>995</v>
      </c>
      <c r="B585" s="980"/>
      <c r="C585" s="980"/>
      <c r="D585" s="980"/>
      <c r="E585" s="981"/>
      <c r="F585" s="152"/>
      <c r="G585" s="151"/>
      <c r="H585" s="151"/>
      <c r="I585" s="151"/>
      <c r="J585" s="151"/>
      <c r="K585" s="151"/>
    </row>
    <row r="586" spans="1:11" ht="13.5" customHeight="1">
      <c r="A586" s="982"/>
      <c r="B586" s="983"/>
      <c r="C586" s="983"/>
      <c r="D586" s="983"/>
      <c r="E586" s="984"/>
      <c r="F586" s="152"/>
      <c r="G586" s="151"/>
      <c r="H586" s="151"/>
      <c r="I586" s="151"/>
      <c r="J586" s="151"/>
      <c r="K586" s="151"/>
    </row>
    <row r="587" spans="1:11" ht="13.5" customHeight="1">
      <c r="A587" s="982"/>
      <c r="B587" s="983"/>
      <c r="C587" s="983"/>
      <c r="D587" s="983"/>
      <c r="E587" s="984"/>
      <c r="F587" s="152"/>
      <c r="G587" s="151"/>
      <c r="H587" s="151"/>
      <c r="I587" s="151"/>
      <c r="J587" s="151"/>
      <c r="K587" s="151"/>
    </row>
    <row r="588" spans="1:11" ht="13.5" customHeight="1" thickBot="1">
      <c r="A588" s="982"/>
      <c r="B588" s="983"/>
      <c r="C588" s="983"/>
      <c r="D588" s="983"/>
      <c r="E588" s="984"/>
      <c r="F588" s="9"/>
      <c r="G588" s="151"/>
      <c r="H588" s="151"/>
      <c r="I588" s="151"/>
      <c r="J588" s="151"/>
      <c r="K588" s="151"/>
    </row>
    <row r="589" spans="1:11" ht="13.5" customHeight="1">
      <c r="A589" s="116" t="s">
        <v>809</v>
      </c>
      <c r="B589" s="167"/>
      <c r="C589" s="166"/>
      <c r="D589" s="165"/>
      <c r="E589" s="164"/>
      <c r="F589" s="152"/>
      <c r="G589" s="151"/>
      <c r="H589" s="151"/>
      <c r="I589" s="151"/>
      <c r="J589" s="151"/>
      <c r="K589" s="151"/>
    </row>
    <row r="590" spans="1:11" ht="13.5" customHeight="1">
      <c r="A590" s="57" t="s">
        <v>604</v>
      </c>
      <c r="B590" s="12"/>
      <c r="C590" s="138"/>
      <c r="D590" s="137"/>
      <c r="E590" s="136"/>
      <c r="F590" s="152"/>
      <c r="G590" s="151"/>
      <c r="H590" s="151"/>
      <c r="I590" s="151"/>
      <c r="J590" s="151"/>
      <c r="K590" s="151"/>
    </row>
    <row r="591" spans="1:11" ht="13.5" customHeight="1">
      <c r="A591" s="57" t="s">
        <v>654</v>
      </c>
      <c r="B591" s="12"/>
      <c r="C591" s="138"/>
      <c r="D591" s="137"/>
      <c r="E591" s="136"/>
      <c r="F591" s="152"/>
      <c r="G591" s="151"/>
      <c r="H591" s="151"/>
      <c r="I591" s="151"/>
      <c r="J591" s="151"/>
      <c r="K591" s="151"/>
    </row>
    <row r="592" spans="1:11" ht="14.25" thickBot="1">
      <c r="A592" s="75" t="s">
        <v>11</v>
      </c>
      <c r="B592" s="135"/>
      <c r="C592" s="134"/>
      <c r="D592" s="133"/>
      <c r="E592" s="132"/>
      <c r="F592" s="152"/>
      <c r="G592" s="151"/>
      <c r="H592" s="151"/>
      <c r="I592" s="151"/>
      <c r="J592" s="151"/>
      <c r="K592" s="151"/>
    </row>
    <row r="593" spans="1:11" ht="14.25" thickBot="1">
      <c r="A593" s="697" t="s">
        <v>0</v>
      </c>
      <c r="B593" s="698"/>
      <c r="C593" s="699" t="s">
        <v>201</v>
      </c>
      <c r="D593" s="701" t="s">
        <v>201</v>
      </c>
      <c r="E593" s="707">
        <f>(C595+C610+C625)</f>
        <v>1186870</v>
      </c>
      <c r="F593" s="152"/>
      <c r="G593" s="151"/>
      <c r="H593" s="151"/>
      <c r="I593" s="151"/>
      <c r="J593" s="151"/>
      <c r="K593" s="151"/>
    </row>
    <row r="594" spans="1:11" ht="14.25" thickBot="1">
      <c r="A594" s="71"/>
      <c r="B594" s="71"/>
      <c r="C594" s="28"/>
      <c r="D594" s="28"/>
      <c r="E594" s="513"/>
      <c r="F594" s="513"/>
      <c r="G594" s="151"/>
      <c r="H594" s="151"/>
      <c r="I594" s="151"/>
      <c r="J594" s="151"/>
      <c r="K594" s="151"/>
    </row>
    <row r="595" spans="1:11" s="146" customFormat="1" ht="14.25" thickBot="1">
      <c r="A595" s="992" t="s">
        <v>2</v>
      </c>
      <c r="B595" s="993"/>
      <c r="C595" s="602">
        <f>C596+C598+C600+C602+C605</f>
        <v>403580</v>
      </c>
      <c r="D595" s="23"/>
      <c r="E595" s="848"/>
      <c r="F595" s="9"/>
      <c r="G595" s="147"/>
      <c r="H595" s="147"/>
      <c r="I595" s="147"/>
      <c r="J595" s="147"/>
      <c r="K595" s="147"/>
    </row>
    <row r="596" spans="1:11" s="148" customFormat="1" ht="13.5" customHeight="1">
      <c r="A596" s="11" t="s">
        <v>103</v>
      </c>
      <c r="B596" s="281" t="s">
        <v>104</v>
      </c>
      <c r="C596" s="32">
        <f>SUM(C597)</f>
        <v>58440</v>
      </c>
      <c r="D596" s="95"/>
      <c r="F596" s="850"/>
      <c r="G596" s="150"/>
      <c r="H596" s="149"/>
      <c r="I596" s="149"/>
      <c r="J596" s="149"/>
      <c r="K596" s="149"/>
    </row>
    <row r="597" spans="1:11" s="146" customFormat="1" ht="13.5" customHeight="1">
      <c r="A597" s="12" t="s">
        <v>46</v>
      </c>
      <c r="B597" s="42" t="s">
        <v>160</v>
      </c>
      <c r="C597" s="24">
        <v>58440</v>
      </c>
      <c r="D597" s="23"/>
      <c r="F597" s="23"/>
      <c r="G597" s="9"/>
      <c r="H597" s="147"/>
      <c r="I597" s="147"/>
      <c r="J597" s="147"/>
      <c r="K597" s="147"/>
    </row>
    <row r="598" spans="1:11" s="146" customFormat="1" ht="13.5" customHeight="1">
      <c r="A598" s="11" t="s">
        <v>105</v>
      </c>
      <c r="B598" s="502" t="s">
        <v>106</v>
      </c>
      <c r="C598" s="31">
        <f>SUM(C599)</f>
        <v>31280</v>
      </c>
      <c r="D598" s="23"/>
      <c r="F598" s="23"/>
      <c r="G598" s="9"/>
      <c r="H598" s="147"/>
      <c r="I598" s="147"/>
      <c r="J598" s="147"/>
      <c r="K598" s="147"/>
    </row>
    <row r="599" spans="1:11" s="146" customFormat="1" ht="13.5" customHeight="1">
      <c r="A599" s="12" t="s">
        <v>86</v>
      </c>
      <c r="B599" s="42" t="s">
        <v>66</v>
      </c>
      <c r="C599" s="24">
        <v>31280</v>
      </c>
      <c r="D599" s="23"/>
      <c r="F599" s="23"/>
      <c r="G599" s="9"/>
      <c r="H599" s="147"/>
      <c r="I599" s="147"/>
      <c r="J599" s="147"/>
      <c r="K599" s="147"/>
    </row>
    <row r="600" spans="1:11" s="146" customFormat="1" ht="13.5" customHeight="1">
      <c r="A600" s="11" t="s">
        <v>107</v>
      </c>
      <c r="B600" s="502" t="s">
        <v>108</v>
      </c>
      <c r="C600" s="31">
        <f>SUM(C601)</f>
        <v>19000</v>
      </c>
      <c r="D600" s="23"/>
      <c r="F600" s="31"/>
      <c r="G600" s="72"/>
      <c r="H600" s="147"/>
      <c r="I600" s="147"/>
      <c r="J600" s="147"/>
      <c r="K600" s="147"/>
    </row>
    <row r="601" spans="1:11" s="146" customFormat="1" ht="13.5" customHeight="1">
      <c r="A601" s="12" t="s">
        <v>47</v>
      </c>
      <c r="B601" s="42" t="s">
        <v>48</v>
      </c>
      <c r="C601" s="24">
        <v>19000</v>
      </c>
      <c r="D601" s="25"/>
      <c r="F601" s="31"/>
      <c r="G601" s="72"/>
      <c r="H601" s="147"/>
      <c r="I601" s="147"/>
      <c r="J601" s="147"/>
      <c r="K601" s="147"/>
    </row>
    <row r="602" spans="1:11" s="146" customFormat="1" ht="13.5" customHeight="1">
      <c r="A602" s="249" t="s">
        <v>124</v>
      </c>
      <c r="B602" s="505" t="s">
        <v>123</v>
      </c>
      <c r="C602" s="31">
        <f>SUM(C603:C604)</f>
        <v>89400</v>
      </c>
      <c r="D602" s="25"/>
      <c r="E602" s="23"/>
      <c r="F602" s="9"/>
      <c r="G602" s="147"/>
      <c r="H602" s="147"/>
      <c r="I602" s="147"/>
      <c r="J602" s="147"/>
      <c r="K602" s="147"/>
    </row>
    <row r="603" spans="1:11" s="146" customFormat="1" ht="13.5" customHeight="1">
      <c r="A603" s="71" t="s">
        <v>231</v>
      </c>
      <c r="B603" s="42" t="s">
        <v>230</v>
      </c>
      <c r="C603" s="24">
        <v>57000</v>
      </c>
      <c r="D603" s="25"/>
      <c r="E603" s="23"/>
      <c r="F603" s="9"/>
      <c r="G603" s="147"/>
      <c r="H603" s="147"/>
      <c r="I603" s="147"/>
      <c r="J603" s="147"/>
      <c r="K603" s="147"/>
    </row>
    <row r="604" spans="1:11" s="146" customFormat="1" ht="13.5" customHeight="1">
      <c r="A604" s="71" t="s">
        <v>93</v>
      </c>
      <c r="B604" s="42" t="s">
        <v>72</v>
      </c>
      <c r="C604" s="24">
        <v>32400</v>
      </c>
      <c r="D604" s="25"/>
      <c r="E604" s="23"/>
      <c r="F604" s="9"/>
      <c r="G604" s="147"/>
      <c r="H604" s="147"/>
      <c r="I604" s="147"/>
      <c r="J604" s="147"/>
      <c r="K604" s="147"/>
    </row>
    <row r="605" spans="1:11" s="146" customFormat="1" ht="13.5" customHeight="1">
      <c r="A605" s="249" t="s">
        <v>150</v>
      </c>
      <c r="B605" s="25" t="s">
        <v>133</v>
      </c>
      <c r="C605" s="31">
        <f>SUM(C606:C608)</f>
        <v>205460</v>
      </c>
      <c r="D605" s="25"/>
      <c r="E605" s="23"/>
      <c r="F605" s="9"/>
      <c r="G605" s="147"/>
      <c r="H605" s="147"/>
      <c r="I605" s="147"/>
      <c r="J605" s="147"/>
      <c r="K605" s="147"/>
    </row>
    <row r="606" spans="1:11" s="146" customFormat="1" ht="13.5" customHeight="1">
      <c r="A606" s="12" t="s">
        <v>152</v>
      </c>
      <c r="B606" s="42" t="s">
        <v>70</v>
      </c>
      <c r="C606" s="24">
        <v>86600</v>
      </c>
      <c r="D606" s="25"/>
      <c r="E606" s="23"/>
      <c r="F606" s="9"/>
      <c r="G606" s="147"/>
      <c r="H606" s="147"/>
      <c r="I606" s="147"/>
      <c r="J606" s="147"/>
      <c r="K606" s="147"/>
    </row>
    <row r="607" spans="1:11" s="146" customFormat="1" ht="13.5" customHeight="1">
      <c r="A607" s="12" t="s">
        <v>153</v>
      </c>
      <c r="B607" s="42" t="s">
        <v>125</v>
      </c>
      <c r="C607" s="24">
        <v>21060</v>
      </c>
      <c r="D607" s="25"/>
      <c r="E607" s="25"/>
      <c r="F607" s="9"/>
      <c r="G607" s="147"/>
      <c r="H607" s="147"/>
      <c r="I607" s="147"/>
      <c r="J607" s="147"/>
      <c r="K607" s="147"/>
    </row>
    <row r="608" spans="1:7" s="8" customFormat="1" ht="13.5" customHeight="1">
      <c r="A608" s="12" t="s">
        <v>643</v>
      </c>
      <c r="B608" s="42" t="s">
        <v>642</v>
      </c>
      <c r="C608" s="24">
        <v>97800</v>
      </c>
      <c r="F608" s="100"/>
      <c r="G608" s="9"/>
    </row>
    <row r="609" spans="1:11" s="146" customFormat="1" ht="14.25" thickBot="1">
      <c r="A609" s="71"/>
      <c r="B609" s="42"/>
      <c r="C609" s="23"/>
      <c r="D609" s="23"/>
      <c r="E609" s="25"/>
      <c r="F609" s="9"/>
      <c r="G609" s="147"/>
      <c r="H609" s="147"/>
      <c r="I609" s="147"/>
      <c r="J609" s="147"/>
      <c r="K609" s="147"/>
    </row>
    <row r="610" spans="1:11" s="146" customFormat="1" ht="14.25" thickBot="1">
      <c r="A610" s="994" t="s">
        <v>3</v>
      </c>
      <c r="B610" s="995"/>
      <c r="C610" s="603">
        <f>C611+C613+C615+C617</f>
        <v>755290</v>
      </c>
      <c r="D610" s="23"/>
      <c r="E610" s="23"/>
      <c r="F610" s="9"/>
      <c r="G610" s="147"/>
      <c r="H610" s="147"/>
      <c r="I610" s="147"/>
      <c r="J610" s="147"/>
      <c r="K610" s="147"/>
    </row>
    <row r="611" spans="1:8" s="8" customFormat="1" ht="13.5" customHeight="1">
      <c r="A611" s="506" t="s">
        <v>110</v>
      </c>
      <c r="B611" s="281" t="s">
        <v>111</v>
      </c>
      <c r="C611" s="31">
        <f>C612</f>
        <v>61390</v>
      </c>
      <c r="F611" s="110"/>
      <c r="G611" s="85"/>
      <c r="H611" s="91"/>
    </row>
    <row r="612" spans="1:8" s="8" customFormat="1" ht="13.5" customHeight="1">
      <c r="A612" s="71" t="s">
        <v>52</v>
      </c>
      <c r="B612" s="24" t="s">
        <v>15</v>
      </c>
      <c r="C612" s="24">
        <v>61390</v>
      </c>
      <c r="E612" s="336"/>
      <c r="F612" s="340"/>
      <c r="G612" s="481"/>
      <c r="H612" s="54"/>
    </row>
    <row r="613" spans="1:11" s="148" customFormat="1" ht="13.5" customHeight="1">
      <c r="A613" s="506" t="s">
        <v>112</v>
      </c>
      <c r="B613" s="62" t="s">
        <v>156</v>
      </c>
      <c r="C613" s="32">
        <f>SUM(C614)</f>
        <v>207500</v>
      </c>
      <c r="D613" s="95"/>
      <c r="E613" s="95"/>
      <c r="F613" s="150"/>
      <c r="G613" s="149"/>
      <c r="H613" s="149"/>
      <c r="I613" s="149"/>
      <c r="J613" s="149"/>
      <c r="K613" s="149"/>
    </row>
    <row r="614" spans="1:11" s="146" customFormat="1" ht="13.5" customHeight="1">
      <c r="A614" s="69" t="s">
        <v>155</v>
      </c>
      <c r="B614" s="69" t="s">
        <v>87</v>
      </c>
      <c r="C614" s="24">
        <v>207500</v>
      </c>
      <c r="E614" s="23"/>
      <c r="F614" s="9"/>
      <c r="G614" s="147"/>
      <c r="H614" s="147"/>
      <c r="I614" s="147"/>
      <c r="J614" s="147"/>
      <c r="K614" s="147"/>
    </row>
    <row r="615" spans="1:11" s="146" customFormat="1" ht="13.5" customHeight="1">
      <c r="A615" s="62" t="s">
        <v>132</v>
      </c>
      <c r="B615" s="505" t="s">
        <v>56</v>
      </c>
      <c r="C615" s="31">
        <f>SUM(C616)</f>
        <v>66000</v>
      </c>
      <c r="D615" s="23"/>
      <c r="E615" s="23"/>
      <c r="F615" s="9"/>
      <c r="G615" s="147"/>
      <c r="H615" s="147"/>
      <c r="I615" s="147"/>
      <c r="J615" s="147"/>
      <c r="K615" s="147"/>
    </row>
    <row r="616" spans="1:11" s="146" customFormat="1" ht="13.5" customHeight="1">
      <c r="A616" s="58" t="s">
        <v>95</v>
      </c>
      <c r="B616" s="42" t="s">
        <v>96</v>
      </c>
      <c r="C616" s="24">
        <v>66000</v>
      </c>
      <c r="D616" s="23"/>
      <c r="E616" s="23"/>
      <c r="F616" s="9"/>
      <c r="G616" s="147"/>
      <c r="H616" s="147"/>
      <c r="I616" s="147"/>
      <c r="J616" s="147"/>
      <c r="K616" s="147"/>
    </row>
    <row r="617" spans="1:11" s="148" customFormat="1" ht="13.5" customHeight="1">
      <c r="A617" s="11" t="s">
        <v>115</v>
      </c>
      <c r="B617" s="249" t="s">
        <v>8</v>
      </c>
      <c r="C617" s="32">
        <f>SUM(C618:C623)</f>
        <v>420400</v>
      </c>
      <c r="D617" s="95"/>
      <c r="E617" s="95"/>
      <c r="F617" s="150"/>
      <c r="G617" s="149"/>
      <c r="H617" s="149"/>
      <c r="I617" s="149"/>
      <c r="J617" s="149"/>
      <c r="K617" s="149"/>
    </row>
    <row r="618" spans="1:11" s="146" customFormat="1" ht="13.5" customHeight="1">
      <c r="A618" s="12" t="s">
        <v>89</v>
      </c>
      <c r="B618" s="71" t="s">
        <v>8</v>
      </c>
      <c r="C618" s="24">
        <v>267000</v>
      </c>
      <c r="E618" s="23"/>
      <c r="F618" s="23"/>
      <c r="G618" s="147"/>
      <c r="H618" s="147"/>
      <c r="I618" s="147"/>
      <c r="J618" s="147"/>
      <c r="K618" s="147"/>
    </row>
    <row r="619" spans="1:11" s="146" customFormat="1" ht="13.5" customHeight="1">
      <c r="A619" s="12" t="s">
        <v>182</v>
      </c>
      <c r="B619" s="71" t="s">
        <v>50</v>
      </c>
      <c r="C619" s="24">
        <v>10500</v>
      </c>
      <c r="D619" s="23"/>
      <c r="E619" s="23"/>
      <c r="F619" s="9"/>
      <c r="G619" s="147"/>
      <c r="H619" s="147"/>
      <c r="I619" s="147"/>
      <c r="J619" s="147"/>
      <c r="K619" s="147"/>
    </row>
    <row r="620" spans="1:11" s="146" customFormat="1" ht="13.5" customHeight="1">
      <c r="A620" s="12" t="s">
        <v>180</v>
      </c>
      <c r="B620" s="42" t="s">
        <v>179</v>
      </c>
      <c r="C620" s="24">
        <v>15600</v>
      </c>
      <c r="D620" s="23"/>
      <c r="E620" s="23"/>
      <c r="F620" s="9"/>
      <c r="G620" s="147"/>
      <c r="H620" s="147"/>
      <c r="I620" s="147"/>
      <c r="J620" s="147"/>
      <c r="K620" s="147"/>
    </row>
    <row r="621" spans="1:11" s="146" customFormat="1" ht="13.5" customHeight="1">
      <c r="A621" s="12" t="s">
        <v>225</v>
      </c>
      <c r="B621" s="42" t="s">
        <v>224</v>
      </c>
      <c r="C621" s="24">
        <v>35600</v>
      </c>
      <c r="D621" s="23"/>
      <c r="E621" s="23"/>
      <c r="F621" s="9"/>
      <c r="G621" s="147"/>
      <c r="H621" s="147"/>
      <c r="I621" s="147"/>
      <c r="J621" s="147"/>
      <c r="K621" s="147"/>
    </row>
    <row r="622" spans="1:11" s="146" customFormat="1" ht="13.5" customHeight="1">
      <c r="A622" s="12" t="s">
        <v>223</v>
      </c>
      <c r="B622" s="69" t="s">
        <v>222</v>
      </c>
      <c r="C622" s="24">
        <v>65800</v>
      </c>
      <c r="D622" s="23"/>
      <c r="E622" s="23"/>
      <c r="F622" s="9"/>
      <c r="G622" s="147"/>
      <c r="H622" s="147"/>
      <c r="I622" s="147"/>
      <c r="J622" s="147"/>
      <c r="K622" s="147"/>
    </row>
    <row r="623" spans="1:10" s="8" customFormat="1" ht="13.5" customHeight="1">
      <c r="A623" s="71" t="s">
        <v>90</v>
      </c>
      <c r="B623" s="24" t="s">
        <v>7</v>
      </c>
      <c r="C623" s="24">
        <v>25900</v>
      </c>
      <c r="D623" s="340"/>
      <c r="F623" s="461"/>
      <c r="G623" s="481"/>
      <c r="H623" s="42"/>
      <c r="J623" s="82"/>
    </row>
    <row r="624" spans="1:11" s="146" customFormat="1" ht="14.25" thickBot="1">
      <c r="A624" s="71"/>
      <c r="B624" s="71"/>
      <c r="C624" s="23"/>
      <c r="D624" s="23"/>
      <c r="E624" s="23"/>
      <c r="F624" s="9"/>
      <c r="G624" s="147"/>
      <c r="H624" s="147"/>
      <c r="I624" s="147"/>
      <c r="J624" s="147"/>
      <c r="K624" s="147"/>
    </row>
    <row r="625" spans="1:11" s="146" customFormat="1" ht="14.25" thickBot="1">
      <c r="A625" s="996" t="s">
        <v>4</v>
      </c>
      <c r="B625" s="997"/>
      <c r="C625" s="605">
        <f>C626+C628</f>
        <v>28000</v>
      </c>
      <c r="D625" s="23"/>
      <c r="E625" s="23"/>
      <c r="F625" s="9"/>
      <c r="G625" s="147"/>
      <c r="H625" s="147"/>
      <c r="I625" s="147"/>
      <c r="J625" s="147"/>
      <c r="K625" s="147"/>
    </row>
    <row r="626" spans="1:11" s="148" customFormat="1" ht="13.5" customHeight="1">
      <c r="A626" s="249" t="s">
        <v>116</v>
      </c>
      <c r="B626" s="281" t="s">
        <v>117</v>
      </c>
      <c r="C626" s="32">
        <f>SUM(C627:C627)</f>
        <v>19300</v>
      </c>
      <c r="D626" s="95"/>
      <c r="E626" s="95"/>
      <c r="F626" s="150"/>
      <c r="G626" s="149"/>
      <c r="H626" s="149"/>
      <c r="I626" s="149"/>
      <c r="J626" s="149"/>
      <c r="K626" s="149"/>
    </row>
    <row r="627" spans="1:11" s="146" customFormat="1" ht="13.5" customHeight="1">
      <c r="A627" s="71" t="s">
        <v>91</v>
      </c>
      <c r="B627" s="42" t="s">
        <v>139</v>
      </c>
      <c r="C627" s="24">
        <v>19300</v>
      </c>
      <c r="D627" s="23"/>
      <c r="E627" s="23"/>
      <c r="F627" s="9"/>
      <c r="G627" s="147"/>
      <c r="H627" s="147"/>
      <c r="I627" s="147"/>
      <c r="J627" s="147"/>
      <c r="K627" s="147"/>
    </row>
    <row r="628" spans="1:11" s="146" customFormat="1" ht="13.5" customHeight="1">
      <c r="A628" s="249" t="s">
        <v>165</v>
      </c>
      <c r="B628" s="25" t="s">
        <v>135</v>
      </c>
      <c r="C628" s="31">
        <f>SUM(C629)</f>
        <v>8700</v>
      </c>
      <c r="D628" s="23"/>
      <c r="E628" s="23"/>
      <c r="F628" s="9"/>
      <c r="G628" s="147"/>
      <c r="H628" s="147"/>
      <c r="I628" s="147"/>
      <c r="J628" s="147"/>
      <c r="K628" s="147"/>
    </row>
    <row r="629" spans="1:11" s="146" customFormat="1" ht="13.5" customHeight="1">
      <c r="A629" s="71" t="s">
        <v>166</v>
      </c>
      <c r="B629" s="42" t="s">
        <v>51</v>
      </c>
      <c r="C629" s="24">
        <v>8700</v>
      </c>
      <c r="D629" s="23"/>
      <c r="E629" s="23"/>
      <c r="F629" s="9"/>
      <c r="G629" s="147"/>
      <c r="H629" s="147"/>
      <c r="I629" s="147"/>
      <c r="J629" s="147"/>
      <c r="K629" s="147"/>
    </row>
    <row r="630" spans="1:11" s="146" customFormat="1" ht="13.5" customHeight="1">
      <c r="A630" s="71"/>
      <c r="B630" s="42"/>
      <c r="C630" s="24"/>
      <c r="D630" s="23"/>
      <c r="E630" s="23"/>
      <c r="F630" s="9"/>
      <c r="G630" s="147"/>
      <c r="H630" s="147"/>
      <c r="I630" s="147"/>
      <c r="J630" s="147"/>
      <c r="K630" s="147"/>
    </row>
    <row r="631" spans="1:6" s="8" customFormat="1" ht="14.25" thickBot="1">
      <c r="A631" s="71"/>
      <c r="B631" s="24"/>
      <c r="C631" s="24"/>
      <c r="D631" s="77"/>
      <c r="E631" s="85"/>
      <c r="F631" s="91"/>
    </row>
    <row r="632" spans="1:11" s="146" customFormat="1" ht="13.5" customHeight="1">
      <c r="A632" s="988" t="s">
        <v>848</v>
      </c>
      <c r="B632" s="1009"/>
      <c r="C632" s="989"/>
      <c r="D632" s="654" t="s">
        <v>6</v>
      </c>
      <c r="E632" s="761">
        <v>1809</v>
      </c>
      <c r="F632" s="563"/>
      <c r="G632" s="564"/>
      <c r="H632" s="147"/>
      <c r="I632" s="147"/>
      <c r="J632" s="147"/>
      <c r="K632" s="147"/>
    </row>
    <row r="633" spans="1:11" s="146" customFormat="1" ht="13.5" customHeight="1" thickBot="1">
      <c r="A633" s="990"/>
      <c r="B633" s="1010"/>
      <c r="C633" s="991"/>
      <c r="D633" s="664"/>
      <c r="E633" s="665"/>
      <c r="F633" s="9"/>
      <c r="G633" s="147"/>
      <c r="H633" s="147"/>
      <c r="I633" s="147"/>
      <c r="J633" s="147"/>
      <c r="K633" s="147"/>
    </row>
    <row r="634" spans="1:11" s="146" customFormat="1" ht="13.5" customHeight="1">
      <c r="A634" s="1021" t="s">
        <v>849</v>
      </c>
      <c r="B634" s="1022"/>
      <c r="C634" s="1022"/>
      <c r="D634" s="1022"/>
      <c r="E634" s="1023"/>
      <c r="F634" s="9"/>
      <c r="G634" s="147"/>
      <c r="H634" s="147"/>
      <c r="I634" s="147"/>
      <c r="J634" s="147"/>
      <c r="K634" s="147"/>
    </row>
    <row r="635" spans="1:11" s="146" customFormat="1" ht="13.5" customHeight="1">
      <c r="A635" s="1024"/>
      <c r="B635" s="1025"/>
      <c r="C635" s="1025"/>
      <c r="D635" s="1025"/>
      <c r="E635" s="1026"/>
      <c r="F635" s="9"/>
      <c r="G635" s="147"/>
      <c r="H635" s="147"/>
      <c r="I635" s="147"/>
      <c r="J635" s="147"/>
      <c r="K635" s="147"/>
    </row>
    <row r="636" spans="1:11" s="146" customFormat="1" ht="13.5" customHeight="1">
      <c r="A636" s="1024"/>
      <c r="B636" s="1025"/>
      <c r="C636" s="1025"/>
      <c r="D636" s="1025"/>
      <c r="E636" s="1026"/>
      <c r="F636" s="9"/>
      <c r="G636" s="147"/>
      <c r="H636" s="147"/>
      <c r="I636" s="147"/>
      <c r="J636" s="147"/>
      <c r="K636" s="147"/>
    </row>
    <row r="637" spans="1:11" s="146" customFormat="1" ht="13.5" customHeight="1">
      <c r="A637" s="1024"/>
      <c r="B637" s="1025"/>
      <c r="C637" s="1025"/>
      <c r="D637" s="1025"/>
      <c r="E637" s="1026"/>
      <c r="F637" s="9"/>
      <c r="G637" s="147"/>
      <c r="H637" s="147"/>
      <c r="I637" s="147"/>
      <c r="J637" s="147"/>
      <c r="K637" s="147"/>
    </row>
    <row r="638" spans="1:11" s="146" customFormat="1" ht="13.5" customHeight="1">
      <c r="A638" s="1024"/>
      <c r="B638" s="1025"/>
      <c r="C638" s="1025"/>
      <c r="D638" s="1025"/>
      <c r="E638" s="1026"/>
      <c r="F638" s="9"/>
      <c r="G638" s="147"/>
      <c r="H638" s="147"/>
      <c r="I638" s="147"/>
      <c r="J638" s="147"/>
      <c r="K638" s="147"/>
    </row>
    <row r="639" spans="1:11" s="146" customFormat="1" ht="13.5" customHeight="1">
      <c r="A639" s="1024"/>
      <c r="B639" s="1025"/>
      <c r="C639" s="1025"/>
      <c r="D639" s="1025"/>
      <c r="E639" s="1026"/>
      <c r="F639" s="9"/>
      <c r="G639" s="147"/>
      <c r="H639" s="147"/>
      <c r="I639" s="147"/>
      <c r="J639" s="147"/>
      <c r="K639" s="147"/>
    </row>
    <row r="640" spans="1:11" s="146" customFormat="1" ht="13.5" customHeight="1">
      <c r="A640" s="1024"/>
      <c r="B640" s="1025"/>
      <c r="C640" s="1025"/>
      <c r="D640" s="1025"/>
      <c r="E640" s="1026"/>
      <c r="F640" s="9"/>
      <c r="G640" s="147"/>
      <c r="H640" s="147"/>
      <c r="I640" s="147"/>
      <c r="J640" s="147"/>
      <c r="K640" s="147"/>
    </row>
    <row r="641" spans="1:11" s="146" customFormat="1" ht="13.5" customHeight="1">
      <c r="A641" s="1024"/>
      <c r="B641" s="1025"/>
      <c r="C641" s="1025"/>
      <c r="D641" s="1025"/>
      <c r="E641" s="1026"/>
      <c r="F641" s="9"/>
      <c r="G641" s="147"/>
      <c r="H641" s="147"/>
      <c r="I641" s="147"/>
      <c r="J641" s="147"/>
      <c r="K641" s="147"/>
    </row>
    <row r="642" spans="1:11" s="146" customFormat="1" ht="13.5" customHeight="1">
      <c r="A642" s="1024"/>
      <c r="B642" s="1025"/>
      <c r="C642" s="1025"/>
      <c r="D642" s="1025"/>
      <c r="E642" s="1026"/>
      <c r="F642" s="9"/>
      <c r="G642" s="147"/>
      <c r="H642" s="147"/>
      <c r="I642" s="147"/>
      <c r="J642" s="147"/>
      <c r="K642" s="147"/>
    </row>
    <row r="643" spans="1:11" s="146" customFormat="1" ht="20.25" customHeight="1" thickBot="1">
      <c r="A643" s="1027"/>
      <c r="B643" s="1028"/>
      <c r="C643" s="1028"/>
      <c r="D643" s="1028"/>
      <c r="E643" s="1029"/>
      <c r="F643" s="9"/>
      <c r="G643" s="147"/>
      <c r="H643" s="147"/>
      <c r="I643" s="147"/>
      <c r="J643" s="147"/>
      <c r="K643" s="147"/>
    </row>
    <row r="644" spans="1:11" s="146" customFormat="1" ht="13.5" customHeight="1">
      <c r="A644" s="40" t="s">
        <v>809</v>
      </c>
      <c r="B644" s="12"/>
      <c r="C644" s="138"/>
      <c r="D644" s="137"/>
      <c r="E644" s="136"/>
      <c r="F644" s="9"/>
      <c r="G644" s="147"/>
      <c r="H644" s="147"/>
      <c r="I644" s="147"/>
      <c r="J644" s="147"/>
      <c r="K644" s="147"/>
    </row>
    <row r="645" spans="1:11" s="146" customFormat="1" ht="13.5" customHeight="1">
      <c r="A645" s="57" t="s">
        <v>202</v>
      </c>
      <c r="B645" s="12"/>
      <c r="C645" s="138"/>
      <c r="D645" s="137"/>
      <c r="E645" s="136"/>
      <c r="F645" s="9"/>
      <c r="G645" s="147"/>
      <c r="H645" s="147"/>
      <c r="I645" s="147"/>
      <c r="J645" s="147"/>
      <c r="K645" s="147"/>
    </row>
    <row r="646" spans="1:11" s="146" customFormat="1" ht="13.5" customHeight="1">
      <c r="A646" s="57" t="s">
        <v>630</v>
      </c>
      <c r="B646" s="12"/>
      <c r="C646" s="138"/>
      <c r="D646" s="137"/>
      <c r="E646" s="136"/>
      <c r="F646" s="9"/>
      <c r="G646" s="147"/>
      <c r="H646" s="147"/>
      <c r="I646" s="147"/>
      <c r="J646" s="147"/>
      <c r="K646" s="147"/>
    </row>
    <row r="647" spans="1:11" s="146" customFormat="1" ht="13.5" customHeight="1" thickBot="1">
      <c r="A647" s="75" t="s">
        <v>11</v>
      </c>
      <c r="B647" s="135"/>
      <c r="C647" s="134"/>
      <c r="D647" s="133"/>
      <c r="E647" s="132"/>
      <c r="F647" s="9"/>
      <c r="G647" s="147"/>
      <c r="H647" s="147"/>
      <c r="I647" s="147"/>
      <c r="J647" s="147"/>
      <c r="K647" s="147"/>
    </row>
    <row r="648" spans="1:11" s="146" customFormat="1" ht="13.5" customHeight="1" thickBot="1">
      <c r="A648" s="697" t="s">
        <v>0</v>
      </c>
      <c r="B648" s="698"/>
      <c r="C648" s="699" t="s">
        <v>201</v>
      </c>
      <c r="D648" s="701" t="s">
        <v>201</v>
      </c>
      <c r="E648" s="707">
        <f>(C650+C664+C687+C683)</f>
        <v>1276100</v>
      </c>
      <c r="F648" s="9"/>
      <c r="G648" s="147"/>
      <c r="H648" s="147"/>
      <c r="I648" s="147"/>
      <c r="J648" s="147"/>
      <c r="K648" s="147"/>
    </row>
    <row r="649" spans="1:11" s="146" customFormat="1" ht="13.5" customHeight="1" thickBot="1">
      <c r="A649" s="71"/>
      <c r="B649" s="42"/>
      <c r="C649" s="23"/>
      <c r="D649" s="23"/>
      <c r="E649" s="23"/>
      <c r="F649" s="9"/>
      <c r="G649" s="147"/>
      <c r="H649" s="147"/>
      <c r="I649" s="147"/>
      <c r="J649" s="147"/>
      <c r="K649" s="147"/>
    </row>
    <row r="650" spans="1:11" s="146" customFormat="1" ht="13.5" customHeight="1" thickBot="1">
      <c r="A650" s="992" t="s">
        <v>2</v>
      </c>
      <c r="B650" s="993"/>
      <c r="C650" s="602">
        <f>(C651+C653+C655+C657+C659)</f>
        <v>232300</v>
      </c>
      <c r="D650" s="23"/>
      <c r="E650" s="23"/>
      <c r="F650" s="9"/>
      <c r="G650" s="147"/>
      <c r="H650" s="147"/>
      <c r="I650" s="147"/>
      <c r="J650" s="147"/>
      <c r="K650" s="147"/>
    </row>
    <row r="651" spans="1:6" s="225" customFormat="1" ht="13.5">
      <c r="A651" s="11" t="s">
        <v>103</v>
      </c>
      <c r="B651" s="281" t="s">
        <v>104</v>
      </c>
      <c r="C651" s="509">
        <f>SUM(C652)</f>
        <v>28900</v>
      </c>
      <c r="D651" s="94"/>
      <c r="E651" s="824"/>
      <c r="F651" s="98"/>
    </row>
    <row r="652" spans="1:6" s="65" customFormat="1" ht="13.5">
      <c r="A652" s="12" t="s">
        <v>46</v>
      </c>
      <c r="B652" s="42" t="s">
        <v>160</v>
      </c>
      <c r="C652" s="59">
        <v>28900</v>
      </c>
      <c r="D652" s="69"/>
      <c r="E652" s="67"/>
      <c r="F652" s="194"/>
    </row>
    <row r="653" spans="1:6" s="65" customFormat="1" ht="13.5">
      <c r="A653" s="11" t="s">
        <v>105</v>
      </c>
      <c r="B653" s="502" t="s">
        <v>106</v>
      </c>
      <c r="C653" s="63">
        <f>SUM(C654:C654)</f>
        <v>36000</v>
      </c>
      <c r="D653" s="226"/>
      <c r="F653" s="194"/>
    </row>
    <row r="654" spans="1:255" s="65" customFormat="1" ht="13.5">
      <c r="A654" s="12" t="s">
        <v>86</v>
      </c>
      <c r="B654" s="42" t="s">
        <v>66</v>
      </c>
      <c r="C654" s="24">
        <v>36000</v>
      </c>
      <c r="F654" s="95"/>
      <c r="G654" s="31"/>
      <c r="H654" s="42"/>
      <c r="I654" s="42"/>
      <c r="J654" s="42"/>
      <c r="K654" s="42"/>
      <c r="L654" s="42"/>
      <c r="M654" s="42"/>
      <c r="N654" s="42"/>
      <c r="O654" s="42"/>
      <c r="P654" s="42"/>
      <c r="Q654" s="42"/>
      <c r="R654" s="42"/>
      <c r="S654" s="42"/>
      <c r="T654" s="42"/>
      <c r="U654" s="42"/>
      <c r="V654" s="42"/>
      <c r="W654" s="42"/>
      <c r="X654" s="42"/>
      <c r="Y654" s="42"/>
      <c r="Z654" s="42"/>
      <c r="AA654" s="42"/>
      <c r="AB654" s="42"/>
      <c r="AC654" s="42"/>
      <c r="AD654" s="42"/>
      <c r="AE654" s="42"/>
      <c r="AF654" s="42"/>
      <c r="AG654" s="42"/>
      <c r="AH654" s="42"/>
      <c r="AI654" s="42"/>
      <c r="AJ654" s="42"/>
      <c r="AK654" s="42"/>
      <c r="AL654" s="42"/>
      <c r="AM654" s="42"/>
      <c r="AN654" s="42"/>
      <c r="AO654" s="42"/>
      <c r="AP654" s="42"/>
      <c r="AQ654" s="42"/>
      <c r="AR654" s="42"/>
      <c r="AS654" s="42"/>
      <c r="AT654" s="42"/>
      <c r="AU654" s="42"/>
      <c r="AV654" s="42"/>
      <c r="AW654" s="42"/>
      <c r="AX654" s="42"/>
      <c r="AY654" s="42"/>
      <c r="AZ654" s="42"/>
      <c r="BA654" s="42"/>
      <c r="BB654" s="42"/>
      <c r="BC654" s="42"/>
      <c r="BD654" s="42"/>
      <c r="BE654" s="42"/>
      <c r="BF654" s="42"/>
      <c r="BG654" s="42"/>
      <c r="BH654" s="42"/>
      <c r="BI654" s="42"/>
      <c r="BJ654" s="42"/>
      <c r="BK654" s="42"/>
      <c r="BL654" s="42"/>
      <c r="BM654" s="42"/>
      <c r="BN654" s="42"/>
      <c r="BO654" s="42"/>
      <c r="BP654" s="42"/>
      <c r="BQ654" s="42"/>
      <c r="BR654" s="42"/>
      <c r="BS654" s="42"/>
      <c r="BT654" s="42"/>
      <c r="BU654" s="42"/>
      <c r="BV654" s="42"/>
      <c r="BW654" s="42"/>
      <c r="BX654" s="42"/>
      <c r="BY654" s="42"/>
      <c r="BZ654" s="42"/>
      <c r="CA654" s="42"/>
      <c r="CB654" s="42"/>
      <c r="CC654" s="42"/>
      <c r="CD654" s="42"/>
      <c r="CE654" s="42"/>
      <c r="CF654" s="42"/>
      <c r="CG654" s="42"/>
      <c r="CH654" s="42"/>
      <c r="CI654" s="42"/>
      <c r="CJ654" s="42"/>
      <c r="CK654" s="42"/>
      <c r="CL654" s="42"/>
      <c r="CM654" s="42"/>
      <c r="CN654" s="42"/>
      <c r="CO654" s="42"/>
      <c r="CP654" s="42"/>
      <c r="CQ654" s="42"/>
      <c r="CR654" s="42"/>
      <c r="CS654" s="42"/>
      <c r="CT654" s="42"/>
      <c r="CU654" s="42"/>
      <c r="CV654" s="42"/>
      <c r="CW654" s="42"/>
      <c r="CX654" s="42"/>
      <c r="CY654" s="42"/>
      <c r="CZ654" s="42"/>
      <c r="DA654" s="42"/>
      <c r="DB654" s="42"/>
      <c r="DC654" s="42"/>
      <c r="DD654" s="42"/>
      <c r="DE654" s="42"/>
      <c r="DF654" s="42"/>
      <c r="DG654" s="42"/>
      <c r="DH654" s="42"/>
      <c r="DI654" s="42"/>
      <c r="DJ654" s="42"/>
      <c r="DK654" s="42"/>
      <c r="DL654" s="42"/>
      <c r="DM654" s="42"/>
      <c r="DN654" s="42"/>
      <c r="DO654" s="42"/>
      <c r="DP654" s="42"/>
      <c r="DQ654" s="42"/>
      <c r="DR654" s="42"/>
      <c r="DS654" s="42"/>
      <c r="DT654" s="42"/>
      <c r="DU654" s="42"/>
      <c r="DV654" s="42"/>
      <c r="DW654" s="42"/>
      <c r="DX654" s="42"/>
      <c r="DY654" s="42"/>
      <c r="DZ654" s="42"/>
      <c r="EA654" s="42"/>
      <c r="EB654" s="42"/>
      <c r="EC654" s="42"/>
      <c r="ED654" s="42"/>
      <c r="EE654" s="42"/>
      <c r="EF654" s="42"/>
      <c r="EG654" s="42"/>
      <c r="EH654" s="42"/>
      <c r="EI654" s="42"/>
      <c r="EJ654" s="42"/>
      <c r="EK654" s="42"/>
      <c r="EL654" s="42"/>
      <c r="EM654" s="42"/>
      <c r="EN654" s="42"/>
      <c r="EO654" s="42"/>
      <c r="EP654" s="42"/>
      <c r="EQ654" s="42"/>
      <c r="ER654" s="42"/>
      <c r="ES654" s="42"/>
      <c r="ET654" s="42"/>
      <c r="EU654" s="42"/>
      <c r="EV654" s="42"/>
      <c r="EW654" s="42"/>
      <c r="EX654" s="42"/>
      <c r="EY654" s="42"/>
      <c r="EZ654" s="42"/>
      <c r="FA654" s="42"/>
      <c r="FB654" s="42"/>
      <c r="FC654" s="42"/>
      <c r="FD654" s="42"/>
      <c r="FE654" s="42"/>
      <c r="FF654" s="42"/>
      <c r="FG654" s="42"/>
      <c r="FH654" s="42"/>
      <c r="FI654" s="42"/>
      <c r="FJ654" s="42"/>
      <c r="FK654" s="42"/>
      <c r="FL654" s="42"/>
      <c r="FM654" s="42"/>
      <c r="FN654" s="42"/>
      <c r="FO654" s="42"/>
      <c r="FP654" s="42"/>
      <c r="FQ654" s="42"/>
      <c r="FR654" s="42"/>
      <c r="FS654" s="42"/>
      <c r="FT654" s="42"/>
      <c r="FU654" s="42"/>
      <c r="FV654" s="42"/>
      <c r="FW654" s="42"/>
      <c r="FX654" s="42"/>
      <c r="FY654" s="42"/>
      <c r="FZ654" s="42"/>
      <c r="GA654" s="42"/>
      <c r="GB654" s="42"/>
      <c r="GC654" s="42"/>
      <c r="GD654" s="42"/>
      <c r="GE654" s="42"/>
      <c r="GF654" s="42"/>
      <c r="GG654" s="42"/>
      <c r="GH654" s="42"/>
      <c r="GI654" s="42"/>
      <c r="GJ654" s="42"/>
      <c r="GK654" s="42"/>
      <c r="GL654" s="42"/>
      <c r="GM654" s="42"/>
      <c r="GN654" s="42"/>
      <c r="GO654" s="42"/>
      <c r="GP654" s="42"/>
      <c r="GQ654" s="42"/>
      <c r="GR654" s="42"/>
      <c r="GS654" s="42"/>
      <c r="GT654" s="42"/>
      <c r="GU654" s="42"/>
      <c r="GV654" s="42"/>
      <c r="GW654" s="42"/>
      <c r="GX654" s="42"/>
      <c r="GY654" s="42"/>
      <c r="GZ654" s="42"/>
      <c r="HA654" s="42"/>
      <c r="HB654" s="42"/>
      <c r="HC654" s="42"/>
      <c r="HD654" s="42"/>
      <c r="HE654" s="42"/>
      <c r="HF654" s="42"/>
      <c r="HG654" s="42"/>
      <c r="HH654" s="42"/>
      <c r="HI654" s="42"/>
      <c r="HJ654" s="42"/>
      <c r="HK654" s="42"/>
      <c r="HL654" s="42"/>
      <c r="HM654" s="42"/>
      <c r="HN654" s="42"/>
      <c r="HO654" s="42"/>
      <c r="HP654" s="42"/>
      <c r="HQ654" s="42"/>
      <c r="HR654" s="42"/>
      <c r="HS654" s="42"/>
      <c r="HT654" s="42"/>
      <c r="HU654" s="42"/>
      <c r="HV654" s="42"/>
      <c r="HW654" s="42"/>
      <c r="HX654" s="42"/>
      <c r="HY654" s="42"/>
      <c r="HZ654" s="42"/>
      <c r="IA654" s="42"/>
      <c r="IB654" s="42"/>
      <c r="IC654" s="42"/>
      <c r="ID654" s="42"/>
      <c r="IE654" s="42"/>
      <c r="IF654" s="42"/>
      <c r="IG654" s="42"/>
      <c r="IH654" s="42"/>
      <c r="II654" s="42"/>
      <c r="IJ654" s="42"/>
      <c r="IK654" s="42"/>
      <c r="IL654" s="42"/>
      <c r="IM654" s="42"/>
      <c r="IN654" s="42"/>
      <c r="IO654" s="42"/>
      <c r="IP654" s="42"/>
      <c r="IQ654" s="42"/>
      <c r="IR654" s="42"/>
      <c r="IS654" s="42"/>
      <c r="IT654" s="42"/>
      <c r="IU654" s="42"/>
    </row>
    <row r="655" spans="1:11" s="146" customFormat="1" ht="13.5" customHeight="1">
      <c r="A655" s="11" t="s">
        <v>107</v>
      </c>
      <c r="B655" s="502" t="s">
        <v>108</v>
      </c>
      <c r="C655" s="63">
        <f>SUM(C656)</f>
        <v>29800</v>
      </c>
      <c r="D655" s="23"/>
      <c r="E655" s="23"/>
      <c r="F655" s="9"/>
      <c r="G655" s="147"/>
      <c r="H655" s="147"/>
      <c r="I655" s="147"/>
      <c r="J655" s="147"/>
      <c r="K655" s="147"/>
    </row>
    <row r="656" spans="1:11" s="146" customFormat="1" ht="13.5" customHeight="1">
      <c r="A656" s="12" t="s">
        <v>47</v>
      </c>
      <c r="B656" s="24" t="s">
        <v>48</v>
      </c>
      <c r="C656" s="24">
        <v>29800</v>
      </c>
      <c r="D656" s="23"/>
      <c r="E656" s="23"/>
      <c r="F656" s="9"/>
      <c r="G656" s="147"/>
      <c r="H656" s="147"/>
      <c r="I656" s="147"/>
      <c r="J656" s="147"/>
      <c r="K656" s="147"/>
    </row>
    <row r="657" spans="1:11" s="146" customFormat="1" ht="13.5" customHeight="1">
      <c r="A657" s="249" t="s">
        <v>124</v>
      </c>
      <c r="B657" s="25" t="s">
        <v>123</v>
      </c>
      <c r="C657" s="31">
        <f>SUM(C658:C658)</f>
        <v>24700</v>
      </c>
      <c r="D657" s="23"/>
      <c r="E657" s="23"/>
      <c r="F657" s="9"/>
      <c r="G657" s="147"/>
      <c r="H657" s="147"/>
      <c r="I657" s="147"/>
      <c r="J657" s="147"/>
      <c r="K657" s="147"/>
    </row>
    <row r="658" spans="1:11" s="146" customFormat="1" ht="13.5" customHeight="1">
      <c r="A658" s="12" t="s">
        <v>93</v>
      </c>
      <c r="B658" s="24" t="s">
        <v>72</v>
      </c>
      <c r="C658" s="59">
        <v>24700</v>
      </c>
      <c r="D658" s="23"/>
      <c r="E658" s="23"/>
      <c r="F658" s="9"/>
      <c r="G658" s="147"/>
      <c r="H658" s="147"/>
      <c r="I658" s="147"/>
      <c r="J658" s="147"/>
      <c r="K658" s="147"/>
    </row>
    <row r="659" spans="1:11" s="146" customFormat="1" ht="13.5" customHeight="1">
      <c r="A659" s="249" t="s">
        <v>504</v>
      </c>
      <c r="B659" s="31" t="s">
        <v>125</v>
      </c>
      <c r="C659" s="63">
        <f>SUM(C660:C662)</f>
        <v>112900</v>
      </c>
      <c r="D659" s="23"/>
      <c r="E659" s="23"/>
      <c r="F659" s="9"/>
      <c r="G659" s="147"/>
      <c r="H659" s="147"/>
      <c r="I659" s="147"/>
      <c r="J659" s="147"/>
      <c r="K659" s="147"/>
    </row>
    <row r="660" spans="1:11" s="146" customFormat="1" ht="13.5" customHeight="1">
      <c r="A660" s="71" t="s">
        <v>151</v>
      </c>
      <c r="B660" s="24" t="s">
        <v>65</v>
      </c>
      <c r="C660" s="59">
        <v>12900</v>
      </c>
      <c r="D660" s="23"/>
      <c r="E660" s="23"/>
      <c r="F660" s="9"/>
      <c r="G660" s="147"/>
      <c r="H660" s="147"/>
      <c r="I660" s="147"/>
      <c r="J660" s="147"/>
      <c r="K660" s="147"/>
    </row>
    <row r="661" spans="1:11" s="146" customFormat="1" ht="13.5" customHeight="1">
      <c r="A661" s="71" t="s">
        <v>154</v>
      </c>
      <c r="B661" s="24" t="s">
        <v>125</v>
      </c>
      <c r="C661" s="24">
        <v>32000</v>
      </c>
      <c r="D661" s="23"/>
      <c r="E661" s="23"/>
      <c r="F661" s="9"/>
      <c r="G661" s="147"/>
      <c r="H661" s="147"/>
      <c r="I661" s="147"/>
      <c r="J661" s="147"/>
      <c r="K661" s="147"/>
    </row>
    <row r="662" spans="1:11" s="146" customFormat="1" ht="13.5" customHeight="1">
      <c r="A662" s="71" t="s">
        <v>660</v>
      </c>
      <c r="B662" s="42" t="s">
        <v>642</v>
      </c>
      <c r="C662" s="24">
        <v>68000</v>
      </c>
      <c r="D662" s="23"/>
      <c r="E662" s="23"/>
      <c r="F662" s="9"/>
      <c r="G662" s="147"/>
      <c r="H662" s="147"/>
      <c r="I662" s="147"/>
      <c r="J662" s="147"/>
      <c r="K662" s="147"/>
    </row>
    <row r="663" spans="1:11" s="146" customFormat="1" ht="13.5" customHeight="1" thickBot="1">
      <c r="A663" s="71"/>
      <c r="B663" s="71"/>
      <c r="C663" s="23"/>
      <c r="D663" s="23"/>
      <c r="E663" s="23"/>
      <c r="F663" s="9"/>
      <c r="G663" s="147"/>
      <c r="H663" s="147"/>
      <c r="I663" s="147"/>
      <c r="J663" s="147"/>
      <c r="K663" s="147"/>
    </row>
    <row r="664" spans="1:11" s="146" customFormat="1" ht="13.5" customHeight="1" thickBot="1">
      <c r="A664" s="994" t="s">
        <v>3</v>
      </c>
      <c r="B664" s="995"/>
      <c r="C664" s="603">
        <f>(C665+C667+C671+C673+C675+C677)</f>
        <v>864500</v>
      </c>
      <c r="D664" s="23"/>
      <c r="E664" s="23"/>
      <c r="F664" s="9"/>
      <c r="G664" s="147"/>
      <c r="H664" s="147"/>
      <c r="I664" s="147"/>
      <c r="J664" s="147"/>
      <c r="K664" s="147"/>
    </row>
    <row r="665" spans="1:11" s="146" customFormat="1" ht="13.5" customHeight="1">
      <c r="A665" s="62" t="s">
        <v>110</v>
      </c>
      <c r="B665" s="199" t="s">
        <v>111</v>
      </c>
      <c r="C665" s="32">
        <f>SUM(C666)</f>
        <v>35000</v>
      </c>
      <c r="D665" s="23"/>
      <c r="E665" s="23"/>
      <c r="F665" s="9"/>
      <c r="G665" s="147"/>
      <c r="H665" s="147"/>
      <c r="I665" s="147"/>
      <c r="J665" s="147"/>
      <c r="K665" s="147"/>
    </row>
    <row r="666" spans="1:11" s="146" customFormat="1" ht="13.5" customHeight="1">
      <c r="A666" s="58" t="s">
        <v>52</v>
      </c>
      <c r="B666" s="58" t="s">
        <v>15</v>
      </c>
      <c r="C666" s="24">
        <v>35000</v>
      </c>
      <c r="D666" s="23"/>
      <c r="E666" s="23"/>
      <c r="F666" s="9"/>
      <c r="G666" s="147"/>
      <c r="H666" s="147"/>
      <c r="I666" s="147"/>
      <c r="J666" s="147"/>
      <c r="K666" s="147"/>
    </row>
    <row r="667" spans="1:11" s="146" customFormat="1" ht="13.5" customHeight="1">
      <c r="A667" s="62" t="s">
        <v>120</v>
      </c>
      <c r="B667" s="62" t="s">
        <v>121</v>
      </c>
      <c r="C667" s="504">
        <f>SUM(C668:C670)</f>
        <v>97800</v>
      </c>
      <c r="D667" s="23"/>
      <c r="E667" s="23"/>
      <c r="F667" s="9"/>
      <c r="G667" s="147"/>
      <c r="H667" s="147"/>
      <c r="I667" s="147"/>
      <c r="J667" s="147"/>
      <c r="K667" s="147"/>
    </row>
    <row r="668" spans="1:11" s="146" customFormat="1" ht="13.5" customHeight="1">
      <c r="A668" s="58" t="s">
        <v>245</v>
      </c>
      <c r="B668" s="42" t="s">
        <v>246</v>
      </c>
      <c r="C668" s="59">
        <v>35800</v>
      </c>
      <c r="D668" s="23"/>
      <c r="E668" s="23"/>
      <c r="F668" s="9"/>
      <c r="G668" s="147"/>
      <c r="H668" s="147"/>
      <c r="I668" s="147"/>
      <c r="J668" s="147"/>
      <c r="K668" s="147"/>
    </row>
    <row r="669" spans="1:11" s="146" customFormat="1" ht="13.5" customHeight="1">
      <c r="A669" s="58" t="s">
        <v>140</v>
      </c>
      <c r="B669" s="42" t="s">
        <v>141</v>
      </c>
      <c r="C669" s="59">
        <v>27000</v>
      </c>
      <c r="D669" s="23"/>
      <c r="E669" s="23"/>
      <c r="F669" s="9"/>
      <c r="G669" s="147"/>
      <c r="H669" s="147"/>
      <c r="I669" s="147"/>
      <c r="J669" s="147"/>
      <c r="K669" s="147"/>
    </row>
    <row r="670" spans="1:11" s="146" customFormat="1" ht="13.5" customHeight="1">
      <c r="A670" s="58" t="s">
        <v>136</v>
      </c>
      <c r="B670" s="58" t="s">
        <v>71</v>
      </c>
      <c r="C670" s="59">
        <v>35000</v>
      </c>
      <c r="D670" s="23"/>
      <c r="E670" s="23"/>
      <c r="F670" s="9"/>
      <c r="G670" s="147"/>
      <c r="H670" s="147"/>
      <c r="I670" s="147"/>
      <c r="J670" s="147"/>
      <c r="K670" s="147"/>
    </row>
    <row r="671" spans="1:11" s="146" customFormat="1" ht="13.5" customHeight="1">
      <c r="A671" s="249" t="s">
        <v>112</v>
      </c>
      <c r="B671" s="62" t="s">
        <v>156</v>
      </c>
      <c r="C671" s="31">
        <f>SUM(C672)</f>
        <v>310000</v>
      </c>
      <c r="D671" s="23"/>
      <c r="E671" s="23"/>
      <c r="F671" s="9"/>
      <c r="G671" s="147"/>
      <c r="H671" s="147"/>
      <c r="I671" s="147"/>
      <c r="J671" s="147"/>
      <c r="K671" s="147"/>
    </row>
    <row r="672" spans="1:11" s="146" customFormat="1" ht="13.5" customHeight="1">
      <c r="A672" s="71" t="s">
        <v>49</v>
      </c>
      <c r="B672" s="24" t="s">
        <v>87</v>
      </c>
      <c r="C672" s="59">
        <v>310000</v>
      </c>
      <c r="D672" s="23"/>
      <c r="E672" s="23"/>
      <c r="F672" s="9"/>
      <c r="G672" s="147"/>
      <c r="H672" s="147"/>
      <c r="I672" s="147"/>
      <c r="J672" s="147"/>
      <c r="K672" s="147"/>
    </row>
    <row r="673" spans="1:11" s="146" customFormat="1" ht="13.5" customHeight="1">
      <c r="A673" s="249" t="s">
        <v>113</v>
      </c>
      <c r="B673" s="31" t="s">
        <v>114</v>
      </c>
      <c r="C673" s="63">
        <f>SUM(C674)</f>
        <v>14500</v>
      </c>
      <c r="D673" s="23"/>
      <c r="E673" s="23"/>
      <c r="F673" s="9"/>
      <c r="G673" s="147"/>
      <c r="H673" s="147"/>
      <c r="I673" s="147"/>
      <c r="J673" s="147"/>
      <c r="K673" s="147"/>
    </row>
    <row r="674" spans="1:11" s="146" customFormat="1" ht="13.5" customHeight="1">
      <c r="A674" s="71" t="s">
        <v>163</v>
      </c>
      <c r="B674" s="58" t="s">
        <v>74</v>
      </c>
      <c r="C674" s="59">
        <v>14500</v>
      </c>
      <c r="D674" s="23"/>
      <c r="E674" s="23"/>
      <c r="F674" s="9"/>
      <c r="G674" s="147"/>
      <c r="H674" s="147"/>
      <c r="I674" s="147"/>
      <c r="J674" s="147"/>
      <c r="K674" s="147"/>
    </row>
    <row r="675" spans="1:6" s="55" customFormat="1" ht="13.5">
      <c r="A675" s="11" t="s">
        <v>132</v>
      </c>
      <c r="B675" s="31" t="s">
        <v>56</v>
      </c>
      <c r="C675" s="63">
        <f>SUM(C676)</f>
        <v>55000</v>
      </c>
      <c r="E675" s="56"/>
      <c r="F675" s="56"/>
    </row>
    <row r="676" spans="1:255" s="65" customFormat="1" ht="13.5">
      <c r="A676" s="71" t="s">
        <v>55</v>
      </c>
      <c r="B676" s="42" t="s">
        <v>56</v>
      </c>
      <c r="C676" s="59">
        <v>55000</v>
      </c>
      <c r="E676" s="56"/>
      <c r="F676" s="227"/>
      <c r="G676" s="442"/>
      <c r="H676" s="66"/>
      <c r="I676" s="55"/>
      <c r="J676" s="55"/>
      <c r="K676" s="55"/>
      <c r="L676" s="55"/>
      <c r="M676" s="55"/>
      <c r="N676" s="55"/>
      <c r="O676" s="55"/>
      <c r="P676" s="55"/>
      <c r="Q676" s="55"/>
      <c r="R676" s="55"/>
      <c r="S676" s="55"/>
      <c r="T676" s="55"/>
      <c r="U676" s="55"/>
      <c r="V676" s="55"/>
      <c r="W676" s="55"/>
      <c r="X676" s="55"/>
      <c r="Y676" s="55"/>
      <c r="Z676" s="55"/>
      <c r="AA676" s="55"/>
      <c r="AB676" s="55"/>
      <c r="AC676" s="55"/>
      <c r="AD676" s="55"/>
      <c r="AE676" s="55"/>
      <c r="AF676" s="55"/>
      <c r="AG676" s="55"/>
      <c r="AH676" s="55"/>
      <c r="AI676" s="55"/>
      <c r="AJ676" s="55"/>
      <c r="AK676" s="55"/>
      <c r="AL676" s="55"/>
      <c r="AM676" s="55"/>
      <c r="AN676" s="55"/>
      <c r="AO676" s="55"/>
      <c r="AP676" s="55"/>
      <c r="AQ676" s="55"/>
      <c r="AR676" s="55"/>
      <c r="AS676" s="55"/>
      <c r="AT676" s="55"/>
      <c r="AU676" s="55"/>
      <c r="AV676" s="55"/>
      <c r="AW676" s="55"/>
      <c r="AX676" s="55"/>
      <c r="AY676" s="55"/>
      <c r="AZ676" s="55"/>
      <c r="BA676" s="55"/>
      <c r="BB676" s="55"/>
      <c r="BC676" s="55"/>
      <c r="BD676" s="55"/>
      <c r="BE676" s="55"/>
      <c r="BF676" s="55"/>
      <c r="BG676" s="55"/>
      <c r="BH676" s="55"/>
      <c r="BI676" s="55"/>
      <c r="BJ676" s="55"/>
      <c r="BK676" s="55"/>
      <c r="BL676" s="55"/>
      <c r="BM676" s="55"/>
      <c r="BN676" s="55"/>
      <c r="BO676" s="55"/>
      <c r="BP676" s="55"/>
      <c r="BQ676" s="55"/>
      <c r="BR676" s="55"/>
      <c r="BS676" s="55"/>
      <c r="BT676" s="55"/>
      <c r="BU676" s="55"/>
      <c r="BV676" s="55"/>
      <c r="BW676" s="55"/>
      <c r="BX676" s="55"/>
      <c r="BY676" s="55"/>
      <c r="BZ676" s="55"/>
      <c r="CA676" s="55"/>
      <c r="CB676" s="55"/>
      <c r="CC676" s="55"/>
      <c r="CD676" s="55"/>
      <c r="CE676" s="55"/>
      <c r="CF676" s="55"/>
      <c r="CG676" s="55"/>
      <c r="CH676" s="55"/>
      <c r="CI676" s="55"/>
      <c r="CJ676" s="55"/>
      <c r="CK676" s="55"/>
      <c r="CL676" s="55"/>
      <c r="CM676" s="55"/>
      <c r="CN676" s="55"/>
      <c r="CO676" s="55"/>
      <c r="CP676" s="55"/>
      <c r="CQ676" s="55"/>
      <c r="CR676" s="55"/>
      <c r="CS676" s="55"/>
      <c r="CT676" s="55"/>
      <c r="CU676" s="55"/>
      <c r="CV676" s="55"/>
      <c r="CW676" s="55"/>
      <c r="CX676" s="55"/>
      <c r="CY676" s="55"/>
      <c r="CZ676" s="55"/>
      <c r="DA676" s="55"/>
      <c r="DB676" s="55"/>
      <c r="DC676" s="55"/>
      <c r="DD676" s="55"/>
      <c r="DE676" s="55"/>
      <c r="DF676" s="55"/>
      <c r="DG676" s="55"/>
      <c r="DH676" s="55"/>
      <c r="DI676" s="55"/>
      <c r="DJ676" s="55"/>
      <c r="DK676" s="55"/>
      <c r="DL676" s="55"/>
      <c r="DM676" s="55"/>
      <c r="DN676" s="55"/>
      <c r="DO676" s="55"/>
      <c r="DP676" s="55"/>
      <c r="DQ676" s="55"/>
      <c r="DR676" s="55"/>
      <c r="DS676" s="55"/>
      <c r="DT676" s="55"/>
      <c r="DU676" s="55"/>
      <c r="DV676" s="55"/>
      <c r="DW676" s="55"/>
      <c r="DX676" s="55"/>
      <c r="DY676" s="55"/>
      <c r="DZ676" s="55"/>
      <c r="EA676" s="55"/>
      <c r="EB676" s="55"/>
      <c r="EC676" s="55"/>
      <c r="ED676" s="55"/>
      <c r="EE676" s="55"/>
      <c r="EF676" s="55"/>
      <c r="EG676" s="55"/>
      <c r="EH676" s="55"/>
      <c r="EI676" s="55"/>
      <c r="EJ676" s="55"/>
      <c r="EK676" s="55"/>
      <c r="EL676" s="55"/>
      <c r="EM676" s="55"/>
      <c r="EN676" s="55"/>
      <c r="EO676" s="55"/>
      <c r="EP676" s="55"/>
      <c r="EQ676" s="55"/>
      <c r="ER676" s="55"/>
      <c r="ES676" s="55"/>
      <c r="ET676" s="55"/>
      <c r="EU676" s="55"/>
      <c r="EV676" s="55"/>
      <c r="EW676" s="55"/>
      <c r="EX676" s="55"/>
      <c r="EY676" s="55"/>
      <c r="EZ676" s="55"/>
      <c r="FA676" s="55"/>
      <c r="FB676" s="55"/>
      <c r="FC676" s="55"/>
      <c r="FD676" s="55"/>
      <c r="FE676" s="55"/>
      <c r="FF676" s="55"/>
      <c r="FG676" s="55"/>
      <c r="FH676" s="55"/>
      <c r="FI676" s="55"/>
      <c r="FJ676" s="55"/>
      <c r="FK676" s="55"/>
      <c r="FL676" s="55"/>
      <c r="FM676" s="55"/>
      <c r="FN676" s="55"/>
      <c r="FO676" s="55"/>
      <c r="FP676" s="55"/>
      <c r="FQ676" s="55"/>
      <c r="FR676" s="55"/>
      <c r="FS676" s="55"/>
      <c r="FT676" s="55"/>
      <c r="FU676" s="55"/>
      <c r="FV676" s="55"/>
      <c r="FW676" s="55"/>
      <c r="FX676" s="55"/>
      <c r="FY676" s="55"/>
      <c r="FZ676" s="55"/>
      <c r="GA676" s="55"/>
      <c r="GB676" s="55"/>
      <c r="GC676" s="55"/>
      <c r="GD676" s="55"/>
      <c r="GE676" s="55"/>
      <c r="GF676" s="55"/>
      <c r="GG676" s="55"/>
      <c r="GH676" s="55"/>
      <c r="GI676" s="55"/>
      <c r="GJ676" s="55"/>
      <c r="GK676" s="55"/>
      <c r="GL676" s="55"/>
      <c r="GM676" s="55"/>
      <c r="GN676" s="55"/>
      <c r="GO676" s="55"/>
      <c r="GP676" s="55"/>
      <c r="GQ676" s="55"/>
      <c r="GR676" s="55"/>
      <c r="GS676" s="55"/>
      <c r="GT676" s="55"/>
      <c r="GU676" s="55"/>
      <c r="GV676" s="55"/>
      <c r="GW676" s="55"/>
      <c r="GX676" s="55"/>
      <c r="GY676" s="55"/>
      <c r="GZ676" s="55"/>
      <c r="HA676" s="55"/>
      <c r="HB676" s="55"/>
      <c r="HC676" s="55"/>
      <c r="HD676" s="55"/>
      <c r="HE676" s="55"/>
      <c r="HF676" s="55"/>
      <c r="HG676" s="55"/>
      <c r="HH676" s="55"/>
      <c r="HI676" s="55"/>
      <c r="HJ676" s="55"/>
      <c r="HK676" s="55"/>
      <c r="HL676" s="55"/>
      <c r="HM676" s="55"/>
      <c r="HN676" s="55"/>
      <c r="HO676" s="55"/>
      <c r="HP676" s="55"/>
      <c r="HQ676" s="55"/>
      <c r="HR676" s="55"/>
      <c r="HS676" s="55"/>
      <c r="HT676" s="55"/>
      <c r="HU676" s="55"/>
      <c r="HV676" s="55"/>
      <c r="HW676" s="55"/>
      <c r="HX676" s="55"/>
      <c r="HY676" s="55"/>
      <c r="HZ676" s="55"/>
      <c r="IA676" s="55"/>
      <c r="IB676" s="55"/>
      <c r="IC676" s="55"/>
      <c r="ID676" s="55"/>
      <c r="IE676" s="55"/>
      <c r="IF676" s="55"/>
      <c r="IG676" s="55"/>
      <c r="IH676" s="55"/>
      <c r="II676" s="55"/>
      <c r="IJ676" s="55"/>
      <c r="IK676" s="55"/>
      <c r="IL676" s="55"/>
      <c r="IM676" s="55"/>
      <c r="IN676" s="55"/>
      <c r="IO676" s="55"/>
      <c r="IP676" s="55"/>
      <c r="IQ676" s="55"/>
      <c r="IR676" s="55"/>
      <c r="IS676" s="55"/>
      <c r="IT676" s="55"/>
      <c r="IU676" s="55"/>
    </row>
    <row r="677" spans="1:11" s="146" customFormat="1" ht="13.5" customHeight="1">
      <c r="A677" s="249" t="s">
        <v>115</v>
      </c>
      <c r="B677" s="31" t="s">
        <v>8</v>
      </c>
      <c r="C677" s="63">
        <f>SUM(C678:C681)</f>
        <v>352200</v>
      </c>
      <c r="D677" s="23"/>
      <c r="E677" s="23"/>
      <c r="F677" s="9"/>
      <c r="G677" s="147"/>
      <c r="H677" s="147"/>
      <c r="I677" s="147"/>
      <c r="J677" s="147"/>
      <c r="K677" s="147"/>
    </row>
    <row r="678" spans="1:11" s="146" customFormat="1" ht="13.5" customHeight="1">
      <c r="A678" s="71" t="s">
        <v>92</v>
      </c>
      <c r="B678" s="24" t="s">
        <v>8</v>
      </c>
      <c r="C678" s="59">
        <v>258000</v>
      </c>
      <c r="D678" s="23"/>
      <c r="E678" s="23"/>
      <c r="F678" s="9"/>
      <c r="G678" s="147"/>
      <c r="H678" s="147"/>
      <c r="I678" s="147"/>
      <c r="J678" s="147"/>
      <c r="K678" s="147"/>
    </row>
    <row r="679" spans="1:7" s="65" customFormat="1" ht="13.5">
      <c r="A679" s="71" t="s">
        <v>182</v>
      </c>
      <c r="B679" s="42" t="s">
        <v>181</v>
      </c>
      <c r="C679" s="59">
        <v>10000</v>
      </c>
      <c r="D679" s="66"/>
      <c r="F679" s="194"/>
      <c r="G679" s="67"/>
    </row>
    <row r="680" spans="1:8" s="65" customFormat="1" ht="13.5">
      <c r="A680" s="58" t="s">
        <v>223</v>
      </c>
      <c r="B680" s="42" t="s">
        <v>222</v>
      </c>
      <c r="C680" s="59">
        <f>120000-60000-30000</f>
        <v>30000</v>
      </c>
      <c r="E680" s="67"/>
      <c r="F680" s="194"/>
      <c r="H680" s="66"/>
    </row>
    <row r="681" spans="1:11" s="146" customFormat="1" ht="13.5" customHeight="1">
      <c r="A681" s="71" t="s">
        <v>90</v>
      </c>
      <c r="B681" s="24" t="s">
        <v>7</v>
      </c>
      <c r="C681" s="59">
        <v>54200</v>
      </c>
      <c r="D681" s="23"/>
      <c r="E681" s="23"/>
      <c r="F681" s="9"/>
      <c r="G681" s="147"/>
      <c r="H681" s="147"/>
      <c r="I681" s="147"/>
      <c r="J681" s="147"/>
      <c r="K681" s="147"/>
    </row>
    <row r="682" spans="1:11" s="146" customFormat="1" ht="13.5" customHeight="1" thickBot="1">
      <c r="A682" s="71"/>
      <c r="B682" s="71"/>
      <c r="C682" s="23"/>
      <c r="D682" s="23"/>
      <c r="E682" s="23"/>
      <c r="F682" s="9"/>
      <c r="G682" s="147"/>
      <c r="H682" s="147"/>
      <c r="I682" s="147"/>
      <c r="J682" s="147"/>
      <c r="K682" s="147"/>
    </row>
    <row r="683" spans="1:6" s="65" customFormat="1" ht="14.25" thickBot="1">
      <c r="A683" s="1030" t="s">
        <v>5</v>
      </c>
      <c r="B683" s="1037"/>
      <c r="C683" s="661">
        <f>C684</f>
        <v>75000</v>
      </c>
      <c r="D683" s="66"/>
      <c r="E683" s="67"/>
      <c r="F683" s="194"/>
    </row>
    <row r="684" spans="1:6" s="225" customFormat="1" ht="13.5">
      <c r="A684" s="62" t="s">
        <v>128</v>
      </c>
      <c r="B684" s="199" t="s">
        <v>129</v>
      </c>
      <c r="C684" s="509">
        <f>SUM(C685:C685)</f>
        <v>75000</v>
      </c>
      <c r="D684" s="172"/>
      <c r="E684" s="94"/>
      <c r="F684" s="98"/>
    </row>
    <row r="685" spans="1:6" s="55" customFormat="1" ht="13.5">
      <c r="A685" s="58" t="s">
        <v>144</v>
      </c>
      <c r="B685" s="42" t="s">
        <v>257</v>
      </c>
      <c r="C685" s="59">
        <v>75000</v>
      </c>
      <c r="D685" s="59"/>
      <c r="E685" s="56"/>
      <c r="F685" s="98"/>
    </row>
    <row r="686" spans="1:6" s="55" customFormat="1" ht="14.25" thickBot="1">
      <c r="A686" s="58"/>
      <c r="B686" s="42"/>
      <c r="C686" s="59"/>
      <c r="D686" s="59"/>
      <c r="E686" s="56"/>
      <c r="F686" s="98"/>
    </row>
    <row r="687" spans="1:11" s="146" customFormat="1" ht="13.5" customHeight="1" thickBot="1">
      <c r="A687" s="1038" t="s">
        <v>4</v>
      </c>
      <c r="B687" s="1039"/>
      <c r="C687" s="605">
        <f>(+C688+C691)</f>
        <v>104300</v>
      </c>
      <c r="D687" s="23"/>
      <c r="E687" s="23"/>
      <c r="F687" s="9"/>
      <c r="G687" s="147"/>
      <c r="H687" s="147"/>
      <c r="I687" s="147"/>
      <c r="J687" s="147"/>
      <c r="K687" s="147"/>
    </row>
    <row r="688" spans="1:11" s="146" customFormat="1" ht="13.5" customHeight="1">
      <c r="A688" s="11" t="s">
        <v>116</v>
      </c>
      <c r="B688" s="25" t="s">
        <v>117</v>
      </c>
      <c r="C688" s="504">
        <f>SUM(C689:C690)</f>
        <v>85900</v>
      </c>
      <c r="D688" s="23"/>
      <c r="E688" s="23"/>
      <c r="F688" s="9"/>
      <c r="G688" s="147"/>
      <c r="H688" s="147"/>
      <c r="I688" s="147"/>
      <c r="J688" s="147"/>
      <c r="K688" s="147"/>
    </row>
    <row r="689" spans="1:11" s="146" customFormat="1" ht="13.5" customHeight="1">
      <c r="A689" s="71" t="s">
        <v>91</v>
      </c>
      <c r="B689" s="23" t="s">
        <v>139</v>
      </c>
      <c r="C689" s="59">
        <v>35000</v>
      </c>
      <c r="D689" s="23"/>
      <c r="E689" s="23"/>
      <c r="F689" s="9"/>
      <c r="G689" s="147"/>
      <c r="H689" s="147"/>
      <c r="I689" s="147"/>
      <c r="J689" s="147"/>
      <c r="K689" s="147"/>
    </row>
    <row r="690" spans="1:11" s="146" customFormat="1" ht="13.5" customHeight="1">
      <c r="A690" s="12" t="s">
        <v>57</v>
      </c>
      <c r="B690" s="42" t="s">
        <v>58</v>
      </c>
      <c r="C690" s="59">
        <f>40900+10000</f>
        <v>50900</v>
      </c>
      <c r="D690" s="23"/>
      <c r="E690" s="23"/>
      <c r="F690" s="9"/>
      <c r="G690" s="147"/>
      <c r="H690" s="147"/>
      <c r="I690" s="147"/>
      <c r="J690" s="147"/>
      <c r="K690" s="147"/>
    </row>
    <row r="691" spans="1:11" s="146" customFormat="1" ht="13.5" customHeight="1">
      <c r="A691" s="249" t="s">
        <v>165</v>
      </c>
      <c r="B691" s="25" t="s">
        <v>135</v>
      </c>
      <c r="C691" s="63">
        <f>SUM(C692)</f>
        <v>18400</v>
      </c>
      <c r="D691" s="23"/>
      <c r="E691" s="23"/>
      <c r="F691" s="9"/>
      <c r="G691" s="147"/>
      <c r="H691" s="147"/>
      <c r="I691" s="147"/>
      <c r="J691" s="147"/>
      <c r="K691" s="147"/>
    </row>
    <row r="692" spans="1:11" s="146" customFormat="1" ht="13.5" customHeight="1">
      <c r="A692" s="71" t="s">
        <v>166</v>
      </c>
      <c r="B692" s="23" t="s">
        <v>51</v>
      </c>
      <c r="C692" s="59">
        <v>18400</v>
      </c>
      <c r="D692" s="23"/>
      <c r="E692" s="23"/>
      <c r="F692" s="9"/>
      <c r="G692" s="147"/>
      <c r="H692" s="147"/>
      <c r="I692" s="147"/>
      <c r="J692" s="147"/>
      <c r="K692" s="147"/>
    </row>
    <row r="693" spans="1:11" s="146" customFormat="1" ht="13.5" customHeight="1">
      <c r="A693" s="71"/>
      <c r="B693" s="23"/>
      <c r="C693" s="59"/>
      <c r="D693" s="23"/>
      <c r="E693" s="23"/>
      <c r="F693" s="9"/>
      <c r="G693" s="147"/>
      <c r="H693" s="147"/>
      <c r="I693" s="147"/>
      <c r="J693" s="147"/>
      <c r="K693" s="147"/>
    </row>
    <row r="694" spans="1:11" s="146" customFormat="1" ht="13.5" customHeight="1" thickBot="1">
      <c r="A694" s="71"/>
      <c r="B694" s="23"/>
      <c r="C694" s="59"/>
      <c r="D694" s="23"/>
      <c r="E694" s="23"/>
      <c r="F694" s="9"/>
      <c r="G694" s="147"/>
      <c r="H694" s="147"/>
      <c r="I694" s="147"/>
      <c r="J694" s="147"/>
      <c r="K694" s="147"/>
    </row>
    <row r="695" spans="1:6" s="6" customFormat="1" ht="13.5">
      <c r="A695" s="988" t="s">
        <v>657</v>
      </c>
      <c r="B695" s="1009"/>
      <c r="C695" s="989"/>
      <c r="D695" s="627" t="s">
        <v>6</v>
      </c>
      <c r="E695" s="755">
        <v>1810</v>
      </c>
      <c r="F695" s="88"/>
    </row>
    <row r="696" spans="1:6" s="6" customFormat="1" ht="14.25" thickBot="1">
      <c r="A696" s="990"/>
      <c r="B696" s="1010"/>
      <c r="C696" s="991"/>
      <c r="D696" s="630"/>
      <c r="E696" s="631"/>
      <c r="F696" s="88"/>
    </row>
    <row r="697" spans="1:6" s="6" customFormat="1" ht="13.5">
      <c r="A697" s="1021" t="s">
        <v>996</v>
      </c>
      <c r="B697" s="1022"/>
      <c r="C697" s="1022"/>
      <c r="D697" s="1022"/>
      <c r="E697" s="1023"/>
      <c r="F697" s="88"/>
    </row>
    <row r="698" spans="1:6" s="6" customFormat="1" ht="13.5">
      <c r="A698" s="1024"/>
      <c r="B698" s="1025"/>
      <c r="C698" s="1025"/>
      <c r="D698" s="1025"/>
      <c r="E698" s="1026"/>
      <c r="F698" s="88"/>
    </row>
    <row r="699" spans="1:6" s="6" customFormat="1" ht="14.25" thickBot="1">
      <c r="A699" s="1024"/>
      <c r="B699" s="1025"/>
      <c r="C699" s="1025"/>
      <c r="D699" s="1025"/>
      <c r="E699" s="1026"/>
      <c r="F699" s="88"/>
    </row>
    <row r="700" spans="1:6" s="6" customFormat="1" ht="13.5">
      <c r="A700" s="116" t="s">
        <v>809</v>
      </c>
      <c r="B700" s="115"/>
      <c r="C700" s="114"/>
      <c r="D700" s="113"/>
      <c r="E700" s="112"/>
      <c r="F700" s="88"/>
    </row>
    <row r="701" spans="1:6" s="13" customFormat="1" ht="13.5">
      <c r="A701" s="40" t="s">
        <v>655</v>
      </c>
      <c r="B701" s="45"/>
      <c r="C701" s="54"/>
      <c r="D701" s="32"/>
      <c r="E701" s="41"/>
      <c r="F701" s="89"/>
    </row>
    <row r="702" spans="1:6" s="13" customFormat="1" ht="11.25" customHeight="1">
      <c r="A702" s="40" t="s">
        <v>656</v>
      </c>
      <c r="B702" s="31"/>
      <c r="C702" s="54"/>
      <c r="D702" s="32"/>
      <c r="E702" s="41"/>
      <c r="F702" s="89"/>
    </row>
    <row r="703" spans="1:6" s="6" customFormat="1" ht="13.5" customHeight="1" thickBot="1">
      <c r="A703" s="40" t="s">
        <v>157</v>
      </c>
      <c r="B703" s="45"/>
      <c r="C703" s="54"/>
      <c r="D703" s="32"/>
      <c r="E703" s="41"/>
      <c r="F703" s="88"/>
    </row>
    <row r="704" spans="1:6" s="6" customFormat="1" ht="13.5" customHeight="1" thickBot="1">
      <c r="A704" s="697" t="s">
        <v>0</v>
      </c>
      <c r="B704" s="718"/>
      <c r="C704" s="719"/>
      <c r="D704" s="720"/>
      <c r="E704" s="707">
        <f>+C706+C718+C733</f>
        <v>1567260</v>
      </c>
      <c r="F704" s="88"/>
    </row>
    <row r="705" spans="2:6" s="6" customFormat="1" ht="13.5" customHeight="1" thickBot="1">
      <c r="B705" s="29"/>
      <c r="C705" s="29"/>
      <c r="D705" s="111"/>
      <c r="E705" s="44"/>
      <c r="F705" s="88"/>
    </row>
    <row r="706" spans="1:6" s="6" customFormat="1" ht="13.5" customHeight="1" thickBot="1">
      <c r="A706" s="992" t="s">
        <v>2</v>
      </c>
      <c r="B706" s="993"/>
      <c r="C706" s="602">
        <f>C707+C709+C711+C713</f>
        <v>141910</v>
      </c>
      <c r="D706" s="111"/>
      <c r="E706" s="29"/>
      <c r="F706" s="88"/>
    </row>
    <row r="707" spans="1:8" s="6" customFormat="1" ht="13.5" customHeight="1">
      <c r="A707" s="11" t="s">
        <v>103</v>
      </c>
      <c r="B707" s="281" t="s">
        <v>104</v>
      </c>
      <c r="C707" s="31">
        <f>SUM(C708)</f>
        <v>14700</v>
      </c>
      <c r="F707" s="111"/>
      <c r="G707" s="29"/>
      <c r="H707" s="88"/>
    </row>
    <row r="708" spans="1:8" s="6" customFormat="1" ht="13.5" customHeight="1">
      <c r="A708" s="12" t="s">
        <v>46</v>
      </c>
      <c r="B708" s="42" t="s">
        <v>160</v>
      </c>
      <c r="C708" s="24">
        <v>14700</v>
      </c>
      <c r="F708" s="172"/>
      <c r="G708" s="29"/>
      <c r="H708" s="88"/>
    </row>
    <row r="709" spans="1:8" s="13" customFormat="1" ht="13.5">
      <c r="A709" s="11" t="s">
        <v>105</v>
      </c>
      <c r="B709" s="502" t="s">
        <v>106</v>
      </c>
      <c r="C709" s="31">
        <f>SUM(C710)</f>
        <v>18750</v>
      </c>
      <c r="F709" s="111"/>
      <c r="G709" s="99"/>
      <c r="H709" s="89"/>
    </row>
    <row r="710" spans="1:8" s="13" customFormat="1" ht="13.5">
      <c r="A710" s="12" t="s">
        <v>86</v>
      </c>
      <c r="B710" s="42" t="s">
        <v>66</v>
      </c>
      <c r="C710" s="24">
        <v>18750</v>
      </c>
      <c r="F710" s="111"/>
      <c r="G710" s="99"/>
      <c r="H710" s="89"/>
    </row>
    <row r="711" spans="1:8" s="13" customFormat="1" ht="13.5">
      <c r="A711" s="11" t="s">
        <v>107</v>
      </c>
      <c r="B711" s="502" t="s">
        <v>108</v>
      </c>
      <c r="C711" s="31">
        <f>SUM(C712)</f>
        <v>23880</v>
      </c>
      <c r="F711" s="111"/>
      <c r="G711" s="99"/>
      <c r="H711" s="89"/>
    </row>
    <row r="712" spans="1:8" s="8" customFormat="1" ht="13.5">
      <c r="A712" s="12" t="s">
        <v>47</v>
      </c>
      <c r="B712" s="23" t="s">
        <v>48</v>
      </c>
      <c r="C712" s="24">
        <v>23880</v>
      </c>
      <c r="F712" s="110"/>
      <c r="G712" s="85"/>
      <c r="H712" s="91"/>
    </row>
    <row r="713" spans="1:8" s="8" customFormat="1" ht="13.5">
      <c r="A713" s="249" t="s">
        <v>150</v>
      </c>
      <c r="B713" s="25" t="s">
        <v>125</v>
      </c>
      <c r="C713" s="31">
        <f>SUM(C714:C716)</f>
        <v>84580</v>
      </c>
      <c r="F713" s="110"/>
      <c r="G713" s="85"/>
      <c r="H713" s="91"/>
    </row>
    <row r="714" spans="1:8" s="8" customFormat="1" ht="13.5">
      <c r="A714" s="12" t="s">
        <v>152</v>
      </c>
      <c r="B714" s="42" t="s">
        <v>70</v>
      </c>
      <c r="C714" s="24">
        <v>13780</v>
      </c>
      <c r="F714" s="110"/>
      <c r="G714" s="85"/>
      <c r="H714" s="91"/>
    </row>
    <row r="715" spans="1:8" s="8" customFormat="1" ht="13.5">
      <c r="A715" s="71" t="s">
        <v>154</v>
      </c>
      <c r="B715" s="23" t="s">
        <v>125</v>
      </c>
      <c r="C715" s="24">
        <v>25800</v>
      </c>
      <c r="F715" s="110"/>
      <c r="G715" s="85"/>
      <c r="H715" s="91"/>
    </row>
    <row r="716" spans="1:7" s="8" customFormat="1" ht="13.5" customHeight="1">
      <c r="A716" s="12" t="s">
        <v>643</v>
      </c>
      <c r="B716" s="42" t="s">
        <v>642</v>
      </c>
      <c r="C716" s="24">
        <v>45000</v>
      </c>
      <c r="F716" s="100"/>
      <c r="G716" s="9"/>
    </row>
    <row r="717" spans="1:8" s="8" customFormat="1" ht="13.5" customHeight="1" thickBot="1">
      <c r="A717" s="71"/>
      <c r="B717" s="23"/>
      <c r="C717" s="23"/>
      <c r="F717" s="110"/>
      <c r="G717" s="85"/>
      <c r="H717" s="91"/>
    </row>
    <row r="718" spans="1:8" s="8" customFormat="1" ht="13.5" customHeight="1" thickBot="1">
      <c r="A718" s="994" t="s">
        <v>3</v>
      </c>
      <c r="B718" s="995"/>
      <c r="C718" s="603">
        <f>C719+C721+C723+C725+C727</f>
        <v>1380150</v>
      </c>
      <c r="F718" s="110"/>
      <c r="G718" s="85"/>
      <c r="H718" s="91"/>
    </row>
    <row r="719" spans="1:8" s="8" customFormat="1" ht="13.5" customHeight="1">
      <c r="A719" s="506" t="s">
        <v>110</v>
      </c>
      <c r="B719" s="281" t="s">
        <v>111</v>
      </c>
      <c r="C719" s="31">
        <f>C720</f>
        <v>62400</v>
      </c>
      <c r="F719" s="110"/>
      <c r="G719" s="85"/>
      <c r="H719" s="91"/>
    </row>
    <row r="720" spans="1:8" s="8" customFormat="1" ht="13.5" customHeight="1">
      <c r="A720" s="69" t="s">
        <v>52</v>
      </c>
      <c r="B720" s="42" t="s">
        <v>15</v>
      </c>
      <c r="C720" s="24">
        <v>62400</v>
      </c>
      <c r="F720" s="83"/>
      <c r="G720" s="85"/>
      <c r="H720" s="91"/>
    </row>
    <row r="721" spans="1:8" s="8" customFormat="1" ht="13.5" customHeight="1">
      <c r="A721" s="506" t="s">
        <v>120</v>
      </c>
      <c r="B721" s="505" t="s">
        <v>583</v>
      </c>
      <c r="C721" s="31">
        <f>SUM(C722)</f>
        <v>15300</v>
      </c>
      <c r="F721" s="83"/>
      <c r="G721" s="85"/>
      <c r="H721" s="91"/>
    </row>
    <row r="722" spans="1:8" s="8" customFormat="1" ht="13.5" customHeight="1">
      <c r="A722" s="69" t="s">
        <v>136</v>
      </c>
      <c r="B722" s="42" t="s">
        <v>71</v>
      </c>
      <c r="C722" s="24">
        <v>15300</v>
      </c>
      <c r="F722" s="83"/>
      <c r="G722" s="85"/>
      <c r="H722" s="91"/>
    </row>
    <row r="723" spans="1:8" s="42" customFormat="1" ht="13.5">
      <c r="A723" s="506" t="s">
        <v>112</v>
      </c>
      <c r="B723" s="62" t="s">
        <v>156</v>
      </c>
      <c r="C723" s="31">
        <f>SUM(C724)</f>
        <v>788000</v>
      </c>
      <c r="F723" s="111"/>
      <c r="G723" s="84"/>
      <c r="H723" s="94"/>
    </row>
    <row r="724" spans="1:8" s="8" customFormat="1" ht="13.5">
      <c r="A724" s="69" t="s">
        <v>155</v>
      </c>
      <c r="B724" s="69" t="s">
        <v>87</v>
      </c>
      <c r="C724" s="24">
        <v>788000</v>
      </c>
      <c r="F724" s="23"/>
      <c r="G724" s="85"/>
      <c r="H724" s="91"/>
    </row>
    <row r="725" spans="1:8" s="8" customFormat="1" ht="13.5">
      <c r="A725" s="62" t="s">
        <v>113</v>
      </c>
      <c r="B725" s="505" t="s">
        <v>114</v>
      </c>
      <c r="C725" s="31">
        <f>SUM(C726)</f>
        <v>24700</v>
      </c>
      <c r="F725" s="110"/>
      <c r="G725" s="85"/>
      <c r="H725" s="91"/>
    </row>
    <row r="726" spans="1:8" s="8" customFormat="1" ht="13.5">
      <c r="A726" s="58" t="s">
        <v>88</v>
      </c>
      <c r="B726" s="42" t="s">
        <v>64</v>
      </c>
      <c r="C726" s="24">
        <v>24700</v>
      </c>
      <c r="F726" s="110"/>
      <c r="G726" s="85"/>
      <c r="H726" s="91"/>
    </row>
    <row r="727" spans="1:6" s="8" customFormat="1" ht="13.5">
      <c r="A727" s="506" t="s">
        <v>115</v>
      </c>
      <c r="B727" s="506" t="s">
        <v>8</v>
      </c>
      <c r="C727" s="31">
        <f>SUM(C728:C731)</f>
        <v>489750</v>
      </c>
      <c r="D727" s="110"/>
      <c r="E727" s="85"/>
      <c r="F727" s="91"/>
    </row>
    <row r="728" spans="1:6" s="8" customFormat="1" ht="13.5">
      <c r="A728" s="69" t="s">
        <v>89</v>
      </c>
      <c r="B728" s="69" t="s">
        <v>8</v>
      </c>
      <c r="C728" s="24">
        <v>280000</v>
      </c>
      <c r="D728" s="110"/>
      <c r="E728" s="85"/>
      <c r="F728" s="91"/>
    </row>
    <row r="729" spans="1:6" s="8" customFormat="1" ht="13.5">
      <c r="A729" s="69" t="s">
        <v>182</v>
      </c>
      <c r="B729" s="69" t="s">
        <v>50</v>
      </c>
      <c r="C729" s="24">
        <v>26250</v>
      </c>
      <c r="D729" s="110"/>
      <c r="E729" s="85"/>
      <c r="F729" s="91"/>
    </row>
    <row r="730" spans="1:8" s="65" customFormat="1" ht="13.5">
      <c r="A730" s="58" t="s">
        <v>223</v>
      </c>
      <c r="B730" s="42" t="s">
        <v>222</v>
      </c>
      <c r="C730" s="59">
        <v>94500</v>
      </c>
      <c r="E730" s="67"/>
      <c r="F730" s="194"/>
      <c r="H730" s="66"/>
    </row>
    <row r="731" spans="1:6" s="8" customFormat="1" ht="13.5">
      <c r="A731" s="69" t="s">
        <v>90</v>
      </c>
      <c r="B731" s="69" t="s">
        <v>7</v>
      </c>
      <c r="C731" s="24">
        <v>89000</v>
      </c>
      <c r="D731" s="110"/>
      <c r="E731" s="85"/>
      <c r="F731" s="91"/>
    </row>
    <row r="732" spans="1:6" s="8" customFormat="1" ht="13.5" customHeight="1" thickBot="1">
      <c r="A732" s="69"/>
      <c r="B732" s="69"/>
      <c r="C732" s="23"/>
      <c r="D732" s="110"/>
      <c r="E732" s="85"/>
      <c r="F732" s="91"/>
    </row>
    <row r="733" spans="1:6" s="8" customFormat="1" ht="13.5" customHeight="1" thickBot="1">
      <c r="A733" s="996" t="s">
        <v>4</v>
      </c>
      <c r="B733" s="997"/>
      <c r="C733" s="605">
        <f>C734+C738+C736</f>
        <v>45200</v>
      </c>
      <c r="D733" s="110"/>
      <c r="E733" s="85"/>
      <c r="F733" s="91"/>
    </row>
    <row r="734" spans="1:6" s="8" customFormat="1" ht="13.5" customHeight="1">
      <c r="A734" s="249" t="s">
        <v>116</v>
      </c>
      <c r="B734" s="281" t="s">
        <v>117</v>
      </c>
      <c r="C734" s="32">
        <f>SUM(C735)</f>
        <v>29700</v>
      </c>
      <c r="D734" s="110"/>
      <c r="E734" s="85"/>
      <c r="F734" s="91"/>
    </row>
    <row r="735" spans="1:6" s="8" customFormat="1" ht="13.5" customHeight="1">
      <c r="A735" s="71" t="s">
        <v>91</v>
      </c>
      <c r="B735" s="42" t="s">
        <v>139</v>
      </c>
      <c r="C735" s="24">
        <v>29700</v>
      </c>
      <c r="D735" s="110"/>
      <c r="E735" s="85"/>
      <c r="F735" s="91"/>
    </row>
    <row r="736" spans="1:6" s="8" customFormat="1" ht="13.5" customHeight="1" hidden="1">
      <c r="A736" s="249" t="s">
        <v>131</v>
      </c>
      <c r="B736" s="249" t="s">
        <v>259</v>
      </c>
      <c r="C736" s="31">
        <f>SUM(C737)</f>
        <v>0</v>
      </c>
      <c r="D736" s="110"/>
      <c r="E736" s="85"/>
      <c r="F736" s="91"/>
    </row>
    <row r="737" spans="1:6" s="8" customFormat="1" ht="13.5" customHeight="1" hidden="1">
      <c r="A737" s="71" t="s">
        <v>164</v>
      </c>
      <c r="B737" s="71" t="s">
        <v>259</v>
      </c>
      <c r="C737" s="24"/>
      <c r="D737" s="110"/>
      <c r="E737" s="85"/>
      <c r="F737" s="91"/>
    </row>
    <row r="738" spans="1:6" s="42" customFormat="1" ht="13.5">
      <c r="A738" s="249" t="s">
        <v>165</v>
      </c>
      <c r="B738" s="25" t="s">
        <v>134</v>
      </c>
      <c r="C738" s="31">
        <f>SUM(C739)</f>
        <v>15500</v>
      </c>
      <c r="D738" s="111"/>
      <c r="E738" s="84"/>
      <c r="F738" s="94"/>
    </row>
    <row r="739" spans="1:6" s="65" customFormat="1" ht="13.5">
      <c r="A739" s="71" t="s">
        <v>166</v>
      </c>
      <c r="B739" s="23" t="s">
        <v>51</v>
      </c>
      <c r="C739" s="24">
        <v>15500</v>
      </c>
      <c r="D739" s="110"/>
      <c r="E739" s="85"/>
      <c r="F739" s="91"/>
    </row>
    <row r="740" spans="1:10" s="65" customFormat="1" ht="13.5">
      <c r="A740" s="12"/>
      <c r="B740" s="24"/>
      <c r="C740" s="24"/>
      <c r="D740" s="110"/>
      <c r="E740" s="85"/>
      <c r="F740" s="94"/>
      <c r="G740" s="55"/>
      <c r="H740" s="55"/>
      <c r="I740" s="55"/>
      <c r="J740" s="55"/>
    </row>
    <row r="741" spans="1:10" s="5" customFormat="1" ht="13.5" thickBot="1">
      <c r="A741" s="3"/>
      <c r="B741" s="3"/>
      <c r="C741" s="18"/>
      <c r="D741" s="18"/>
      <c r="E741" s="18"/>
      <c r="F741" s="1"/>
      <c r="G741" s="332"/>
      <c r="H741" s="142"/>
      <c r="I741" s="142"/>
      <c r="J741" s="142"/>
    </row>
    <row r="742" spans="1:10" s="5" customFormat="1" ht="12.75">
      <c r="A742" s="583" t="s">
        <v>658</v>
      </c>
      <c r="B742" s="584"/>
      <c r="C742" s="625"/>
      <c r="D742" s="627" t="s">
        <v>6</v>
      </c>
      <c r="E742" s="757" t="s">
        <v>1004</v>
      </c>
      <c r="F742" s="1"/>
      <c r="G742" s="332"/>
      <c r="H742" s="142"/>
      <c r="I742" s="142"/>
      <c r="J742" s="142"/>
    </row>
    <row r="743" spans="1:10" s="5" customFormat="1" ht="13.5" thickBot="1">
      <c r="A743" s="587"/>
      <c r="B743" s="588"/>
      <c r="C743" s="628"/>
      <c r="D743" s="630"/>
      <c r="E743" s="653"/>
      <c r="F743" s="1"/>
      <c r="G743" s="332"/>
      <c r="H743" s="142"/>
      <c r="I743" s="142"/>
      <c r="J743" s="142"/>
    </row>
    <row r="744" spans="1:7" s="1" customFormat="1" ht="12.75" customHeight="1">
      <c r="A744" s="979" t="s">
        <v>998</v>
      </c>
      <c r="B744" s="980"/>
      <c r="C744" s="980"/>
      <c r="D744" s="980"/>
      <c r="E744" s="981"/>
      <c r="G744" s="332"/>
    </row>
    <row r="745" spans="1:7" s="1" customFormat="1" ht="12.75" customHeight="1">
      <c r="A745" s="982"/>
      <c r="B745" s="983"/>
      <c r="C745" s="983"/>
      <c r="D745" s="983"/>
      <c r="E745" s="984"/>
      <c r="G745" s="332"/>
    </row>
    <row r="746" spans="1:7" s="1" customFormat="1" ht="12.75" customHeight="1">
      <c r="A746" s="982"/>
      <c r="B746" s="983"/>
      <c r="C746" s="983"/>
      <c r="D746" s="983"/>
      <c r="E746" s="984"/>
      <c r="G746" s="332"/>
    </row>
    <row r="747" spans="1:7" s="1" customFormat="1" ht="12.75" customHeight="1" thickBot="1">
      <c r="A747" s="985"/>
      <c r="B747" s="986"/>
      <c r="C747" s="986"/>
      <c r="D747" s="986"/>
      <c r="E747" s="987"/>
      <c r="G747" s="332"/>
    </row>
    <row r="748" spans="1:10" s="3" customFormat="1" ht="12.75" customHeight="1">
      <c r="A748" s="40" t="s">
        <v>809</v>
      </c>
      <c r="B748" s="12"/>
      <c r="C748" s="24"/>
      <c r="D748" s="24"/>
      <c r="E748" s="303"/>
      <c r="F748" s="1"/>
      <c r="G748" s="332"/>
      <c r="H748" s="1"/>
      <c r="I748" s="1"/>
      <c r="J748" s="1"/>
    </row>
    <row r="749" spans="1:7" s="3" customFormat="1" ht="12.75" customHeight="1">
      <c r="A749" s="40" t="s">
        <v>584</v>
      </c>
      <c r="B749" s="12"/>
      <c r="C749" s="24"/>
      <c r="D749" s="24"/>
      <c r="E749" s="303"/>
      <c r="F749" s="1"/>
      <c r="G749" s="332"/>
    </row>
    <row r="750" spans="1:7" s="3" customFormat="1" ht="13.5" customHeight="1">
      <c r="A750" s="40" t="s">
        <v>601</v>
      </c>
      <c r="B750" s="12"/>
      <c r="C750" s="24"/>
      <c r="D750" s="24"/>
      <c r="E750" s="303"/>
      <c r="G750" s="324"/>
    </row>
    <row r="751" spans="1:7" s="3" customFormat="1" ht="13.5" customHeight="1" thickBot="1">
      <c r="A751" s="75" t="s">
        <v>13</v>
      </c>
      <c r="B751" s="135"/>
      <c r="C751" s="360"/>
      <c r="D751" s="360"/>
      <c r="E751" s="361"/>
      <c r="G751" s="324"/>
    </row>
    <row r="752" spans="1:7" s="3" customFormat="1" ht="13.5" customHeight="1" thickBot="1">
      <c r="A752" s="697" t="s">
        <v>14</v>
      </c>
      <c r="B752" s="698"/>
      <c r="C752" s="699"/>
      <c r="D752" s="701"/>
      <c r="E752" s="707">
        <f>+C754+C768+C782</f>
        <v>3627950</v>
      </c>
      <c r="F752" s="87"/>
      <c r="G752" s="87"/>
    </row>
    <row r="753" spans="1:7" s="3" customFormat="1" ht="13.5" customHeight="1" thickBot="1">
      <c r="A753" s="11"/>
      <c r="B753" s="11"/>
      <c r="C753" s="31"/>
      <c r="D753" s="31"/>
      <c r="F753" s="327"/>
      <c r="G753" s="324"/>
    </row>
    <row r="754" spans="1:7" s="3" customFormat="1" ht="14.25" customHeight="1" thickBot="1">
      <c r="A754" s="992" t="s">
        <v>2</v>
      </c>
      <c r="B754" s="993"/>
      <c r="C754" s="602">
        <f>C755+C757+C759+C762+C765</f>
        <v>116500</v>
      </c>
      <c r="D754" s="18"/>
      <c r="F754" s="327"/>
      <c r="G754" s="324"/>
    </row>
    <row r="755" spans="1:6" s="332" customFormat="1" ht="14.25" customHeight="1">
      <c r="A755" s="11" t="s">
        <v>107</v>
      </c>
      <c r="B755" s="249" t="s">
        <v>108</v>
      </c>
      <c r="C755" s="32">
        <f>SUM(C756)</f>
        <v>18500</v>
      </c>
      <c r="D755" s="331"/>
      <c r="F755" s="329"/>
    </row>
    <row r="756" spans="1:7" s="5" customFormat="1" ht="14.25" customHeight="1">
      <c r="A756" s="12" t="s">
        <v>47</v>
      </c>
      <c r="B756" s="23" t="s">
        <v>48</v>
      </c>
      <c r="C756" s="24">
        <v>18500</v>
      </c>
      <c r="D756" s="21"/>
      <c r="E756" s="21"/>
      <c r="G756" s="333"/>
    </row>
    <row r="757" spans="1:7" s="5" customFormat="1" ht="14.25" customHeight="1">
      <c r="A757" s="11" t="s">
        <v>196</v>
      </c>
      <c r="B757" s="31" t="s">
        <v>360</v>
      </c>
      <c r="C757" s="31">
        <f>SUM(C758)</f>
        <v>42600</v>
      </c>
      <c r="D757" s="21"/>
      <c r="E757" s="21"/>
      <c r="G757" s="333"/>
    </row>
    <row r="758" spans="1:7" s="5" customFormat="1" ht="14.25" customHeight="1">
      <c r="A758" s="12" t="s">
        <v>194</v>
      </c>
      <c r="B758" s="24" t="s">
        <v>216</v>
      </c>
      <c r="C758" s="24">
        <v>42600</v>
      </c>
      <c r="D758" s="21"/>
      <c r="E758" s="21"/>
      <c r="G758" s="333"/>
    </row>
    <row r="759" spans="1:7" s="5" customFormat="1" ht="13.5" customHeight="1">
      <c r="A759" s="249" t="s">
        <v>119</v>
      </c>
      <c r="B759" s="25" t="s">
        <v>109</v>
      </c>
      <c r="C759" s="31">
        <f>SUM(C760:C761)</f>
        <v>18750</v>
      </c>
      <c r="D759" s="21"/>
      <c r="E759" s="21"/>
      <c r="G759" s="333"/>
    </row>
    <row r="760" spans="1:7" s="5" customFormat="1" ht="14.25" customHeight="1">
      <c r="A760" s="71" t="s">
        <v>149</v>
      </c>
      <c r="B760" s="23" t="s">
        <v>338</v>
      </c>
      <c r="C760" s="24">
        <v>12900</v>
      </c>
      <c r="D760" s="21"/>
      <c r="E760" s="21"/>
      <c r="G760" s="333"/>
    </row>
    <row r="761" spans="1:9" s="71" customFormat="1" ht="13.5" customHeight="1">
      <c r="A761" s="12" t="s">
        <v>545</v>
      </c>
      <c r="B761" s="42" t="s">
        <v>558</v>
      </c>
      <c r="C761" s="24">
        <v>5850</v>
      </c>
      <c r="D761" s="77"/>
      <c r="E761" s="25"/>
      <c r="F761" s="100"/>
      <c r="G761" s="24"/>
      <c r="H761" s="12"/>
      <c r="I761" s="265"/>
    </row>
    <row r="762" spans="1:7" s="5" customFormat="1" ht="13.5" customHeight="1">
      <c r="A762" s="249" t="s">
        <v>124</v>
      </c>
      <c r="B762" s="25" t="s">
        <v>123</v>
      </c>
      <c r="C762" s="31">
        <f>SUM(C763:C764)</f>
        <v>23450</v>
      </c>
      <c r="D762" s="21"/>
      <c r="E762" s="21"/>
      <c r="G762" s="333"/>
    </row>
    <row r="763" spans="1:7" s="5" customFormat="1" ht="13.5" customHeight="1">
      <c r="A763" s="71" t="s">
        <v>241</v>
      </c>
      <c r="B763" s="23" t="s">
        <v>242</v>
      </c>
      <c r="C763" s="24">
        <v>6450</v>
      </c>
      <c r="D763" s="21"/>
      <c r="E763" s="21"/>
      <c r="G763" s="333"/>
    </row>
    <row r="764" spans="1:7" s="5" customFormat="1" ht="13.5" customHeight="1">
      <c r="A764" s="71" t="s">
        <v>93</v>
      </c>
      <c r="B764" s="23" t="s">
        <v>377</v>
      </c>
      <c r="C764" s="24">
        <v>17000</v>
      </c>
      <c r="D764" s="21"/>
      <c r="E764" s="21"/>
      <c r="G764" s="333"/>
    </row>
    <row r="765" spans="1:7" s="5" customFormat="1" ht="13.5" customHeight="1">
      <c r="A765" s="249" t="s">
        <v>150</v>
      </c>
      <c r="B765" s="25" t="s">
        <v>125</v>
      </c>
      <c r="C765" s="31">
        <f>SUM(C766:C766)</f>
        <v>13200</v>
      </c>
      <c r="D765" s="21"/>
      <c r="E765" s="21"/>
      <c r="G765" s="333"/>
    </row>
    <row r="766" spans="1:7" s="5" customFormat="1" ht="13.5" customHeight="1">
      <c r="A766" s="71" t="s">
        <v>154</v>
      </c>
      <c r="B766" s="23" t="s">
        <v>133</v>
      </c>
      <c r="C766" s="24">
        <v>13200</v>
      </c>
      <c r="D766" s="21"/>
      <c r="E766" s="21"/>
      <c r="G766" s="333"/>
    </row>
    <row r="767" spans="1:7" s="5" customFormat="1" ht="13.5" customHeight="1" thickBot="1">
      <c r="A767" s="71"/>
      <c r="B767" s="23"/>
      <c r="C767" s="23"/>
      <c r="D767" s="21"/>
      <c r="E767" s="21"/>
      <c r="G767" s="333"/>
    </row>
    <row r="768" spans="1:7" s="5" customFormat="1" ht="13.5" customHeight="1" thickBot="1">
      <c r="A768" s="994" t="s">
        <v>3</v>
      </c>
      <c r="B768" s="995"/>
      <c r="C768" s="603">
        <f>(C771+C774+C777+C769)</f>
        <v>3075050</v>
      </c>
      <c r="D768" s="21"/>
      <c r="E768" s="21"/>
      <c r="G768" s="333"/>
    </row>
    <row r="769" spans="1:5" s="55" customFormat="1" ht="13.5">
      <c r="A769" s="249" t="s">
        <v>339</v>
      </c>
      <c r="B769" s="199" t="s">
        <v>340</v>
      </c>
      <c r="C769" s="63">
        <f>SUM(C770)</f>
        <v>2493200</v>
      </c>
      <c r="D769" s="56"/>
      <c r="E769" s="172"/>
    </row>
    <row r="770" spans="1:10" s="8" customFormat="1" ht="13.5" customHeight="1">
      <c r="A770" s="71" t="s">
        <v>378</v>
      </c>
      <c r="B770" s="58" t="s">
        <v>533</v>
      </c>
      <c r="C770" s="24">
        <v>2493200</v>
      </c>
      <c r="D770" s="77"/>
      <c r="E770" s="25"/>
      <c r="F770" s="98"/>
      <c r="G770" s="54"/>
      <c r="H770" s="42"/>
      <c r="J770" s="82"/>
    </row>
    <row r="771" spans="1:7" s="71" customFormat="1" ht="13.5" customHeight="1">
      <c r="A771" s="11" t="s">
        <v>120</v>
      </c>
      <c r="B771" s="25" t="s">
        <v>121</v>
      </c>
      <c r="C771" s="31">
        <f>SUM(C772:C773)</f>
        <v>267250</v>
      </c>
      <c r="D771" s="12"/>
      <c r="E771" s="12"/>
      <c r="F771" s="12"/>
      <c r="G771" s="100"/>
    </row>
    <row r="772" spans="1:9" s="71" customFormat="1" ht="13.5" customHeight="1">
      <c r="A772" s="12" t="s">
        <v>235</v>
      </c>
      <c r="B772" s="12" t="s">
        <v>379</v>
      </c>
      <c r="C772" s="24">
        <f>225000+14000</f>
        <v>239000</v>
      </c>
      <c r="G772" s="12"/>
      <c r="H772" s="12"/>
      <c r="I772" s="12"/>
    </row>
    <row r="773" spans="1:9" s="71" customFormat="1" ht="13.5" customHeight="1">
      <c r="A773" s="12" t="s">
        <v>136</v>
      </c>
      <c r="B773" s="12" t="s">
        <v>71</v>
      </c>
      <c r="C773" s="24">
        <f>23250+5000</f>
        <v>28250</v>
      </c>
      <c r="G773" s="12"/>
      <c r="H773" s="12"/>
      <c r="I773" s="100"/>
    </row>
    <row r="774" spans="1:9" s="71" customFormat="1" ht="13.5" customHeight="1">
      <c r="A774" s="249" t="s">
        <v>112</v>
      </c>
      <c r="B774" s="11" t="s">
        <v>156</v>
      </c>
      <c r="C774" s="31">
        <f>SUM(C775:C776)</f>
        <v>151000</v>
      </c>
      <c r="G774" s="12"/>
      <c r="H774" s="12"/>
      <c r="I774" s="12"/>
    </row>
    <row r="775" spans="1:8" s="71" customFormat="1" ht="13.5" customHeight="1">
      <c r="A775" s="12" t="s">
        <v>138</v>
      </c>
      <c r="B775" s="58" t="s">
        <v>810</v>
      </c>
      <c r="C775" s="24">
        <v>8000</v>
      </c>
      <c r="G775" s="24"/>
      <c r="H775" s="24"/>
    </row>
    <row r="776" spans="1:8" s="71" customFormat="1" ht="13.5" customHeight="1">
      <c r="A776" s="71" t="s">
        <v>155</v>
      </c>
      <c r="B776" s="12" t="s">
        <v>87</v>
      </c>
      <c r="C776" s="24">
        <v>143000</v>
      </c>
      <c r="G776" s="24"/>
      <c r="H776" s="24"/>
    </row>
    <row r="777" spans="1:8" s="71" customFormat="1" ht="13.5" customHeight="1">
      <c r="A777" s="249" t="s">
        <v>115</v>
      </c>
      <c r="B777" s="249" t="s">
        <v>8</v>
      </c>
      <c r="C777" s="31">
        <f>SUM(C778:C780)</f>
        <v>163600</v>
      </c>
      <c r="G777" s="24"/>
      <c r="H777" s="24"/>
    </row>
    <row r="778" spans="1:9" s="71" customFormat="1" ht="13.5" customHeight="1">
      <c r="A778" s="71" t="s">
        <v>89</v>
      </c>
      <c r="B778" s="71" t="s">
        <v>8</v>
      </c>
      <c r="C778" s="24">
        <v>81600</v>
      </c>
      <c r="G778" s="23"/>
      <c r="H778" s="23"/>
      <c r="I778" s="12"/>
    </row>
    <row r="779" spans="1:8" s="71" customFormat="1" ht="13.5" customHeight="1">
      <c r="A779" s="71" t="s">
        <v>182</v>
      </c>
      <c r="B779" s="71" t="s">
        <v>50</v>
      </c>
      <c r="C779" s="24">
        <v>22500</v>
      </c>
      <c r="G779" s="23"/>
      <c r="H779" s="23"/>
    </row>
    <row r="780" spans="1:7" s="71" customFormat="1" ht="13.5" customHeight="1">
      <c r="A780" s="71" t="s">
        <v>90</v>
      </c>
      <c r="B780" s="71" t="s">
        <v>7</v>
      </c>
      <c r="C780" s="24">
        <v>59500</v>
      </c>
      <c r="D780" s="23"/>
      <c r="E780" s="362"/>
      <c r="G780" s="217"/>
    </row>
    <row r="781" spans="1:7" s="5" customFormat="1" ht="13.5" customHeight="1" thickBot="1">
      <c r="A781" s="71"/>
      <c r="B781" s="71"/>
      <c r="C781" s="23"/>
      <c r="D781" s="21"/>
      <c r="E781" s="21"/>
      <c r="F781" s="142"/>
      <c r="G781" s="561"/>
    </row>
    <row r="782" spans="1:7" s="5" customFormat="1" ht="14.25" customHeight="1" thickBot="1">
      <c r="A782" s="996" t="s">
        <v>4</v>
      </c>
      <c r="B782" s="997"/>
      <c r="C782" s="605">
        <f>(C783+C787)</f>
        <v>436400</v>
      </c>
      <c r="D782" s="21"/>
      <c r="E782" s="21"/>
      <c r="G782" s="561"/>
    </row>
    <row r="783" spans="1:7" s="334" customFormat="1" ht="14.25" customHeight="1">
      <c r="A783" s="249" t="s">
        <v>116</v>
      </c>
      <c r="B783" s="249" t="s">
        <v>117</v>
      </c>
      <c r="C783" s="32">
        <f>SUM(C784:C786)</f>
        <v>407900</v>
      </c>
      <c r="D783" s="95"/>
      <c r="E783" s="95"/>
      <c r="G783" s="562"/>
    </row>
    <row r="784" spans="1:6" s="8" customFormat="1" ht="13.5" customHeight="1">
      <c r="A784" s="71" t="s">
        <v>91</v>
      </c>
      <c r="B784" s="42" t="s">
        <v>139</v>
      </c>
      <c r="C784" s="24">
        <v>19700</v>
      </c>
      <c r="D784" s="110"/>
      <c r="E784" s="85"/>
      <c r="F784" s="91"/>
    </row>
    <row r="785" spans="1:7" s="5" customFormat="1" ht="14.25" customHeight="1">
      <c r="A785" s="71" t="s">
        <v>380</v>
      </c>
      <c r="B785" s="71" t="s">
        <v>381</v>
      </c>
      <c r="C785" s="24">
        <v>360000</v>
      </c>
      <c r="E785" s="21"/>
      <c r="F785" s="21"/>
      <c r="G785" s="333"/>
    </row>
    <row r="786" spans="1:7" s="5" customFormat="1" ht="14.25" customHeight="1">
      <c r="A786" s="71" t="s">
        <v>57</v>
      </c>
      <c r="B786" s="71" t="s">
        <v>58</v>
      </c>
      <c r="C786" s="24">
        <v>28200</v>
      </c>
      <c r="D786" s="21"/>
      <c r="E786" s="21"/>
      <c r="G786" s="561"/>
    </row>
    <row r="787" spans="1:6" s="42" customFormat="1" ht="13.5">
      <c r="A787" s="249" t="s">
        <v>165</v>
      </c>
      <c r="B787" s="25" t="s">
        <v>134</v>
      </c>
      <c r="C787" s="31">
        <f>SUM(C788)</f>
        <v>28500</v>
      </c>
      <c r="D787" s="111"/>
      <c r="E787" s="84"/>
      <c r="F787" s="94"/>
    </row>
    <row r="788" spans="1:6" s="65" customFormat="1" ht="13.5">
      <c r="A788" s="71" t="s">
        <v>166</v>
      </c>
      <c r="B788" s="23" t="s">
        <v>51</v>
      </c>
      <c r="C788" s="24">
        <v>28500</v>
      </c>
      <c r="D788" s="110"/>
      <c r="E788" s="85"/>
      <c r="F788" s="91"/>
    </row>
    <row r="789" spans="2:6" s="13" customFormat="1" ht="13.5">
      <c r="B789" s="99"/>
      <c r="C789" s="99"/>
      <c r="D789" s="863"/>
      <c r="E789" s="790"/>
      <c r="F789" s="89"/>
    </row>
    <row r="790" spans="2:6" s="6" customFormat="1" ht="13.5" customHeight="1" thickBot="1">
      <c r="B790" s="29"/>
      <c r="C790" s="29"/>
      <c r="D790" s="30"/>
      <c r="E790" s="33"/>
      <c r="F790" s="88"/>
    </row>
    <row r="791" spans="1:9" s="293" customFormat="1" ht="13.5" customHeight="1">
      <c r="A791" s="583" t="s">
        <v>718</v>
      </c>
      <c r="B791" s="584" t="s">
        <v>739</v>
      </c>
      <c r="C791" s="625"/>
      <c r="D791" s="811" t="s">
        <v>6</v>
      </c>
      <c r="E791" s="814">
        <v>1812</v>
      </c>
      <c r="F791" s="624"/>
      <c r="I791" s="294"/>
    </row>
    <row r="792" spans="1:9" s="293" customFormat="1" ht="13.5" customHeight="1" thickBot="1">
      <c r="A792" s="587"/>
      <c r="B792" s="588"/>
      <c r="C792" s="628"/>
      <c r="D792" s="844"/>
      <c r="E792" s="826"/>
      <c r="F792" s="624"/>
      <c r="I792" s="294"/>
    </row>
    <row r="793" spans="1:9" s="293" customFormat="1" ht="13.5" customHeight="1">
      <c r="A793" s="252" t="s">
        <v>798</v>
      </c>
      <c r="B793" s="52"/>
      <c r="C793" s="286"/>
      <c r="D793" s="261"/>
      <c r="E793" s="288"/>
      <c r="F793" s="624"/>
      <c r="I793" s="294"/>
    </row>
    <row r="794" spans="1:9" s="293" customFormat="1" ht="13.5" customHeight="1">
      <c r="A794" s="252" t="s">
        <v>702</v>
      </c>
      <c r="B794" s="52"/>
      <c r="C794" s="286"/>
      <c r="D794" s="261"/>
      <c r="E794" s="288"/>
      <c r="F794" s="624"/>
      <c r="I794" s="294"/>
    </row>
    <row r="795" spans="1:9" s="293" customFormat="1" ht="13.5" customHeight="1">
      <c r="A795" s="252" t="s">
        <v>617</v>
      </c>
      <c r="B795" s="52"/>
      <c r="C795" s="286"/>
      <c r="D795" s="261"/>
      <c r="E795" s="288"/>
      <c r="F795" s="624"/>
      <c r="I795" s="294"/>
    </row>
    <row r="796" spans="1:9" s="293" customFormat="1" ht="13.5" customHeight="1" thickBot="1">
      <c r="A796" s="252" t="s">
        <v>11</v>
      </c>
      <c r="B796" s="52"/>
      <c r="C796" s="313"/>
      <c r="D796" s="261"/>
      <c r="E796" s="288"/>
      <c r="F796" s="624"/>
      <c r="I796" s="294"/>
    </row>
    <row r="797" spans="1:9" s="293" customFormat="1" ht="13.5" customHeight="1" thickBot="1">
      <c r="A797" s="697" t="s">
        <v>300</v>
      </c>
      <c r="B797" s="698"/>
      <c r="C797" s="699"/>
      <c r="D797" s="700"/>
      <c r="E797" s="701">
        <f>(C799)</f>
        <v>2465000</v>
      </c>
      <c r="F797" s="624"/>
      <c r="I797" s="294"/>
    </row>
    <row r="798" spans="1:9" s="293" customFormat="1" ht="13.5" customHeight="1" thickBot="1">
      <c r="A798" s="12"/>
      <c r="B798" s="12"/>
      <c r="C798" s="286"/>
      <c r="D798" s="276"/>
      <c r="E798" s="286"/>
      <c r="F798" s="624"/>
      <c r="I798" s="294"/>
    </row>
    <row r="799" spans="1:9" s="293" customFormat="1" ht="12.75" customHeight="1" thickBot="1">
      <c r="A799" s="1011" t="s">
        <v>301</v>
      </c>
      <c r="B799" s="1012"/>
      <c r="C799" s="710">
        <f>(C801)</f>
        <v>2465000</v>
      </c>
      <c r="D799" s="316"/>
      <c r="E799" s="286"/>
      <c r="F799" s="624"/>
      <c r="I799" s="294"/>
    </row>
    <row r="800" spans="1:9" s="293" customFormat="1" ht="12.75" customHeight="1">
      <c r="A800" s="319" t="s">
        <v>302</v>
      </c>
      <c r="B800" s="510" t="s">
        <v>323</v>
      </c>
      <c r="C800" s="286"/>
      <c r="D800" s="276"/>
      <c r="E800" s="286"/>
      <c r="F800" s="624"/>
      <c r="I800" s="294"/>
    </row>
    <row r="801" spans="1:9" s="293" customFormat="1" ht="12.75" customHeight="1">
      <c r="A801" s="12" t="s">
        <v>740</v>
      </c>
      <c r="B801" s="12" t="s">
        <v>741</v>
      </c>
      <c r="C801" s="317">
        <v>2465000</v>
      </c>
      <c r="D801" s="276"/>
      <c r="E801" s="286"/>
      <c r="F801" s="624"/>
      <c r="I801" s="294"/>
    </row>
    <row r="802" spans="1:9" s="293" customFormat="1" ht="12.75" customHeight="1">
      <c r="A802" s="257"/>
      <c r="B802" s="52"/>
      <c r="C802" s="286"/>
      <c r="D802" s="276"/>
      <c r="E802" s="286"/>
      <c r="F802" s="624"/>
      <c r="I802" s="294"/>
    </row>
    <row r="803" spans="2:6" s="6" customFormat="1" ht="12.75" customHeight="1">
      <c r="B803" s="29"/>
      <c r="C803" s="29"/>
      <c r="D803" s="30"/>
      <c r="E803" s="33"/>
      <c r="F803" s="88"/>
    </row>
    <row r="804" spans="2:6" s="6" customFormat="1" ht="12.75" customHeight="1">
      <c r="B804" s="29"/>
      <c r="C804" s="29"/>
      <c r="D804" s="30"/>
      <c r="E804" s="33"/>
      <c r="F804" s="88"/>
    </row>
    <row r="805" spans="2:6" s="6" customFormat="1" ht="12.75" customHeight="1">
      <c r="B805" s="29"/>
      <c r="C805" s="29"/>
      <c r="D805" s="30"/>
      <c r="E805" s="33"/>
      <c r="F805" s="88"/>
    </row>
    <row r="806" spans="2:6" s="6" customFormat="1" ht="12.75" customHeight="1">
      <c r="B806" s="29"/>
      <c r="C806" s="29"/>
      <c r="D806" s="30"/>
      <c r="E806" s="33"/>
      <c r="F806" s="88"/>
    </row>
    <row r="807" spans="2:6" s="6" customFormat="1" ht="12.75" customHeight="1">
      <c r="B807" s="29"/>
      <c r="C807" s="29"/>
      <c r="D807" s="30"/>
      <c r="E807" s="33"/>
      <c r="F807" s="88"/>
    </row>
    <row r="808" spans="2:6" s="6" customFormat="1" ht="12.75" customHeight="1">
      <c r="B808" s="29"/>
      <c r="C808" s="29"/>
      <c r="D808" s="30"/>
      <c r="E808" s="33"/>
      <c r="F808" s="88"/>
    </row>
    <row r="809" spans="2:6" s="6" customFormat="1" ht="12.75" customHeight="1">
      <c r="B809" s="29"/>
      <c r="C809" s="29"/>
      <c r="D809" s="30"/>
      <c r="E809" s="33"/>
      <c r="F809" s="88"/>
    </row>
    <row r="810" spans="2:6" s="6" customFormat="1" ht="12.75" customHeight="1">
      <c r="B810" s="29"/>
      <c r="C810" s="29"/>
      <c r="D810" s="30"/>
      <c r="E810" s="33"/>
      <c r="F810" s="88"/>
    </row>
    <row r="811" spans="2:6" s="6" customFormat="1" ht="12.75" customHeight="1">
      <c r="B811" s="29"/>
      <c r="C811" s="29"/>
      <c r="D811" s="30"/>
      <c r="E811" s="33"/>
      <c r="F811" s="88"/>
    </row>
    <row r="812" spans="2:6" s="6" customFormat="1" ht="12.75" customHeight="1">
      <c r="B812" s="29"/>
      <c r="C812" s="29"/>
      <c r="D812" s="30"/>
      <c r="E812" s="33"/>
      <c r="F812" s="88"/>
    </row>
    <row r="813" spans="2:6" s="6" customFormat="1" ht="12.75" customHeight="1">
      <c r="B813" s="29"/>
      <c r="C813" s="29"/>
      <c r="D813" s="30"/>
      <c r="E813" s="33"/>
      <c r="F813" s="88"/>
    </row>
    <row r="814" spans="2:6" s="6" customFormat="1" ht="12.75" customHeight="1">
      <c r="B814" s="29"/>
      <c r="C814" s="29"/>
      <c r="D814" s="30"/>
      <c r="E814" s="33"/>
      <c r="F814" s="88"/>
    </row>
    <row r="815" spans="2:6" s="6" customFormat="1" ht="12.75" customHeight="1">
      <c r="B815" s="29"/>
      <c r="C815" s="29"/>
      <c r="D815" s="30"/>
      <c r="E815" s="33"/>
      <c r="F815" s="88"/>
    </row>
    <row r="816" spans="2:6" s="6" customFormat="1" ht="12.75" customHeight="1">
      <c r="B816" s="29"/>
      <c r="C816" s="29"/>
      <c r="D816" s="30"/>
      <c r="E816" s="33"/>
      <c r="F816" s="88"/>
    </row>
    <row r="817" spans="2:6" s="6" customFormat="1" ht="12.75" customHeight="1">
      <c r="B817" s="29"/>
      <c r="C817" s="29"/>
      <c r="D817" s="30"/>
      <c r="E817" s="33"/>
      <c r="F817" s="88"/>
    </row>
    <row r="818" spans="2:6" s="6" customFormat="1" ht="12.75" customHeight="1">
      <c r="B818" s="29"/>
      <c r="C818" s="29"/>
      <c r="D818" s="30"/>
      <c r="E818" s="33"/>
      <c r="F818" s="88"/>
    </row>
    <row r="819" spans="2:6" s="6" customFormat="1" ht="12.75" customHeight="1">
      <c r="B819" s="29"/>
      <c r="C819" s="29"/>
      <c r="D819" s="30"/>
      <c r="E819" s="33"/>
      <c r="F819" s="88"/>
    </row>
    <row r="820" spans="2:6" s="6" customFormat="1" ht="12.75" customHeight="1">
      <c r="B820" s="29"/>
      <c r="C820" s="29"/>
      <c r="D820" s="30"/>
      <c r="E820" s="33"/>
      <c r="F820" s="88"/>
    </row>
    <row r="821" spans="2:6" s="6" customFormat="1" ht="13.5">
      <c r="B821" s="29"/>
      <c r="C821" s="29"/>
      <c r="D821" s="30"/>
      <c r="E821" s="33"/>
      <c r="F821" s="88"/>
    </row>
    <row r="822" spans="2:6" s="6" customFormat="1" ht="13.5">
      <c r="B822" s="29"/>
      <c r="C822" s="29"/>
      <c r="D822" s="30"/>
      <c r="E822" s="33"/>
      <c r="F822" s="88"/>
    </row>
    <row r="823" spans="2:6" s="6" customFormat="1" ht="13.5">
      <c r="B823" s="29"/>
      <c r="C823" s="29"/>
      <c r="D823" s="30"/>
      <c r="E823" s="33"/>
      <c r="F823" s="88"/>
    </row>
    <row r="824" spans="2:6" s="6" customFormat="1" ht="13.5">
      <c r="B824" s="29"/>
      <c r="C824" s="29"/>
      <c r="D824" s="30"/>
      <c r="E824" s="33"/>
      <c r="F824" s="88"/>
    </row>
    <row r="825" spans="2:6" s="6" customFormat="1" ht="13.5">
      <c r="B825" s="29"/>
      <c r="C825" s="29"/>
      <c r="D825" s="30"/>
      <c r="E825" s="33"/>
      <c r="F825" s="88"/>
    </row>
    <row r="826" spans="2:6" s="6" customFormat="1" ht="13.5">
      <c r="B826" s="29"/>
      <c r="C826" s="29"/>
      <c r="D826" s="30"/>
      <c r="E826" s="33"/>
      <c r="F826" s="88"/>
    </row>
    <row r="827" spans="2:6" s="6" customFormat="1" ht="13.5">
      <c r="B827" s="29"/>
      <c r="C827" s="29"/>
      <c r="D827" s="30"/>
      <c r="E827" s="33"/>
      <c r="F827" s="88"/>
    </row>
    <row r="828" spans="2:6" s="6" customFormat="1" ht="13.5">
      <c r="B828" s="29"/>
      <c r="C828" s="29"/>
      <c r="D828" s="30"/>
      <c r="E828" s="33"/>
      <c r="F828" s="88"/>
    </row>
    <row r="829" spans="2:6" s="6" customFormat="1" ht="13.5">
      <c r="B829" s="29"/>
      <c r="C829" s="29"/>
      <c r="D829" s="30"/>
      <c r="E829" s="33"/>
      <c r="F829" s="88"/>
    </row>
    <row r="830" spans="2:6" s="6" customFormat="1" ht="13.5">
      <c r="B830" s="29"/>
      <c r="C830" s="29"/>
      <c r="D830" s="30"/>
      <c r="E830" s="33"/>
      <c r="F830" s="88"/>
    </row>
    <row r="831" spans="2:6" s="6" customFormat="1" ht="13.5">
      <c r="B831" s="29"/>
      <c r="C831" s="29"/>
      <c r="D831" s="30"/>
      <c r="E831" s="33"/>
      <c r="F831" s="88"/>
    </row>
    <row r="832" spans="2:6" s="6" customFormat="1" ht="13.5">
      <c r="B832" s="29"/>
      <c r="C832" s="29"/>
      <c r="D832" s="30"/>
      <c r="E832" s="33"/>
      <c r="F832" s="88"/>
    </row>
    <row r="833" spans="2:6" s="6" customFormat="1" ht="13.5">
      <c r="B833" s="29"/>
      <c r="C833" s="29"/>
      <c r="D833" s="30"/>
      <c r="E833" s="33"/>
      <c r="F833" s="88"/>
    </row>
    <row r="834" spans="2:6" s="6" customFormat="1" ht="13.5">
      <c r="B834" s="29"/>
      <c r="C834" s="29"/>
      <c r="D834" s="30"/>
      <c r="E834" s="33"/>
      <c r="F834" s="88"/>
    </row>
    <row r="835" spans="2:6" s="6" customFormat="1" ht="13.5">
      <c r="B835" s="29"/>
      <c r="C835" s="29"/>
      <c r="D835" s="30"/>
      <c r="E835" s="33"/>
      <c r="F835" s="88"/>
    </row>
    <row r="836" spans="2:6" s="6" customFormat="1" ht="13.5">
      <c r="B836" s="29"/>
      <c r="C836" s="29"/>
      <c r="D836" s="30"/>
      <c r="E836" s="33"/>
      <c r="F836" s="88"/>
    </row>
    <row r="837" spans="2:6" s="6" customFormat="1" ht="13.5">
      <c r="B837" s="29"/>
      <c r="C837" s="29"/>
      <c r="D837" s="30"/>
      <c r="E837" s="33"/>
      <c r="F837" s="88"/>
    </row>
    <row r="838" spans="2:6" s="6" customFormat="1" ht="13.5">
      <c r="B838" s="29"/>
      <c r="C838" s="29"/>
      <c r="D838" s="30"/>
      <c r="E838" s="33"/>
      <c r="F838" s="88"/>
    </row>
    <row r="839" spans="2:6" s="6" customFormat="1" ht="13.5">
      <c r="B839" s="29"/>
      <c r="C839" s="29"/>
      <c r="D839" s="30"/>
      <c r="E839" s="33"/>
      <c r="F839" s="88"/>
    </row>
    <row r="840" spans="2:6" s="6" customFormat="1" ht="13.5">
      <c r="B840" s="29"/>
      <c r="C840" s="29"/>
      <c r="D840" s="30"/>
      <c r="E840" s="33"/>
      <c r="F840" s="88"/>
    </row>
    <row r="841" spans="2:6" s="6" customFormat="1" ht="13.5">
      <c r="B841" s="29"/>
      <c r="C841" s="29"/>
      <c r="D841" s="30"/>
      <c r="E841" s="33"/>
      <c r="F841" s="88"/>
    </row>
    <row r="842" spans="2:6" s="6" customFormat="1" ht="13.5">
      <c r="B842" s="29"/>
      <c r="C842" s="29"/>
      <c r="D842" s="30"/>
      <c r="E842" s="33"/>
      <c r="F842" s="88"/>
    </row>
    <row r="843" spans="2:6" s="6" customFormat="1" ht="13.5">
      <c r="B843" s="29"/>
      <c r="C843" s="29"/>
      <c r="D843" s="30"/>
      <c r="E843" s="33"/>
      <c r="F843" s="88"/>
    </row>
    <row r="844" spans="2:6" s="6" customFormat="1" ht="13.5">
      <c r="B844" s="29"/>
      <c r="C844" s="29"/>
      <c r="D844" s="30"/>
      <c r="E844" s="33"/>
      <c r="F844" s="88"/>
    </row>
    <row r="845" spans="2:6" s="6" customFormat="1" ht="13.5">
      <c r="B845" s="29"/>
      <c r="C845" s="29"/>
      <c r="D845" s="30"/>
      <c r="E845" s="33"/>
      <c r="F845" s="88"/>
    </row>
    <row r="846" spans="2:6" s="6" customFormat="1" ht="13.5">
      <c r="B846" s="29"/>
      <c r="C846" s="29"/>
      <c r="D846" s="30"/>
      <c r="E846" s="33"/>
      <c r="F846" s="88"/>
    </row>
    <row r="847" spans="2:6" s="6" customFormat="1" ht="13.5">
      <c r="B847" s="29"/>
      <c r="C847" s="29"/>
      <c r="D847" s="30"/>
      <c r="E847" s="33"/>
      <c r="F847" s="88"/>
    </row>
    <row r="848" spans="2:6" s="6" customFormat="1" ht="13.5">
      <c r="B848" s="29"/>
      <c r="C848" s="29"/>
      <c r="D848" s="30"/>
      <c r="E848" s="33"/>
      <c r="F848" s="88"/>
    </row>
    <row r="849" spans="2:6" s="6" customFormat="1" ht="13.5">
      <c r="B849" s="29"/>
      <c r="C849" s="29"/>
      <c r="D849" s="30"/>
      <c r="E849" s="33"/>
      <c r="F849" s="88"/>
    </row>
    <row r="850" spans="2:6" s="6" customFormat="1" ht="13.5">
      <c r="B850" s="29"/>
      <c r="C850" s="29"/>
      <c r="D850" s="30"/>
      <c r="E850" s="33"/>
      <c r="F850" s="88"/>
    </row>
    <row r="851" spans="2:6" s="6" customFormat="1" ht="13.5">
      <c r="B851" s="29"/>
      <c r="C851" s="29"/>
      <c r="D851" s="30"/>
      <c r="E851" s="33"/>
      <c r="F851" s="88"/>
    </row>
    <row r="852" spans="2:6" s="6" customFormat="1" ht="13.5">
      <c r="B852" s="29"/>
      <c r="C852" s="29"/>
      <c r="D852" s="30"/>
      <c r="E852" s="33"/>
      <c r="F852" s="88"/>
    </row>
    <row r="853" spans="2:6" s="6" customFormat="1" ht="13.5">
      <c r="B853" s="29"/>
      <c r="C853" s="29"/>
      <c r="D853" s="30"/>
      <c r="E853" s="33"/>
      <c r="F853" s="88"/>
    </row>
    <row r="854" spans="2:6" s="6" customFormat="1" ht="13.5">
      <c r="B854" s="29"/>
      <c r="C854" s="29"/>
      <c r="D854" s="30"/>
      <c r="E854" s="33"/>
      <c r="F854" s="88"/>
    </row>
    <row r="855" spans="2:6" s="6" customFormat="1" ht="13.5">
      <c r="B855" s="29"/>
      <c r="C855" s="29"/>
      <c r="D855" s="30"/>
      <c r="E855" s="33"/>
      <c r="F855" s="88"/>
    </row>
    <row r="856" spans="2:6" s="6" customFormat="1" ht="13.5">
      <c r="B856" s="29"/>
      <c r="C856" s="29"/>
      <c r="D856" s="30"/>
      <c r="E856" s="33"/>
      <c r="F856" s="88"/>
    </row>
    <row r="857" spans="2:6" s="6" customFormat="1" ht="13.5">
      <c r="B857" s="29"/>
      <c r="C857" s="29"/>
      <c r="D857" s="30"/>
      <c r="E857" s="33"/>
      <c r="F857" s="88"/>
    </row>
    <row r="858" spans="2:6" s="6" customFormat="1" ht="13.5">
      <c r="B858" s="29"/>
      <c r="C858" s="29"/>
      <c r="D858" s="30"/>
      <c r="E858" s="33"/>
      <c r="F858" s="88"/>
    </row>
    <row r="859" spans="2:6" s="6" customFormat="1" ht="13.5">
      <c r="B859" s="29"/>
      <c r="C859" s="29"/>
      <c r="D859" s="30"/>
      <c r="E859" s="33"/>
      <c r="F859" s="88"/>
    </row>
    <row r="860" spans="2:6" s="6" customFormat="1" ht="13.5">
      <c r="B860" s="29"/>
      <c r="C860" s="29"/>
      <c r="D860" s="30"/>
      <c r="E860" s="33"/>
      <c r="F860" s="88"/>
    </row>
    <row r="861" spans="2:6" s="6" customFormat="1" ht="13.5">
      <c r="B861" s="29"/>
      <c r="C861" s="29"/>
      <c r="D861" s="30"/>
      <c r="E861" s="33"/>
      <c r="F861" s="88"/>
    </row>
    <row r="862" spans="2:6" s="6" customFormat="1" ht="13.5">
      <c r="B862" s="29"/>
      <c r="C862" s="29"/>
      <c r="D862" s="30"/>
      <c r="E862" s="33"/>
      <c r="F862" s="88"/>
    </row>
    <row r="863" spans="2:6" s="6" customFormat="1" ht="13.5">
      <c r="B863" s="29"/>
      <c r="C863" s="29"/>
      <c r="D863" s="30"/>
      <c r="E863" s="33"/>
      <c r="F863" s="88"/>
    </row>
    <row r="864" spans="2:6" s="6" customFormat="1" ht="13.5">
      <c r="B864" s="29"/>
      <c r="C864" s="29"/>
      <c r="D864" s="30"/>
      <c r="E864" s="33"/>
      <c r="F864" s="88"/>
    </row>
    <row r="865" spans="2:6" s="6" customFormat="1" ht="13.5">
      <c r="B865" s="29"/>
      <c r="C865" s="29"/>
      <c r="D865" s="30"/>
      <c r="E865" s="33"/>
      <c r="F865" s="88"/>
    </row>
    <row r="866" spans="2:6" s="6" customFormat="1" ht="13.5">
      <c r="B866" s="29"/>
      <c r="C866" s="29"/>
      <c r="D866" s="30"/>
      <c r="E866" s="33"/>
      <c r="F866" s="88"/>
    </row>
    <row r="867" spans="2:6" s="6" customFormat="1" ht="13.5">
      <c r="B867" s="29"/>
      <c r="C867" s="29"/>
      <c r="D867" s="30"/>
      <c r="E867" s="33"/>
      <c r="F867" s="88"/>
    </row>
    <row r="868" spans="2:6" s="6" customFormat="1" ht="13.5">
      <c r="B868" s="29"/>
      <c r="C868" s="29"/>
      <c r="D868" s="30"/>
      <c r="E868" s="33"/>
      <c r="F868" s="88"/>
    </row>
    <row r="869" spans="2:6" s="6" customFormat="1" ht="13.5">
      <c r="B869" s="29"/>
      <c r="C869" s="29"/>
      <c r="D869" s="30"/>
      <c r="E869" s="33"/>
      <c r="F869" s="88"/>
    </row>
    <row r="870" spans="2:6" s="6" customFormat="1" ht="13.5">
      <c r="B870" s="29"/>
      <c r="C870" s="29"/>
      <c r="D870" s="30"/>
      <c r="E870" s="33"/>
      <c r="F870" s="88"/>
    </row>
    <row r="871" spans="2:6" s="6" customFormat="1" ht="13.5">
      <c r="B871" s="29"/>
      <c r="C871" s="29"/>
      <c r="D871" s="30"/>
      <c r="E871" s="33"/>
      <c r="F871" s="88"/>
    </row>
    <row r="872" spans="2:6" s="6" customFormat="1" ht="12.75" customHeight="1">
      <c r="B872" s="29"/>
      <c r="C872" s="29"/>
      <c r="D872" s="30"/>
      <c r="E872" s="33"/>
      <c r="F872" s="88"/>
    </row>
    <row r="873" spans="2:6" s="6" customFormat="1" ht="13.5">
      <c r="B873" s="29"/>
      <c r="C873" s="29"/>
      <c r="D873" s="30"/>
      <c r="E873" s="33"/>
      <c r="F873" s="88"/>
    </row>
    <row r="874" spans="2:6" s="6" customFormat="1" ht="12.75" customHeight="1">
      <c r="B874" s="29"/>
      <c r="C874" s="29"/>
      <c r="D874" s="30"/>
      <c r="E874" s="33"/>
      <c r="F874" s="88"/>
    </row>
    <row r="875" spans="2:6" s="6" customFormat="1" ht="13.5">
      <c r="B875" s="29"/>
      <c r="C875" s="29"/>
      <c r="D875" s="30"/>
      <c r="E875" s="33"/>
      <c r="F875" s="88"/>
    </row>
    <row r="876" spans="2:6" s="6" customFormat="1" ht="13.5">
      <c r="B876" s="29"/>
      <c r="C876" s="29"/>
      <c r="D876" s="30"/>
      <c r="E876" s="33"/>
      <c r="F876" s="88"/>
    </row>
    <row r="877" spans="2:6" s="6" customFormat="1" ht="13.5">
      <c r="B877" s="29"/>
      <c r="C877" s="29"/>
      <c r="D877" s="30"/>
      <c r="E877" s="33"/>
      <c r="F877" s="88"/>
    </row>
    <row r="878" spans="2:6" s="6" customFormat="1" ht="13.5">
      <c r="B878" s="29"/>
      <c r="C878" s="29"/>
      <c r="D878" s="30"/>
      <c r="E878" s="33"/>
      <c r="F878" s="88"/>
    </row>
    <row r="879" spans="2:6" s="6" customFormat="1" ht="13.5">
      <c r="B879" s="29"/>
      <c r="C879" s="29"/>
      <c r="D879" s="30"/>
      <c r="E879" s="33"/>
      <c r="F879" s="88"/>
    </row>
    <row r="880" spans="2:6" s="6" customFormat="1" ht="13.5">
      <c r="B880" s="29"/>
      <c r="C880" s="29"/>
      <c r="D880" s="30"/>
      <c r="E880" s="33"/>
      <c r="F880" s="88"/>
    </row>
    <row r="881" spans="2:6" s="6" customFormat="1" ht="13.5">
      <c r="B881" s="29"/>
      <c r="C881" s="29"/>
      <c r="D881" s="30"/>
      <c r="E881" s="33"/>
      <c r="F881" s="88"/>
    </row>
    <row r="882" spans="2:6" s="6" customFormat="1" ht="13.5">
      <c r="B882" s="29"/>
      <c r="C882" s="29"/>
      <c r="D882" s="30"/>
      <c r="E882" s="33"/>
      <c r="F882" s="88"/>
    </row>
    <row r="883" spans="2:6" s="6" customFormat="1" ht="13.5">
      <c r="B883" s="29"/>
      <c r="C883" s="29"/>
      <c r="D883" s="30"/>
      <c r="E883" s="33"/>
      <c r="F883" s="88"/>
    </row>
    <row r="884" spans="2:6" s="6" customFormat="1" ht="13.5">
      <c r="B884" s="29"/>
      <c r="C884" s="29"/>
      <c r="D884" s="30"/>
      <c r="E884" s="33"/>
      <c r="F884" s="88"/>
    </row>
    <row r="885" spans="2:6" s="6" customFormat="1" ht="13.5">
      <c r="B885" s="29"/>
      <c r="C885" s="29"/>
      <c r="D885" s="30"/>
      <c r="E885" s="33"/>
      <c r="F885" s="88"/>
    </row>
    <row r="886" spans="2:6" s="6" customFormat="1" ht="13.5">
      <c r="B886" s="29"/>
      <c r="C886" s="29"/>
      <c r="D886" s="30"/>
      <c r="E886" s="33"/>
      <c r="F886" s="88"/>
    </row>
    <row r="887" spans="2:6" s="6" customFormat="1" ht="13.5">
      <c r="B887" s="29"/>
      <c r="C887" s="29"/>
      <c r="D887" s="30"/>
      <c r="E887" s="33"/>
      <c r="F887" s="88"/>
    </row>
    <row r="888" spans="2:6" s="6" customFormat="1" ht="13.5">
      <c r="B888" s="29"/>
      <c r="C888" s="29"/>
      <c r="D888" s="30"/>
      <c r="E888" s="33"/>
      <c r="F888" s="88"/>
    </row>
    <row r="889" spans="2:6" s="6" customFormat="1" ht="13.5">
      <c r="B889" s="29"/>
      <c r="C889" s="29"/>
      <c r="D889" s="30"/>
      <c r="E889" s="33"/>
      <c r="F889" s="88"/>
    </row>
    <row r="890" spans="2:6" s="6" customFormat="1" ht="13.5">
      <c r="B890" s="29"/>
      <c r="C890" s="29"/>
      <c r="D890" s="30"/>
      <c r="E890" s="33"/>
      <c r="F890" s="88"/>
    </row>
    <row r="891" spans="2:6" s="6" customFormat="1" ht="13.5">
      <c r="B891" s="29"/>
      <c r="C891" s="29"/>
      <c r="D891" s="30"/>
      <c r="E891" s="33"/>
      <c r="F891" s="88"/>
    </row>
    <row r="892" spans="2:6" s="6" customFormat="1" ht="13.5">
      <c r="B892" s="29"/>
      <c r="C892" s="29"/>
      <c r="D892" s="30"/>
      <c r="E892" s="33"/>
      <c r="F892" s="88"/>
    </row>
    <row r="893" spans="2:6" s="6" customFormat="1" ht="13.5">
      <c r="B893" s="29"/>
      <c r="C893" s="29"/>
      <c r="D893" s="30"/>
      <c r="E893" s="33"/>
      <c r="F893" s="88"/>
    </row>
    <row r="894" spans="2:6" s="6" customFormat="1" ht="13.5">
      <c r="B894" s="29"/>
      <c r="C894" s="29"/>
      <c r="D894" s="30"/>
      <c r="E894" s="33"/>
      <c r="F894" s="88"/>
    </row>
    <row r="895" spans="2:6" s="6" customFormat="1" ht="13.5">
      <c r="B895" s="29"/>
      <c r="C895" s="29"/>
      <c r="D895" s="30"/>
      <c r="E895" s="33"/>
      <c r="F895" s="88"/>
    </row>
    <row r="896" spans="2:6" s="6" customFormat="1" ht="13.5">
      <c r="B896" s="29"/>
      <c r="C896" s="29"/>
      <c r="D896" s="30"/>
      <c r="E896" s="33"/>
      <c r="F896" s="88"/>
    </row>
    <row r="897" spans="2:6" s="6" customFormat="1" ht="13.5">
      <c r="B897" s="29"/>
      <c r="C897" s="29"/>
      <c r="D897" s="30"/>
      <c r="E897" s="33"/>
      <c r="F897" s="88"/>
    </row>
    <row r="898" spans="2:6" s="6" customFormat="1" ht="13.5">
      <c r="B898" s="29"/>
      <c r="C898" s="29"/>
      <c r="D898" s="30"/>
      <c r="E898" s="33"/>
      <c r="F898" s="88"/>
    </row>
    <row r="899" spans="2:6" s="6" customFormat="1" ht="13.5">
      <c r="B899" s="29"/>
      <c r="C899" s="29"/>
      <c r="D899" s="30"/>
      <c r="E899" s="33"/>
      <c r="F899" s="88"/>
    </row>
    <row r="900" spans="2:6" s="6" customFormat="1" ht="13.5">
      <c r="B900" s="29"/>
      <c r="C900" s="29"/>
      <c r="D900" s="30"/>
      <c r="E900" s="33"/>
      <c r="F900" s="88"/>
    </row>
    <row r="901" spans="2:6" s="6" customFormat="1" ht="13.5">
      <c r="B901" s="29"/>
      <c r="C901" s="29"/>
      <c r="D901" s="30"/>
      <c r="E901" s="33"/>
      <c r="F901" s="88"/>
    </row>
    <row r="902" spans="2:6" s="6" customFormat="1" ht="13.5">
      <c r="B902" s="29"/>
      <c r="C902" s="29"/>
      <c r="D902" s="30"/>
      <c r="E902" s="33"/>
      <c r="F902" s="88"/>
    </row>
    <row r="903" spans="2:6" s="6" customFormat="1" ht="13.5">
      <c r="B903" s="29"/>
      <c r="C903" s="29"/>
      <c r="D903" s="30"/>
      <c r="E903" s="33"/>
      <c r="F903" s="88"/>
    </row>
    <row r="904" spans="2:6" s="6" customFormat="1" ht="13.5">
      <c r="B904" s="29"/>
      <c r="C904" s="29"/>
      <c r="D904" s="30"/>
      <c r="E904" s="33"/>
      <c r="F904" s="88"/>
    </row>
    <row r="905" spans="2:6" s="6" customFormat="1" ht="13.5">
      <c r="B905" s="29"/>
      <c r="C905" s="29"/>
      <c r="D905" s="30"/>
      <c r="E905" s="33"/>
      <c r="F905" s="88"/>
    </row>
    <row r="906" spans="2:6" s="6" customFormat="1" ht="13.5">
      <c r="B906" s="29"/>
      <c r="C906" s="29"/>
      <c r="D906" s="30"/>
      <c r="E906" s="33"/>
      <c r="F906" s="88"/>
    </row>
    <row r="907" spans="2:6" s="6" customFormat="1" ht="13.5">
      <c r="B907" s="29"/>
      <c r="C907" s="29"/>
      <c r="D907" s="30"/>
      <c r="E907" s="33"/>
      <c r="F907" s="88"/>
    </row>
    <row r="908" spans="2:6" s="6" customFormat="1" ht="13.5">
      <c r="B908" s="29"/>
      <c r="C908" s="29"/>
      <c r="D908" s="30"/>
      <c r="E908" s="33"/>
      <c r="F908" s="88"/>
    </row>
    <row r="909" spans="2:6" s="6" customFormat="1" ht="13.5">
      <c r="B909" s="29"/>
      <c r="C909" s="29"/>
      <c r="D909" s="30"/>
      <c r="E909" s="33"/>
      <c r="F909" s="88"/>
    </row>
    <row r="910" spans="2:6" s="6" customFormat="1" ht="13.5">
      <c r="B910" s="29"/>
      <c r="C910" s="29"/>
      <c r="D910" s="30"/>
      <c r="E910" s="33"/>
      <c r="F910" s="88"/>
    </row>
    <row r="911" spans="2:6" s="6" customFormat="1" ht="13.5">
      <c r="B911" s="29"/>
      <c r="C911" s="29"/>
      <c r="D911" s="30"/>
      <c r="E911" s="33"/>
      <c r="F911" s="88"/>
    </row>
    <row r="912" spans="2:6" s="6" customFormat="1" ht="13.5">
      <c r="B912" s="29"/>
      <c r="C912" s="29"/>
      <c r="D912" s="30"/>
      <c r="E912" s="33"/>
      <c r="F912" s="88"/>
    </row>
    <row r="913" spans="2:6" s="6" customFormat="1" ht="13.5">
      <c r="B913" s="29"/>
      <c r="C913" s="29"/>
      <c r="D913" s="30"/>
      <c r="E913" s="33"/>
      <c r="F913" s="88"/>
    </row>
    <row r="914" spans="2:6" s="6" customFormat="1" ht="13.5">
      <c r="B914" s="29"/>
      <c r="C914" s="29"/>
      <c r="D914" s="30"/>
      <c r="E914" s="33"/>
      <c r="F914" s="88"/>
    </row>
    <row r="915" spans="2:6" s="6" customFormat="1" ht="13.5">
      <c r="B915" s="29"/>
      <c r="C915" s="29"/>
      <c r="D915" s="30"/>
      <c r="E915" s="33"/>
      <c r="F915" s="88"/>
    </row>
    <row r="916" spans="2:6" s="6" customFormat="1" ht="13.5">
      <c r="B916" s="29"/>
      <c r="C916" s="29"/>
      <c r="D916" s="30"/>
      <c r="E916" s="33"/>
      <c r="F916" s="88"/>
    </row>
    <row r="917" spans="2:6" s="6" customFormat="1" ht="13.5">
      <c r="B917" s="29"/>
      <c r="C917" s="29"/>
      <c r="D917" s="30"/>
      <c r="E917" s="33"/>
      <c r="F917" s="88"/>
    </row>
    <row r="918" spans="2:6" s="6" customFormat="1" ht="13.5">
      <c r="B918" s="29"/>
      <c r="C918" s="29"/>
      <c r="D918" s="30"/>
      <c r="E918" s="33"/>
      <c r="F918" s="88"/>
    </row>
    <row r="919" spans="2:6" s="6" customFormat="1" ht="13.5">
      <c r="B919" s="29"/>
      <c r="C919" s="29"/>
      <c r="D919" s="30"/>
      <c r="E919" s="33"/>
      <c r="F919" s="88"/>
    </row>
    <row r="920" spans="2:6" s="6" customFormat="1" ht="13.5">
      <c r="B920" s="29"/>
      <c r="C920" s="29"/>
      <c r="D920" s="30"/>
      <c r="E920" s="33"/>
      <c r="F920" s="88"/>
    </row>
    <row r="921" spans="2:6" s="6" customFormat="1" ht="13.5">
      <c r="B921" s="29"/>
      <c r="C921" s="29"/>
      <c r="D921" s="30"/>
      <c r="E921" s="33"/>
      <c r="F921" s="88"/>
    </row>
    <row r="922" spans="2:6" s="6" customFormat="1" ht="13.5">
      <c r="B922" s="29"/>
      <c r="C922" s="29"/>
      <c r="D922" s="30"/>
      <c r="E922" s="33"/>
      <c r="F922" s="88"/>
    </row>
    <row r="923" spans="2:6" s="6" customFormat="1" ht="13.5">
      <c r="B923" s="29"/>
      <c r="C923" s="29"/>
      <c r="D923" s="30"/>
      <c r="E923" s="33"/>
      <c r="F923" s="88"/>
    </row>
    <row r="924" spans="2:6" s="6" customFormat="1" ht="13.5">
      <c r="B924" s="29"/>
      <c r="C924" s="29"/>
      <c r="D924" s="30"/>
      <c r="E924" s="33"/>
      <c r="F924" s="88"/>
    </row>
    <row r="925" spans="2:6" s="6" customFormat="1" ht="13.5">
      <c r="B925" s="29"/>
      <c r="C925" s="29"/>
      <c r="D925" s="30"/>
      <c r="E925" s="33"/>
      <c r="F925" s="88"/>
    </row>
    <row r="926" spans="2:6" s="6" customFormat="1" ht="13.5">
      <c r="B926" s="29"/>
      <c r="C926" s="29"/>
      <c r="D926" s="30"/>
      <c r="E926" s="33"/>
      <c r="F926" s="88"/>
    </row>
    <row r="927" spans="2:6" s="6" customFormat="1" ht="13.5">
      <c r="B927" s="29"/>
      <c r="C927" s="29"/>
      <c r="D927" s="30"/>
      <c r="E927" s="33"/>
      <c r="F927" s="88"/>
    </row>
    <row r="928" spans="2:6" s="6" customFormat="1" ht="13.5">
      <c r="B928" s="29"/>
      <c r="C928" s="29"/>
      <c r="D928" s="30"/>
      <c r="E928" s="33"/>
      <c r="F928" s="88"/>
    </row>
    <row r="929" spans="2:6" s="6" customFormat="1" ht="13.5">
      <c r="B929" s="29"/>
      <c r="C929" s="29"/>
      <c r="D929" s="30"/>
      <c r="E929" s="33"/>
      <c r="F929" s="88"/>
    </row>
    <row r="930" spans="2:6" s="6" customFormat="1" ht="13.5">
      <c r="B930" s="29"/>
      <c r="C930" s="29"/>
      <c r="D930" s="30"/>
      <c r="E930" s="33"/>
      <c r="F930" s="88"/>
    </row>
    <row r="931" spans="2:6" s="6" customFormat="1" ht="13.5">
      <c r="B931" s="29"/>
      <c r="C931" s="29"/>
      <c r="D931" s="30"/>
      <c r="E931" s="33"/>
      <c r="F931" s="88"/>
    </row>
    <row r="932" spans="2:6" s="6" customFormat="1" ht="13.5">
      <c r="B932" s="29"/>
      <c r="C932" s="29"/>
      <c r="D932" s="30"/>
      <c r="E932" s="33"/>
      <c r="F932" s="88"/>
    </row>
    <row r="933" spans="2:6" s="6" customFormat="1" ht="13.5">
      <c r="B933" s="29"/>
      <c r="C933" s="29"/>
      <c r="D933" s="30"/>
      <c r="E933" s="33"/>
      <c r="F933" s="88"/>
    </row>
    <row r="934" spans="2:6" s="6" customFormat="1" ht="13.5">
      <c r="B934" s="29"/>
      <c r="C934" s="29"/>
      <c r="D934" s="30"/>
      <c r="E934" s="33"/>
      <c r="F934" s="88"/>
    </row>
    <row r="935" spans="2:6" s="6" customFormat="1" ht="13.5">
      <c r="B935" s="29"/>
      <c r="C935" s="29"/>
      <c r="D935" s="30"/>
      <c r="E935" s="33"/>
      <c r="F935" s="88"/>
    </row>
    <row r="936" spans="2:6" s="6" customFormat="1" ht="13.5">
      <c r="B936" s="29"/>
      <c r="C936" s="29"/>
      <c r="D936" s="30"/>
      <c r="E936" s="33"/>
      <c r="F936" s="88"/>
    </row>
    <row r="937" spans="2:6" s="6" customFormat="1" ht="13.5">
      <c r="B937" s="29"/>
      <c r="C937" s="29"/>
      <c r="D937" s="30"/>
      <c r="E937" s="33"/>
      <c r="F937" s="88"/>
    </row>
    <row r="938" spans="2:6" s="6" customFormat="1" ht="13.5">
      <c r="B938" s="29"/>
      <c r="C938" s="29"/>
      <c r="D938" s="30"/>
      <c r="E938" s="33"/>
      <c r="F938" s="88"/>
    </row>
    <row r="939" spans="2:6" s="6" customFormat="1" ht="13.5">
      <c r="B939" s="29"/>
      <c r="C939" s="29"/>
      <c r="D939" s="30"/>
      <c r="E939" s="33"/>
      <c r="F939" s="88"/>
    </row>
    <row r="940" spans="2:6" s="6" customFormat="1" ht="13.5">
      <c r="B940" s="29"/>
      <c r="C940" s="29"/>
      <c r="D940" s="30"/>
      <c r="E940" s="33"/>
      <c r="F940" s="88"/>
    </row>
    <row r="941" spans="2:6" s="6" customFormat="1" ht="13.5">
      <c r="B941" s="29"/>
      <c r="C941" s="29"/>
      <c r="D941" s="30"/>
      <c r="E941" s="33"/>
      <c r="F941" s="88"/>
    </row>
    <row r="942" spans="2:6" s="6" customFormat="1" ht="13.5">
      <c r="B942" s="29"/>
      <c r="C942" s="29"/>
      <c r="D942" s="30"/>
      <c r="E942" s="33"/>
      <c r="F942" s="88"/>
    </row>
    <row r="943" spans="2:6" s="6" customFormat="1" ht="13.5">
      <c r="B943" s="29"/>
      <c r="C943" s="29"/>
      <c r="D943" s="30"/>
      <c r="E943" s="33"/>
      <c r="F943" s="88"/>
    </row>
    <row r="944" spans="2:6" s="6" customFormat="1" ht="13.5">
      <c r="B944" s="29"/>
      <c r="C944" s="29"/>
      <c r="D944" s="30"/>
      <c r="E944" s="33"/>
      <c r="F944" s="88"/>
    </row>
    <row r="945" spans="2:6" s="6" customFormat="1" ht="13.5">
      <c r="B945" s="29"/>
      <c r="C945" s="29"/>
      <c r="D945" s="30"/>
      <c r="E945" s="33"/>
      <c r="F945" s="88"/>
    </row>
    <row r="946" spans="2:6" s="6" customFormat="1" ht="13.5">
      <c r="B946" s="29"/>
      <c r="C946" s="29"/>
      <c r="D946" s="30"/>
      <c r="E946" s="33"/>
      <c r="F946" s="88"/>
    </row>
    <row r="947" spans="2:6" s="6" customFormat="1" ht="13.5">
      <c r="B947" s="29"/>
      <c r="C947" s="29"/>
      <c r="D947" s="30"/>
      <c r="E947" s="33"/>
      <c r="F947" s="88"/>
    </row>
    <row r="948" spans="2:6" s="6" customFormat="1" ht="13.5">
      <c r="B948" s="29"/>
      <c r="C948" s="29"/>
      <c r="D948" s="30"/>
      <c r="E948" s="33"/>
      <c r="F948" s="88"/>
    </row>
    <row r="949" spans="2:6" s="6" customFormat="1" ht="13.5">
      <c r="B949" s="29"/>
      <c r="C949" s="29"/>
      <c r="D949" s="30"/>
      <c r="E949" s="33"/>
      <c r="F949" s="88"/>
    </row>
    <row r="950" spans="2:6" s="6" customFormat="1" ht="13.5">
      <c r="B950" s="29"/>
      <c r="C950" s="29"/>
      <c r="D950" s="30"/>
      <c r="E950" s="33"/>
      <c r="F950" s="88"/>
    </row>
    <row r="951" spans="2:6" s="6" customFormat="1" ht="13.5">
      <c r="B951" s="29"/>
      <c r="C951" s="29"/>
      <c r="D951" s="30"/>
      <c r="E951" s="33"/>
      <c r="F951" s="88"/>
    </row>
    <row r="952" spans="2:6" s="6" customFormat="1" ht="13.5">
      <c r="B952" s="29"/>
      <c r="C952" s="29"/>
      <c r="D952" s="30"/>
      <c r="E952" s="33"/>
      <c r="F952" s="88"/>
    </row>
    <row r="953" spans="2:6" s="6" customFormat="1" ht="13.5">
      <c r="B953" s="29"/>
      <c r="C953" s="29"/>
      <c r="D953" s="30"/>
      <c r="E953" s="33"/>
      <c r="F953" s="88"/>
    </row>
    <row r="954" spans="2:6" s="6" customFormat="1" ht="13.5">
      <c r="B954" s="29"/>
      <c r="C954" s="29"/>
      <c r="D954" s="30"/>
      <c r="E954" s="33"/>
      <c r="F954" s="88"/>
    </row>
    <row r="955" spans="2:6" s="6" customFormat="1" ht="13.5">
      <c r="B955" s="29"/>
      <c r="C955" s="29"/>
      <c r="D955" s="30"/>
      <c r="E955" s="33"/>
      <c r="F955" s="88"/>
    </row>
    <row r="956" spans="2:6" s="6" customFormat="1" ht="13.5">
      <c r="B956" s="29"/>
      <c r="C956" s="29"/>
      <c r="D956" s="30"/>
      <c r="E956" s="33"/>
      <c r="F956" s="88"/>
    </row>
    <row r="957" spans="2:6" s="6" customFormat="1" ht="13.5">
      <c r="B957" s="29"/>
      <c r="C957" s="29"/>
      <c r="D957" s="30"/>
      <c r="E957" s="33"/>
      <c r="F957" s="88"/>
    </row>
    <row r="958" spans="2:6" s="6" customFormat="1" ht="13.5">
      <c r="B958" s="29"/>
      <c r="C958" s="29"/>
      <c r="D958" s="30"/>
      <c r="E958" s="33"/>
      <c r="F958" s="88"/>
    </row>
    <row r="959" spans="2:6" s="6" customFormat="1" ht="13.5">
      <c r="B959" s="29"/>
      <c r="C959" s="29"/>
      <c r="D959" s="30"/>
      <c r="E959" s="33"/>
      <c r="F959" s="88"/>
    </row>
    <row r="960" spans="2:6" s="6" customFormat="1" ht="13.5">
      <c r="B960" s="29"/>
      <c r="C960" s="29"/>
      <c r="D960" s="30"/>
      <c r="E960" s="33"/>
      <c r="F960" s="88"/>
    </row>
    <row r="961" spans="2:6" s="6" customFormat="1" ht="13.5">
      <c r="B961" s="29"/>
      <c r="C961" s="29"/>
      <c r="D961" s="30"/>
      <c r="E961" s="33"/>
      <c r="F961" s="88"/>
    </row>
    <row r="962" spans="2:6" s="6" customFormat="1" ht="13.5">
      <c r="B962" s="29"/>
      <c r="C962" s="29"/>
      <c r="D962" s="30"/>
      <c r="E962" s="33"/>
      <c r="F962" s="88"/>
    </row>
    <row r="963" spans="2:6" s="6" customFormat="1" ht="13.5">
      <c r="B963" s="29"/>
      <c r="C963" s="29"/>
      <c r="D963" s="30"/>
      <c r="E963" s="33"/>
      <c r="F963" s="88"/>
    </row>
    <row r="964" spans="2:6" s="6" customFormat="1" ht="13.5">
      <c r="B964" s="29"/>
      <c r="C964" s="29"/>
      <c r="D964" s="30"/>
      <c r="E964" s="33"/>
      <c r="F964" s="88"/>
    </row>
    <row r="965" spans="2:6" s="6" customFormat="1" ht="13.5">
      <c r="B965" s="29"/>
      <c r="C965" s="29"/>
      <c r="D965" s="30"/>
      <c r="E965" s="33"/>
      <c r="F965" s="88"/>
    </row>
    <row r="966" spans="2:6" s="6" customFormat="1" ht="13.5">
      <c r="B966" s="29"/>
      <c r="C966" s="29"/>
      <c r="D966" s="30"/>
      <c r="E966" s="33"/>
      <c r="F966" s="88"/>
    </row>
    <row r="967" spans="2:6" s="6" customFormat="1" ht="13.5">
      <c r="B967" s="29"/>
      <c r="C967" s="29"/>
      <c r="D967" s="30"/>
      <c r="E967" s="33"/>
      <c r="F967" s="88"/>
    </row>
    <row r="968" spans="2:6" s="6" customFormat="1" ht="13.5">
      <c r="B968" s="29"/>
      <c r="C968" s="29"/>
      <c r="D968" s="30"/>
      <c r="E968" s="33"/>
      <c r="F968" s="88"/>
    </row>
    <row r="969" spans="2:6" s="6" customFormat="1" ht="13.5">
      <c r="B969" s="29"/>
      <c r="C969" s="29"/>
      <c r="D969" s="30"/>
      <c r="E969" s="33"/>
      <c r="F969" s="88"/>
    </row>
    <row r="970" spans="2:6" s="6" customFormat="1" ht="13.5">
      <c r="B970" s="29"/>
      <c r="C970" s="29"/>
      <c r="D970" s="30"/>
      <c r="E970" s="33"/>
      <c r="F970" s="88"/>
    </row>
    <row r="971" spans="2:6" s="6" customFormat="1" ht="13.5">
      <c r="B971" s="29"/>
      <c r="C971" s="29"/>
      <c r="D971" s="30"/>
      <c r="E971" s="33"/>
      <c r="F971" s="88"/>
    </row>
    <row r="972" spans="2:6" s="6" customFormat="1" ht="13.5">
      <c r="B972" s="29"/>
      <c r="C972" s="29"/>
      <c r="D972" s="30"/>
      <c r="E972" s="33"/>
      <c r="F972" s="88"/>
    </row>
    <row r="973" spans="2:6" s="6" customFormat="1" ht="13.5">
      <c r="B973" s="29"/>
      <c r="C973" s="29"/>
      <c r="D973" s="30"/>
      <c r="E973" s="33"/>
      <c r="F973" s="88"/>
    </row>
    <row r="974" spans="2:6" s="6" customFormat="1" ht="13.5">
      <c r="B974" s="29"/>
      <c r="C974" s="29"/>
      <c r="D974" s="30"/>
      <c r="E974" s="33"/>
      <c r="F974" s="88"/>
    </row>
    <row r="975" spans="2:6" s="6" customFormat="1" ht="13.5">
      <c r="B975" s="29"/>
      <c r="C975" s="29"/>
      <c r="D975" s="30"/>
      <c r="E975" s="33"/>
      <c r="F975" s="88"/>
    </row>
    <row r="976" spans="2:6" s="6" customFormat="1" ht="13.5">
      <c r="B976" s="29"/>
      <c r="C976" s="29"/>
      <c r="D976" s="30"/>
      <c r="E976" s="33"/>
      <c r="F976" s="88"/>
    </row>
    <row r="977" spans="2:6" s="6" customFormat="1" ht="13.5">
      <c r="B977" s="29"/>
      <c r="C977" s="29"/>
      <c r="D977" s="30"/>
      <c r="E977" s="33"/>
      <c r="F977" s="88"/>
    </row>
    <row r="978" spans="2:6" s="6" customFormat="1" ht="13.5">
      <c r="B978" s="29"/>
      <c r="C978" s="29"/>
      <c r="D978" s="30"/>
      <c r="E978" s="33"/>
      <c r="F978" s="88"/>
    </row>
    <row r="979" spans="2:6" s="6" customFormat="1" ht="13.5">
      <c r="B979" s="29"/>
      <c r="C979" s="29"/>
      <c r="D979" s="30"/>
      <c r="E979" s="33"/>
      <c r="F979" s="88"/>
    </row>
    <row r="980" spans="2:6" s="6" customFormat="1" ht="13.5">
      <c r="B980" s="29"/>
      <c r="C980" s="29"/>
      <c r="D980" s="30"/>
      <c r="E980" s="33"/>
      <c r="F980" s="88"/>
    </row>
    <row r="981" spans="2:6" s="6" customFormat="1" ht="13.5">
      <c r="B981" s="29"/>
      <c r="C981" s="29"/>
      <c r="D981" s="30"/>
      <c r="E981" s="33"/>
      <c r="F981" s="88"/>
    </row>
    <row r="982" spans="2:6" s="6" customFormat="1" ht="13.5">
      <c r="B982" s="29"/>
      <c r="C982" s="29"/>
      <c r="D982" s="30"/>
      <c r="E982" s="33"/>
      <c r="F982" s="88"/>
    </row>
    <row r="983" spans="2:6" s="6" customFormat="1" ht="13.5">
      <c r="B983" s="29"/>
      <c r="C983" s="29"/>
      <c r="D983" s="30"/>
      <c r="E983" s="33"/>
      <c r="F983" s="88"/>
    </row>
    <row r="984" spans="2:6" s="6" customFormat="1" ht="13.5">
      <c r="B984" s="29"/>
      <c r="C984" s="29"/>
      <c r="D984" s="30"/>
      <c r="E984" s="33"/>
      <c r="F984" s="88"/>
    </row>
    <row r="985" spans="2:6" s="6" customFormat="1" ht="13.5">
      <c r="B985" s="29"/>
      <c r="C985" s="29"/>
      <c r="D985" s="30"/>
      <c r="E985" s="33"/>
      <c r="F985" s="88"/>
    </row>
    <row r="986" spans="2:6" s="6" customFormat="1" ht="13.5">
      <c r="B986" s="29"/>
      <c r="C986" s="29"/>
      <c r="D986" s="30"/>
      <c r="E986" s="33"/>
      <c r="F986" s="88"/>
    </row>
    <row r="987" spans="2:6" s="6" customFormat="1" ht="13.5">
      <c r="B987" s="29"/>
      <c r="C987" s="29"/>
      <c r="D987" s="30"/>
      <c r="E987" s="33"/>
      <c r="F987" s="88"/>
    </row>
    <row r="988" spans="2:6" s="6" customFormat="1" ht="13.5">
      <c r="B988" s="29"/>
      <c r="C988" s="29"/>
      <c r="D988" s="30"/>
      <c r="E988" s="33"/>
      <c r="F988" s="88"/>
    </row>
    <row r="989" spans="2:6" s="6" customFormat="1" ht="13.5">
      <c r="B989" s="29"/>
      <c r="C989" s="29"/>
      <c r="D989" s="30"/>
      <c r="E989" s="33"/>
      <c r="F989" s="88"/>
    </row>
    <row r="990" spans="2:6" s="6" customFormat="1" ht="13.5">
      <c r="B990" s="29"/>
      <c r="C990" s="29"/>
      <c r="D990" s="30"/>
      <c r="E990" s="33"/>
      <c r="F990" s="88"/>
    </row>
    <row r="991" spans="2:6" s="6" customFormat="1" ht="13.5">
      <c r="B991" s="29"/>
      <c r="C991" s="29"/>
      <c r="D991" s="30"/>
      <c r="E991" s="33"/>
      <c r="F991" s="88"/>
    </row>
    <row r="992" spans="2:6" s="6" customFormat="1" ht="13.5">
      <c r="B992" s="29"/>
      <c r="C992" s="29"/>
      <c r="D992" s="30"/>
      <c r="E992" s="33"/>
      <c r="F992" s="88"/>
    </row>
    <row r="993" spans="2:6" s="6" customFormat="1" ht="13.5">
      <c r="B993" s="29"/>
      <c r="C993" s="29"/>
      <c r="D993" s="30"/>
      <c r="E993" s="33"/>
      <c r="F993" s="88"/>
    </row>
    <row r="994" spans="2:6" s="6" customFormat="1" ht="13.5">
      <c r="B994" s="29"/>
      <c r="C994" s="29"/>
      <c r="D994" s="30"/>
      <c r="E994" s="33"/>
      <c r="F994" s="88"/>
    </row>
    <row r="995" spans="2:6" s="6" customFormat="1" ht="13.5">
      <c r="B995" s="29"/>
      <c r="C995" s="29"/>
      <c r="D995" s="30"/>
      <c r="E995" s="33"/>
      <c r="F995" s="88"/>
    </row>
    <row r="996" spans="2:6" s="6" customFormat="1" ht="13.5">
      <c r="B996" s="29"/>
      <c r="C996" s="29"/>
      <c r="D996" s="30"/>
      <c r="E996" s="33"/>
      <c r="F996" s="88"/>
    </row>
    <row r="997" spans="2:6" s="6" customFormat="1" ht="13.5">
      <c r="B997" s="29"/>
      <c r="C997" s="29"/>
      <c r="D997" s="30"/>
      <c r="E997" s="33"/>
      <c r="F997" s="88"/>
    </row>
    <row r="998" spans="2:6" s="6" customFormat="1" ht="13.5">
      <c r="B998" s="29"/>
      <c r="C998" s="29"/>
      <c r="D998" s="30"/>
      <c r="E998" s="33"/>
      <c r="F998" s="88"/>
    </row>
    <row r="999" spans="2:6" s="6" customFormat="1" ht="13.5">
      <c r="B999" s="29"/>
      <c r="C999" s="29"/>
      <c r="D999" s="30"/>
      <c r="E999" s="33"/>
      <c r="F999" s="88"/>
    </row>
    <row r="1000" spans="2:6" s="6" customFormat="1" ht="13.5">
      <c r="B1000" s="29"/>
      <c r="C1000" s="29"/>
      <c r="D1000" s="30"/>
      <c r="E1000" s="33"/>
      <c r="F1000" s="88"/>
    </row>
    <row r="1001" spans="2:6" s="6" customFormat="1" ht="13.5">
      <c r="B1001" s="29"/>
      <c r="C1001" s="29"/>
      <c r="D1001" s="30"/>
      <c r="E1001" s="33"/>
      <c r="F1001" s="88"/>
    </row>
    <row r="1002" spans="2:6" s="6" customFormat="1" ht="13.5">
      <c r="B1002" s="29"/>
      <c r="C1002" s="29"/>
      <c r="D1002" s="30"/>
      <c r="E1002" s="33"/>
      <c r="F1002" s="88"/>
    </row>
    <row r="1003" spans="2:6" s="6" customFormat="1" ht="13.5">
      <c r="B1003" s="29"/>
      <c r="C1003" s="29"/>
      <c r="D1003" s="30"/>
      <c r="E1003" s="33"/>
      <c r="F1003" s="88"/>
    </row>
    <row r="1004" spans="2:6" s="6" customFormat="1" ht="13.5">
      <c r="B1004" s="29"/>
      <c r="C1004" s="29"/>
      <c r="D1004" s="30"/>
      <c r="E1004" s="33"/>
      <c r="F1004" s="88"/>
    </row>
    <row r="1005" spans="2:6" s="6" customFormat="1" ht="13.5">
      <c r="B1005" s="29"/>
      <c r="C1005" s="29"/>
      <c r="D1005" s="30"/>
      <c r="E1005" s="33"/>
      <c r="F1005" s="88"/>
    </row>
    <row r="1006" spans="2:6" s="6" customFormat="1" ht="13.5">
      <c r="B1006" s="29"/>
      <c r="C1006" s="29"/>
      <c r="D1006" s="30"/>
      <c r="E1006" s="33"/>
      <c r="F1006" s="88"/>
    </row>
    <row r="1007" spans="2:6" s="6" customFormat="1" ht="13.5">
      <c r="B1007" s="29"/>
      <c r="C1007" s="29"/>
      <c r="D1007" s="30"/>
      <c r="E1007" s="33"/>
      <c r="F1007" s="88"/>
    </row>
    <row r="1008" spans="2:6" s="6" customFormat="1" ht="13.5">
      <c r="B1008" s="29"/>
      <c r="C1008" s="29"/>
      <c r="D1008" s="30"/>
      <c r="E1008" s="33"/>
      <c r="F1008" s="88"/>
    </row>
    <row r="1009" spans="2:6" s="6" customFormat="1" ht="13.5">
      <c r="B1009" s="29"/>
      <c r="C1009" s="29"/>
      <c r="D1009" s="30"/>
      <c r="E1009" s="33"/>
      <c r="F1009" s="88"/>
    </row>
    <row r="1010" spans="2:6" s="6" customFormat="1" ht="13.5">
      <c r="B1010" s="29"/>
      <c r="C1010" s="29"/>
      <c r="D1010" s="30"/>
      <c r="E1010" s="33"/>
      <c r="F1010" s="88"/>
    </row>
    <row r="1011" spans="2:6" s="6" customFormat="1" ht="13.5">
      <c r="B1011" s="29"/>
      <c r="C1011" s="29"/>
      <c r="D1011" s="30"/>
      <c r="E1011" s="33"/>
      <c r="F1011" s="88"/>
    </row>
    <row r="1012" spans="2:6" s="6" customFormat="1" ht="13.5">
      <c r="B1012" s="29"/>
      <c r="C1012" s="29"/>
      <c r="D1012" s="30"/>
      <c r="E1012" s="33"/>
      <c r="F1012" s="88"/>
    </row>
    <row r="1013" spans="2:6" s="6" customFormat="1" ht="13.5">
      <c r="B1013" s="29"/>
      <c r="C1013" s="29"/>
      <c r="D1013" s="30"/>
      <c r="E1013" s="33"/>
      <c r="F1013" s="88"/>
    </row>
    <row r="1014" spans="2:6" s="6" customFormat="1" ht="13.5">
      <c r="B1014" s="29"/>
      <c r="C1014" s="29"/>
      <c r="D1014" s="30"/>
      <c r="E1014" s="33"/>
      <c r="F1014" s="88"/>
    </row>
    <row r="1015" spans="2:6" s="6" customFormat="1" ht="13.5">
      <c r="B1015" s="29"/>
      <c r="C1015" s="29"/>
      <c r="D1015" s="30"/>
      <c r="E1015" s="33"/>
      <c r="F1015" s="88"/>
    </row>
    <row r="1016" spans="2:6" s="6" customFormat="1" ht="13.5">
      <c r="B1016" s="29"/>
      <c r="C1016" s="29"/>
      <c r="D1016" s="30"/>
      <c r="E1016" s="33"/>
      <c r="F1016" s="88"/>
    </row>
    <row r="1017" spans="2:6" s="6" customFormat="1" ht="13.5">
      <c r="B1017" s="29"/>
      <c r="C1017" s="29"/>
      <c r="D1017" s="30"/>
      <c r="E1017" s="33"/>
      <c r="F1017" s="88"/>
    </row>
    <row r="1018" spans="2:6" s="6" customFormat="1" ht="13.5">
      <c r="B1018" s="29"/>
      <c r="C1018" s="29"/>
      <c r="D1018" s="30"/>
      <c r="E1018" s="33"/>
      <c r="F1018" s="88"/>
    </row>
    <row r="1019" spans="2:6" s="6" customFormat="1" ht="13.5">
      <c r="B1019" s="29"/>
      <c r="C1019" s="29"/>
      <c r="D1019" s="30"/>
      <c r="E1019" s="33"/>
      <c r="F1019" s="88"/>
    </row>
    <row r="1020" spans="2:6" s="6" customFormat="1" ht="13.5">
      <c r="B1020" s="29"/>
      <c r="C1020" s="29"/>
      <c r="D1020" s="30"/>
      <c r="E1020" s="33"/>
      <c r="F1020" s="88"/>
    </row>
    <row r="1021" spans="2:6" s="6" customFormat="1" ht="13.5">
      <c r="B1021" s="29"/>
      <c r="C1021" s="29"/>
      <c r="D1021" s="30"/>
      <c r="E1021" s="33"/>
      <c r="F1021" s="88"/>
    </row>
    <row r="1022" spans="2:6" s="6" customFormat="1" ht="13.5">
      <c r="B1022" s="29"/>
      <c r="C1022" s="29"/>
      <c r="D1022" s="30"/>
      <c r="E1022" s="33"/>
      <c r="F1022" s="88"/>
    </row>
    <row r="1023" spans="2:6" s="6" customFormat="1" ht="13.5">
      <c r="B1023" s="29"/>
      <c r="C1023" s="29"/>
      <c r="D1023" s="30"/>
      <c r="E1023" s="33"/>
      <c r="F1023" s="88"/>
    </row>
    <row r="1024" spans="2:6" s="6" customFormat="1" ht="13.5">
      <c r="B1024" s="29"/>
      <c r="C1024" s="29"/>
      <c r="D1024" s="30"/>
      <c r="E1024" s="33"/>
      <c r="F1024" s="88"/>
    </row>
    <row r="1025" spans="2:6" s="6" customFormat="1" ht="13.5">
      <c r="B1025" s="29"/>
      <c r="C1025" s="29"/>
      <c r="D1025" s="30"/>
      <c r="E1025" s="33"/>
      <c r="F1025" s="88"/>
    </row>
    <row r="1026" spans="2:6" s="6" customFormat="1" ht="13.5">
      <c r="B1026" s="29"/>
      <c r="C1026" s="29"/>
      <c r="D1026" s="30"/>
      <c r="E1026" s="33"/>
      <c r="F1026" s="88"/>
    </row>
    <row r="1027" spans="2:6" s="6" customFormat="1" ht="13.5">
      <c r="B1027" s="29"/>
      <c r="C1027" s="29"/>
      <c r="D1027" s="30"/>
      <c r="E1027" s="33"/>
      <c r="F1027" s="88"/>
    </row>
    <row r="1028" spans="2:6" s="6" customFormat="1" ht="13.5">
      <c r="B1028" s="29"/>
      <c r="C1028" s="29"/>
      <c r="D1028" s="30"/>
      <c r="E1028" s="33"/>
      <c r="F1028" s="88"/>
    </row>
    <row r="1029" spans="2:6" s="6" customFormat="1" ht="13.5">
      <c r="B1029" s="29"/>
      <c r="C1029" s="29"/>
      <c r="D1029" s="30"/>
      <c r="E1029" s="33"/>
      <c r="F1029" s="88"/>
    </row>
    <row r="1030" spans="2:6" s="6" customFormat="1" ht="13.5">
      <c r="B1030" s="29"/>
      <c r="C1030" s="29"/>
      <c r="D1030" s="30"/>
      <c r="E1030" s="33"/>
      <c r="F1030" s="88"/>
    </row>
    <row r="1031" spans="2:6" s="6" customFormat="1" ht="13.5">
      <c r="B1031" s="29"/>
      <c r="C1031" s="29"/>
      <c r="D1031" s="30"/>
      <c r="E1031" s="33"/>
      <c r="F1031" s="88"/>
    </row>
    <row r="1032" spans="2:6" s="6" customFormat="1" ht="13.5">
      <c r="B1032" s="29"/>
      <c r="C1032" s="29"/>
      <c r="D1032" s="30"/>
      <c r="E1032" s="33"/>
      <c r="F1032" s="88"/>
    </row>
    <row r="1033" spans="2:6" s="6" customFormat="1" ht="13.5">
      <c r="B1033" s="29"/>
      <c r="C1033" s="29"/>
      <c r="D1033" s="30"/>
      <c r="E1033" s="33"/>
      <c r="F1033" s="88"/>
    </row>
    <row r="1034" spans="2:6" s="6" customFormat="1" ht="13.5">
      <c r="B1034" s="29"/>
      <c r="C1034" s="29"/>
      <c r="D1034" s="30"/>
      <c r="E1034" s="33"/>
      <c r="F1034" s="88"/>
    </row>
    <row r="1035" spans="2:6" s="6" customFormat="1" ht="13.5">
      <c r="B1035" s="29"/>
      <c r="C1035" s="29"/>
      <c r="D1035" s="30"/>
      <c r="E1035" s="33"/>
      <c r="F1035" s="88"/>
    </row>
    <row r="1036" spans="2:6" s="6" customFormat="1" ht="13.5">
      <c r="B1036" s="29"/>
      <c r="C1036" s="29"/>
      <c r="D1036" s="30"/>
      <c r="E1036" s="33"/>
      <c r="F1036" s="88"/>
    </row>
    <row r="1037" spans="2:6" s="6" customFormat="1" ht="13.5">
      <c r="B1037" s="29"/>
      <c r="C1037" s="29"/>
      <c r="D1037" s="30"/>
      <c r="E1037" s="33"/>
      <c r="F1037" s="88"/>
    </row>
    <row r="1038" spans="2:6" s="6" customFormat="1" ht="13.5">
      <c r="B1038" s="29"/>
      <c r="C1038" s="29"/>
      <c r="D1038" s="30"/>
      <c r="E1038" s="33"/>
      <c r="F1038" s="88"/>
    </row>
    <row r="1039" spans="2:6" s="6" customFormat="1" ht="13.5">
      <c r="B1039" s="29"/>
      <c r="C1039" s="29"/>
      <c r="D1039" s="30"/>
      <c r="E1039" s="33"/>
      <c r="F1039" s="88"/>
    </row>
    <row r="1040" spans="2:6" s="6" customFormat="1" ht="13.5">
      <c r="B1040" s="29"/>
      <c r="C1040" s="29"/>
      <c r="D1040" s="30"/>
      <c r="E1040" s="33"/>
      <c r="F1040" s="88"/>
    </row>
    <row r="1041" spans="2:6" s="6" customFormat="1" ht="13.5">
      <c r="B1041" s="29"/>
      <c r="C1041" s="29"/>
      <c r="D1041" s="30"/>
      <c r="E1041" s="33"/>
      <c r="F1041" s="88"/>
    </row>
    <row r="1042" spans="2:6" s="6" customFormat="1" ht="13.5">
      <c r="B1042" s="29"/>
      <c r="C1042" s="29"/>
      <c r="D1042" s="30"/>
      <c r="E1042" s="33"/>
      <c r="F1042" s="88"/>
    </row>
    <row r="1043" spans="2:6" s="6" customFormat="1" ht="13.5">
      <c r="B1043" s="29"/>
      <c r="C1043" s="29"/>
      <c r="D1043" s="30"/>
      <c r="E1043" s="33"/>
      <c r="F1043" s="88"/>
    </row>
    <row r="1044" spans="2:6" s="6" customFormat="1" ht="13.5">
      <c r="B1044" s="29"/>
      <c r="C1044" s="29"/>
      <c r="D1044" s="30"/>
      <c r="E1044" s="33"/>
      <c r="F1044" s="88"/>
    </row>
    <row r="1045" spans="2:6" s="6" customFormat="1" ht="13.5">
      <c r="B1045" s="29"/>
      <c r="C1045" s="29"/>
      <c r="D1045" s="30"/>
      <c r="E1045" s="33"/>
      <c r="F1045" s="88"/>
    </row>
    <row r="1046" spans="2:6" s="6" customFormat="1" ht="13.5">
      <c r="B1046" s="29"/>
      <c r="C1046" s="29"/>
      <c r="D1046" s="30"/>
      <c r="E1046" s="33"/>
      <c r="F1046" s="88"/>
    </row>
    <row r="1047" spans="2:6" s="6" customFormat="1" ht="13.5">
      <c r="B1047" s="29"/>
      <c r="C1047" s="29"/>
      <c r="D1047" s="30"/>
      <c r="E1047" s="33"/>
      <c r="F1047" s="88"/>
    </row>
    <row r="1048" spans="2:6" s="6" customFormat="1" ht="13.5">
      <c r="B1048" s="29"/>
      <c r="C1048" s="29"/>
      <c r="D1048" s="30"/>
      <c r="E1048" s="33"/>
      <c r="F1048" s="88"/>
    </row>
    <row r="1049" spans="2:6" s="6" customFormat="1" ht="13.5">
      <c r="B1049" s="29"/>
      <c r="C1049" s="29"/>
      <c r="D1049" s="30"/>
      <c r="E1049" s="33"/>
      <c r="F1049" s="88"/>
    </row>
    <row r="1050" spans="2:6" s="6" customFormat="1" ht="13.5">
      <c r="B1050" s="29"/>
      <c r="C1050" s="29"/>
      <c r="D1050" s="30"/>
      <c r="E1050" s="33"/>
      <c r="F1050" s="88"/>
    </row>
    <row r="1051" spans="2:6" s="6" customFormat="1" ht="13.5">
      <c r="B1051" s="29"/>
      <c r="C1051" s="29"/>
      <c r="D1051" s="30"/>
      <c r="E1051" s="33"/>
      <c r="F1051" s="88"/>
    </row>
    <row r="1052" spans="2:6" s="6" customFormat="1" ht="13.5">
      <c r="B1052" s="29"/>
      <c r="C1052" s="29"/>
      <c r="D1052" s="30"/>
      <c r="E1052" s="33"/>
      <c r="F1052" s="88"/>
    </row>
    <row r="1053" spans="2:6" s="6" customFormat="1" ht="13.5">
      <c r="B1053" s="29"/>
      <c r="C1053" s="29"/>
      <c r="D1053" s="30"/>
      <c r="E1053" s="33"/>
      <c r="F1053" s="88"/>
    </row>
    <row r="1054" spans="2:6" s="6" customFormat="1" ht="13.5">
      <c r="B1054" s="29"/>
      <c r="C1054" s="29"/>
      <c r="D1054" s="30"/>
      <c r="E1054" s="33"/>
      <c r="F1054" s="88"/>
    </row>
    <row r="1055" spans="2:6" s="6" customFormat="1" ht="13.5">
      <c r="B1055" s="29"/>
      <c r="C1055" s="29"/>
      <c r="D1055" s="30"/>
      <c r="E1055" s="33"/>
      <c r="F1055" s="88"/>
    </row>
    <row r="1056" spans="2:6" s="6" customFormat="1" ht="13.5">
      <c r="B1056" s="29"/>
      <c r="C1056" s="29"/>
      <c r="D1056" s="30"/>
      <c r="E1056" s="33"/>
      <c r="F1056" s="88"/>
    </row>
    <row r="1057" spans="2:6" s="6" customFormat="1" ht="13.5">
      <c r="B1057" s="29"/>
      <c r="C1057" s="29"/>
      <c r="D1057" s="30"/>
      <c r="E1057" s="33"/>
      <c r="F1057" s="88"/>
    </row>
    <row r="1058" spans="2:6" s="6" customFormat="1" ht="13.5">
      <c r="B1058" s="29"/>
      <c r="C1058" s="29"/>
      <c r="D1058" s="30"/>
      <c r="E1058" s="33"/>
      <c r="F1058" s="88"/>
    </row>
    <row r="1059" spans="2:6" s="6" customFormat="1" ht="13.5">
      <c r="B1059" s="29"/>
      <c r="C1059" s="29"/>
      <c r="D1059" s="30"/>
      <c r="E1059" s="33"/>
      <c r="F1059" s="88"/>
    </row>
    <row r="1060" spans="2:6" s="6" customFormat="1" ht="13.5">
      <c r="B1060" s="29"/>
      <c r="C1060" s="29"/>
      <c r="D1060" s="30"/>
      <c r="E1060" s="33"/>
      <c r="F1060" s="88"/>
    </row>
    <row r="1061" spans="2:6" s="6" customFormat="1" ht="13.5">
      <c r="B1061" s="29"/>
      <c r="C1061" s="29"/>
      <c r="D1061" s="30"/>
      <c r="E1061" s="33"/>
      <c r="F1061" s="88"/>
    </row>
    <row r="1062" spans="2:6" s="6" customFormat="1" ht="13.5">
      <c r="B1062" s="29"/>
      <c r="C1062" s="29"/>
      <c r="D1062" s="30"/>
      <c r="E1062" s="33"/>
      <c r="F1062" s="88"/>
    </row>
    <row r="1063" spans="2:6" s="6" customFormat="1" ht="13.5">
      <c r="B1063" s="29"/>
      <c r="C1063" s="29"/>
      <c r="D1063" s="30"/>
      <c r="E1063" s="33"/>
      <c r="F1063" s="88"/>
    </row>
    <row r="1064" spans="2:6" s="6" customFormat="1" ht="13.5">
      <c r="B1064" s="29"/>
      <c r="C1064" s="29"/>
      <c r="D1064" s="30"/>
      <c r="E1064" s="33"/>
      <c r="F1064" s="88"/>
    </row>
    <row r="1065" spans="2:6" s="6" customFormat="1" ht="13.5">
      <c r="B1065" s="29"/>
      <c r="C1065" s="29"/>
      <c r="D1065" s="30"/>
      <c r="E1065" s="33"/>
      <c r="F1065" s="88"/>
    </row>
    <row r="1066" spans="2:6" s="6" customFormat="1" ht="13.5">
      <c r="B1066" s="29"/>
      <c r="C1066" s="29"/>
      <c r="D1066" s="30"/>
      <c r="E1066" s="33"/>
      <c r="F1066" s="88"/>
    </row>
    <row r="1067" spans="2:6" s="6" customFormat="1" ht="13.5">
      <c r="B1067" s="29"/>
      <c r="C1067" s="29"/>
      <c r="D1067" s="30"/>
      <c r="E1067" s="33"/>
      <c r="F1067" s="88"/>
    </row>
    <row r="1068" spans="2:6" s="6" customFormat="1" ht="13.5">
      <c r="B1068" s="29"/>
      <c r="C1068" s="29"/>
      <c r="D1068" s="30"/>
      <c r="E1068" s="33"/>
      <c r="F1068" s="88"/>
    </row>
    <row r="1069" spans="2:6" s="6" customFormat="1" ht="13.5">
      <c r="B1069" s="29"/>
      <c r="C1069" s="29"/>
      <c r="D1069" s="30"/>
      <c r="E1069" s="33"/>
      <c r="F1069" s="88"/>
    </row>
    <row r="1070" spans="2:6" s="6" customFormat="1" ht="13.5">
      <c r="B1070" s="29"/>
      <c r="C1070" s="29"/>
      <c r="D1070" s="30"/>
      <c r="E1070" s="33"/>
      <c r="F1070" s="88"/>
    </row>
    <row r="1071" spans="2:6" s="6" customFormat="1" ht="13.5">
      <c r="B1071" s="29"/>
      <c r="C1071" s="29"/>
      <c r="D1071" s="30"/>
      <c r="E1071" s="33"/>
      <c r="F1071" s="88"/>
    </row>
    <row r="1072" spans="2:6" s="6" customFormat="1" ht="13.5">
      <c r="B1072" s="29"/>
      <c r="C1072" s="29"/>
      <c r="D1072" s="30"/>
      <c r="E1072" s="33"/>
      <c r="F1072" s="88"/>
    </row>
    <row r="1073" spans="2:6" s="6" customFormat="1" ht="13.5">
      <c r="B1073" s="29"/>
      <c r="C1073" s="29"/>
      <c r="D1073" s="30"/>
      <c r="E1073" s="33"/>
      <c r="F1073" s="88"/>
    </row>
    <row r="1074" spans="2:6" s="6" customFormat="1" ht="13.5">
      <c r="B1074" s="29"/>
      <c r="C1074" s="29"/>
      <c r="D1074" s="30"/>
      <c r="E1074" s="33"/>
      <c r="F1074" s="88"/>
    </row>
    <row r="1075" spans="2:6" s="6" customFormat="1" ht="13.5">
      <c r="B1075" s="29"/>
      <c r="C1075" s="29"/>
      <c r="D1075" s="30"/>
      <c r="E1075" s="33"/>
      <c r="F1075" s="88"/>
    </row>
    <row r="1076" spans="2:6" s="6" customFormat="1" ht="13.5">
      <c r="B1076" s="29"/>
      <c r="C1076" s="29"/>
      <c r="D1076" s="30"/>
      <c r="E1076" s="33"/>
      <c r="F1076" s="88"/>
    </row>
    <row r="1077" spans="2:6" s="6" customFormat="1" ht="13.5">
      <c r="B1077" s="29"/>
      <c r="C1077" s="29"/>
      <c r="D1077" s="30"/>
      <c r="E1077" s="33"/>
      <c r="F1077" s="88"/>
    </row>
    <row r="1078" spans="2:6" s="6" customFormat="1" ht="13.5">
      <c r="B1078" s="29"/>
      <c r="C1078" s="29"/>
      <c r="D1078" s="30"/>
      <c r="E1078" s="33"/>
      <c r="F1078" s="88"/>
    </row>
    <row r="1079" spans="2:6" s="6" customFormat="1" ht="13.5">
      <c r="B1079" s="29"/>
      <c r="C1079" s="29"/>
      <c r="D1079" s="30"/>
      <c r="E1079" s="33"/>
      <c r="F1079" s="88"/>
    </row>
    <row r="1080" spans="2:6" s="6" customFormat="1" ht="13.5">
      <c r="B1080" s="29"/>
      <c r="C1080" s="29"/>
      <c r="D1080" s="30"/>
      <c r="E1080" s="33"/>
      <c r="F1080" s="88"/>
    </row>
    <row r="1081" spans="2:6" s="6" customFormat="1" ht="13.5">
      <c r="B1081" s="29"/>
      <c r="C1081" s="29"/>
      <c r="D1081" s="30"/>
      <c r="E1081" s="33"/>
      <c r="F1081" s="88"/>
    </row>
    <row r="1082" spans="2:6" s="6" customFormat="1" ht="13.5">
      <c r="B1082" s="29"/>
      <c r="C1082" s="29"/>
      <c r="D1082" s="30"/>
      <c r="E1082" s="33"/>
      <c r="F1082" s="88"/>
    </row>
    <row r="1083" spans="2:6" s="6" customFormat="1" ht="13.5">
      <c r="B1083" s="29"/>
      <c r="C1083" s="29"/>
      <c r="D1083" s="30"/>
      <c r="E1083" s="33"/>
      <c r="F1083" s="88"/>
    </row>
    <row r="1084" spans="2:6" s="6" customFormat="1" ht="13.5">
      <c r="B1084" s="29"/>
      <c r="C1084" s="29"/>
      <c r="D1084" s="30"/>
      <c r="E1084" s="33"/>
      <c r="F1084" s="88"/>
    </row>
    <row r="1085" spans="2:6" s="6" customFormat="1" ht="13.5">
      <c r="B1085" s="29"/>
      <c r="C1085" s="29"/>
      <c r="D1085" s="30"/>
      <c r="E1085" s="33"/>
      <c r="F1085" s="88"/>
    </row>
    <row r="1086" spans="2:6" s="6" customFormat="1" ht="13.5">
      <c r="B1086" s="29"/>
      <c r="C1086" s="29"/>
      <c r="D1086" s="30"/>
      <c r="E1086" s="33"/>
      <c r="F1086" s="88"/>
    </row>
    <row r="1087" spans="2:6" s="6" customFormat="1" ht="13.5">
      <c r="B1087" s="29"/>
      <c r="C1087" s="29"/>
      <c r="D1087" s="30"/>
      <c r="E1087" s="33"/>
      <c r="F1087" s="88"/>
    </row>
    <row r="1088" spans="2:6" s="6" customFormat="1" ht="13.5">
      <c r="B1088" s="29"/>
      <c r="C1088" s="29"/>
      <c r="D1088" s="30"/>
      <c r="E1088" s="33"/>
      <c r="F1088" s="88"/>
    </row>
    <row r="1089" spans="2:6" s="6" customFormat="1" ht="13.5">
      <c r="B1089" s="29"/>
      <c r="C1089" s="29"/>
      <c r="D1089" s="30"/>
      <c r="E1089" s="33"/>
      <c r="F1089" s="88"/>
    </row>
    <row r="1090" spans="2:6" s="6" customFormat="1" ht="13.5">
      <c r="B1090" s="29"/>
      <c r="C1090" s="29"/>
      <c r="D1090" s="30"/>
      <c r="E1090" s="33"/>
      <c r="F1090" s="88"/>
    </row>
    <row r="1091" spans="2:6" s="6" customFormat="1" ht="13.5">
      <c r="B1091" s="29"/>
      <c r="C1091" s="29"/>
      <c r="D1091" s="30"/>
      <c r="E1091" s="33"/>
      <c r="F1091" s="88"/>
    </row>
    <row r="1092" spans="2:6" s="6" customFormat="1" ht="13.5">
      <c r="B1092" s="29"/>
      <c r="C1092" s="29"/>
      <c r="D1092" s="30"/>
      <c r="E1092" s="33"/>
      <c r="F1092" s="88"/>
    </row>
    <row r="1093" spans="2:6" s="6" customFormat="1" ht="13.5">
      <c r="B1093" s="29"/>
      <c r="C1093" s="29"/>
      <c r="D1093" s="30"/>
      <c r="E1093" s="33"/>
      <c r="F1093" s="88"/>
    </row>
    <row r="1094" spans="2:6" s="6" customFormat="1" ht="13.5">
      <c r="B1094" s="29"/>
      <c r="C1094" s="29"/>
      <c r="D1094" s="30"/>
      <c r="E1094" s="33"/>
      <c r="F1094" s="88"/>
    </row>
    <row r="1095" spans="2:6" s="6" customFormat="1" ht="13.5">
      <c r="B1095" s="29"/>
      <c r="C1095" s="29"/>
      <c r="D1095" s="30"/>
      <c r="E1095" s="33"/>
      <c r="F1095" s="88"/>
    </row>
    <row r="1096" spans="2:6" s="6" customFormat="1" ht="13.5">
      <c r="B1096" s="29"/>
      <c r="C1096" s="29"/>
      <c r="D1096" s="30"/>
      <c r="E1096" s="33"/>
      <c r="F1096" s="88"/>
    </row>
    <row r="1097" spans="2:6" s="6" customFormat="1" ht="13.5">
      <c r="B1097" s="29"/>
      <c r="C1097" s="29"/>
      <c r="D1097" s="30"/>
      <c r="E1097" s="33"/>
      <c r="F1097" s="88"/>
    </row>
    <row r="1098" spans="2:6" s="6" customFormat="1" ht="13.5">
      <c r="B1098" s="29"/>
      <c r="C1098" s="29"/>
      <c r="D1098" s="30"/>
      <c r="E1098" s="33"/>
      <c r="F1098" s="88"/>
    </row>
    <row r="1099" spans="2:6" s="6" customFormat="1" ht="13.5">
      <c r="B1099" s="29"/>
      <c r="C1099" s="29"/>
      <c r="D1099" s="30"/>
      <c r="E1099" s="33"/>
      <c r="F1099" s="88"/>
    </row>
    <row r="1100" spans="2:6" s="6" customFormat="1" ht="13.5">
      <c r="B1100" s="29"/>
      <c r="C1100" s="29"/>
      <c r="D1100" s="30"/>
      <c r="E1100" s="33"/>
      <c r="F1100" s="88"/>
    </row>
    <row r="1101" spans="2:6" s="6" customFormat="1" ht="13.5">
      <c r="B1101" s="29"/>
      <c r="C1101" s="29"/>
      <c r="D1101" s="30"/>
      <c r="E1101" s="33"/>
      <c r="F1101" s="88"/>
    </row>
    <row r="1102" spans="2:6" s="6" customFormat="1" ht="13.5">
      <c r="B1102" s="29"/>
      <c r="C1102" s="29"/>
      <c r="D1102" s="30"/>
      <c r="E1102" s="33"/>
      <c r="F1102" s="88"/>
    </row>
    <row r="1103" spans="2:6" s="6" customFormat="1" ht="13.5">
      <c r="B1103" s="29"/>
      <c r="C1103" s="29"/>
      <c r="D1103" s="30"/>
      <c r="E1103" s="33"/>
      <c r="F1103" s="88"/>
    </row>
    <row r="1104" spans="2:6" s="6" customFormat="1" ht="13.5">
      <c r="B1104" s="29"/>
      <c r="C1104" s="29"/>
      <c r="D1104" s="30"/>
      <c r="E1104" s="33"/>
      <c r="F1104" s="88"/>
    </row>
    <row r="1105" spans="2:6" s="6" customFormat="1" ht="13.5">
      <c r="B1105" s="29"/>
      <c r="C1105" s="29"/>
      <c r="D1105" s="30"/>
      <c r="E1105" s="33"/>
      <c r="F1105" s="88"/>
    </row>
    <row r="1106" spans="2:6" s="6" customFormat="1" ht="13.5">
      <c r="B1106" s="29"/>
      <c r="C1106" s="29"/>
      <c r="D1106" s="30"/>
      <c r="E1106" s="33"/>
      <c r="F1106" s="88"/>
    </row>
    <row r="1107" spans="2:6" s="6" customFormat="1" ht="13.5">
      <c r="B1107" s="29"/>
      <c r="C1107" s="29"/>
      <c r="D1107" s="30"/>
      <c r="E1107" s="33"/>
      <c r="F1107" s="88"/>
    </row>
    <row r="1108" spans="2:6" s="6" customFormat="1" ht="13.5">
      <c r="B1108" s="29"/>
      <c r="C1108" s="29"/>
      <c r="D1108" s="30"/>
      <c r="E1108" s="33"/>
      <c r="F1108" s="88"/>
    </row>
    <row r="1109" spans="2:6" s="6" customFormat="1" ht="13.5">
      <c r="B1109" s="29"/>
      <c r="C1109" s="29"/>
      <c r="D1109" s="30"/>
      <c r="E1109" s="33"/>
      <c r="F1109" s="88"/>
    </row>
    <row r="1110" spans="2:6" s="6" customFormat="1" ht="13.5">
      <c r="B1110" s="29"/>
      <c r="C1110" s="29"/>
      <c r="D1110" s="30"/>
      <c r="E1110" s="33"/>
      <c r="F1110" s="88"/>
    </row>
    <row r="1111" spans="2:6" s="6" customFormat="1" ht="13.5">
      <c r="B1111" s="29"/>
      <c r="C1111" s="29"/>
      <c r="D1111" s="30"/>
      <c r="E1111" s="33"/>
      <c r="F1111" s="88"/>
    </row>
    <row r="1112" spans="2:6" s="6" customFormat="1" ht="13.5">
      <c r="B1112" s="29"/>
      <c r="C1112" s="29"/>
      <c r="D1112" s="30"/>
      <c r="E1112" s="33"/>
      <c r="F1112" s="88"/>
    </row>
    <row r="1113" spans="2:6" s="6" customFormat="1" ht="13.5">
      <c r="B1113" s="29"/>
      <c r="C1113" s="29"/>
      <c r="D1113" s="30"/>
      <c r="E1113" s="33"/>
      <c r="F1113" s="88"/>
    </row>
    <row r="1114" spans="2:6" s="6" customFormat="1" ht="13.5">
      <c r="B1114" s="29"/>
      <c r="C1114" s="29"/>
      <c r="D1114" s="30"/>
      <c r="E1114" s="33"/>
      <c r="F1114" s="88"/>
    </row>
    <row r="1115" spans="2:6" s="6" customFormat="1" ht="13.5">
      <c r="B1115" s="29"/>
      <c r="C1115" s="29"/>
      <c r="D1115" s="30"/>
      <c r="E1115" s="33"/>
      <c r="F1115" s="88"/>
    </row>
    <row r="1116" spans="2:6" s="6" customFormat="1" ht="13.5">
      <c r="B1116" s="29"/>
      <c r="C1116" s="29"/>
      <c r="D1116" s="30"/>
      <c r="E1116" s="33"/>
      <c r="F1116" s="88"/>
    </row>
    <row r="1117" spans="2:6" s="6" customFormat="1" ht="13.5">
      <c r="B1117" s="29"/>
      <c r="C1117" s="29"/>
      <c r="D1117" s="30"/>
      <c r="E1117" s="33"/>
      <c r="F1117" s="88"/>
    </row>
    <row r="1118" spans="2:6" s="6" customFormat="1" ht="13.5">
      <c r="B1118" s="29"/>
      <c r="C1118" s="29"/>
      <c r="D1118" s="30"/>
      <c r="E1118" s="33"/>
      <c r="F1118" s="88"/>
    </row>
    <row r="1119" spans="2:6" s="6" customFormat="1" ht="13.5">
      <c r="B1119" s="29"/>
      <c r="C1119" s="29"/>
      <c r="D1119" s="30"/>
      <c r="E1119" s="33"/>
      <c r="F1119" s="88"/>
    </row>
    <row r="1120" spans="2:6" s="6" customFormat="1" ht="13.5">
      <c r="B1120" s="29"/>
      <c r="C1120" s="29"/>
      <c r="D1120" s="30"/>
      <c r="E1120" s="33"/>
      <c r="F1120" s="88"/>
    </row>
    <row r="1121" spans="2:6" s="6" customFormat="1" ht="13.5">
      <c r="B1121" s="29"/>
      <c r="C1121" s="29"/>
      <c r="D1121" s="30"/>
      <c r="E1121" s="33"/>
      <c r="F1121" s="88"/>
    </row>
    <row r="1122" spans="2:6" s="6" customFormat="1" ht="13.5">
      <c r="B1122" s="29"/>
      <c r="C1122" s="29"/>
      <c r="D1122" s="30"/>
      <c r="E1122" s="33"/>
      <c r="F1122" s="88"/>
    </row>
    <row r="1123" spans="2:6" s="6" customFormat="1" ht="13.5">
      <c r="B1123" s="29"/>
      <c r="C1123" s="29"/>
      <c r="D1123" s="30"/>
      <c r="E1123" s="33"/>
      <c r="F1123" s="88"/>
    </row>
    <row r="1124" spans="2:6" s="6" customFormat="1" ht="13.5">
      <c r="B1124" s="29"/>
      <c r="C1124" s="29"/>
      <c r="D1124" s="30"/>
      <c r="E1124" s="33"/>
      <c r="F1124" s="88"/>
    </row>
    <row r="1125" spans="2:6" s="6" customFormat="1" ht="13.5">
      <c r="B1125" s="29"/>
      <c r="C1125" s="29"/>
      <c r="D1125" s="30"/>
      <c r="E1125" s="33"/>
      <c r="F1125" s="88"/>
    </row>
    <row r="1126" spans="2:6" s="6" customFormat="1" ht="13.5">
      <c r="B1126" s="29"/>
      <c r="C1126" s="29"/>
      <c r="D1126" s="30"/>
      <c r="E1126" s="33"/>
      <c r="F1126" s="88"/>
    </row>
    <row r="1127" spans="2:6" s="6" customFormat="1" ht="13.5">
      <c r="B1127" s="29"/>
      <c r="C1127" s="29"/>
      <c r="D1127" s="30"/>
      <c r="E1127" s="33"/>
      <c r="F1127" s="88"/>
    </row>
    <row r="1128" spans="2:6" s="6" customFormat="1" ht="13.5">
      <c r="B1128" s="29"/>
      <c r="C1128" s="29"/>
      <c r="D1128" s="30"/>
      <c r="E1128" s="33"/>
      <c r="F1128" s="88"/>
    </row>
    <row r="1129" spans="2:6" s="6" customFormat="1" ht="13.5">
      <c r="B1129" s="29"/>
      <c r="C1129" s="29"/>
      <c r="D1129" s="30"/>
      <c r="E1129" s="33"/>
      <c r="F1129" s="88"/>
    </row>
    <row r="1130" spans="2:6" s="6" customFormat="1" ht="13.5">
      <c r="B1130" s="29"/>
      <c r="C1130" s="29"/>
      <c r="D1130" s="30"/>
      <c r="E1130" s="33"/>
      <c r="F1130" s="88"/>
    </row>
    <row r="1131" spans="2:6" s="6" customFormat="1" ht="13.5">
      <c r="B1131" s="29"/>
      <c r="C1131" s="29"/>
      <c r="D1131" s="30"/>
      <c r="E1131" s="33"/>
      <c r="F1131" s="88"/>
    </row>
    <row r="1132" spans="2:6" s="6" customFormat="1" ht="13.5">
      <c r="B1132" s="29"/>
      <c r="C1132" s="29"/>
      <c r="D1132" s="30"/>
      <c r="E1132" s="33"/>
      <c r="F1132" s="88"/>
    </row>
    <row r="1133" spans="2:6" s="6" customFormat="1" ht="13.5">
      <c r="B1133" s="29"/>
      <c r="C1133" s="29"/>
      <c r="D1133" s="30"/>
      <c r="E1133" s="33"/>
      <c r="F1133" s="88"/>
    </row>
    <row r="1134" spans="2:6" s="6" customFormat="1" ht="13.5">
      <c r="B1134" s="29"/>
      <c r="C1134" s="29"/>
      <c r="D1134" s="30"/>
      <c r="E1134" s="33"/>
      <c r="F1134" s="88"/>
    </row>
    <row r="1135" spans="2:6" s="6" customFormat="1" ht="13.5">
      <c r="B1135" s="29"/>
      <c r="C1135" s="29"/>
      <c r="D1135" s="30"/>
      <c r="E1135" s="33"/>
      <c r="F1135" s="88"/>
    </row>
    <row r="1136" spans="2:6" s="6" customFormat="1" ht="13.5">
      <c r="B1136" s="29"/>
      <c r="C1136" s="29"/>
      <c r="D1136" s="30"/>
      <c r="E1136" s="33"/>
      <c r="F1136" s="88"/>
    </row>
    <row r="1137" spans="2:6" s="6" customFormat="1" ht="13.5">
      <c r="B1137" s="29"/>
      <c r="C1137" s="29"/>
      <c r="D1137" s="30"/>
      <c r="E1137" s="33"/>
      <c r="F1137" s="88"/>
    </row>
    <row r="1138" spans="2:6" s="6" customFormat="1" ht="13.5">
      <c r="B1138" s="29"/>
      <c r="C1138" s="29"/>
      <c r="D1138" s="30"/>
      <c r="E1138" s="33"/>
      <c r="F1138" s="88"/>
    </row>
    <row r="1139" spans="2:6" s="6" customFormat="1" ht="13.5">
      <c r="B1139" s="29"/>
      <c r="C1139" s="29"/>
      <c r="D1139" s="30"/>
      <c r="E1139" s="33"/>
      <c r="F1139" s="88"/>
    </row>
    <row r="1140" spans="2:6" s="6" customFormat="1" ht="13.5">
      <c r="B1140" s="29"/>
      <c r="C1140" s="29"/>
      <c r="D1140" s="30"/>
      <c r="E1140" s="33"/>
      <c r="F1140" s="88"/>
    </row>
    <row r="1141" spans="2:6" s="6" customFormat="1" ht="13.5">
      <c r="B1141" s="29"/>
      <c r="C1141" s="29"/>
      <c r="D1141" s="30"/>
      <c r="E1141" s="33"/>
      <c r="F1141" s="88"/>
    </row>
    <row r="1142" spans="2:6" s="6" customFormat="1" ht="13.5">
      <c r="B1142" s="29"/>
      <c r="C1142" s="29"/>
      <c r="D1142" s="30"/>
      <c r="E1142" s="33"/>
      <c r="F1142" s="88"/>
    </row>
    <row r="1143" spans="2:6" s="6" customFormat="1" ht="13.5">
      <c r="B1143" s="29"/>
      <c r="C1143" s="29"/>
      <c r="D1143" s="30"/>
      <c r="E1143" s="33"/>
      <c r="F1143" s="88"/>
    </row>
    <row r="1144" spans="2:6" s="6" customFormat="1" ht="13.5">
      <c r="B1144" s="29"/>
      <c r="C1144" s="29"/>
      <c r="D1144" s="30"/>
      <c r="E1144" s="33"/>
      <c r="F1144" s="88"/>
    </row>
    <row r="1145" spans="2:6" s="6" customFormat="1" ht="13.5">
      <c r="B1145" s="29"/>
      <c r="C1145" s="29"/>
      <c r="D1145" s="30"/>
      <c r="E1145" s="33"/>
      <c r="F1145" s="88"/>
    </row>
    <row r="1146" spans="2:6" s="6" customFormat="1" ht="13.5">
      <c r="B1146" s="29"/>
      <c r="C1146" s="29"/>
      <c r="D1146" s="30"/>
      <c r="E1146" s="33"/>
      <c r="F1146" s="88"/>
    </row>
    <row r="1147" spans="2:6" s="6" customFormat="1" ht="13.5">
      <c r="B1147" s="29"/>
      <c r="C1147" s="29"/>
      <c r="D1147" s="30"/>
      <c r="E1147" s="33"/>
      <c r="F1147" s="88"/>
    </row>
    <row r="1148" spans="2:6" s="6" customFormat="1" ht="13.5">
      <c r="B1148" s="29"/>
      <c r="C1148" s="29"/>
      <c r="D1148" s="30"/>
      <c r="E1148" s="33"/>
      <c r="F1148" s="88"/>
    </row>
    <row r="1149" spans="2:6" s="6" customFormat="1" ht="13.5">
      <c r="B1149" s="29"/>
      <c r="C1149" s="29"/>
      <c r="D1149" s="30"/>
      <c r="E1149" s="33"/>
      <c r="F1149" s="88"/>
    </row>
    <row r="1150" spans="2:6" s="6" customFormat="1" ht="13.5">
      <c r="B1150" s="29"/>
      <c r="C1150" s="29"/>
      <c r="D1150" s="30"/>
      <c r="E1150" s="33"/>
      <c r="F1150" s="88"/>
    </row>
    <row r="1151" spans="2:6" s="6" customFormat="1" ht="13.5">
      <c r="B1151" s="29"/>
      <c r="C1151" s="29"/>
      <c r="D1151" s="30"/>
      <c r="E1151" s="33"/>
      <c r="F1151" s="88"/>
    </row>
    <row r="1152" spans="2:6" s="6" customFormat="1" ht="13.5">
      <c r="B1152" s="29"/>
      <c r="C1152" s="29"/>
      <c r="D1152" s="30"/>
      <c r="E1152" s="33"/>
      <c r="F1152" s="88"/>
    </row>
    <row r="1153" spans="2:6" s="6" customFormat="1" ht="13.5">
      <c r="B1153" s="29"/>
      <c r="C1153" s="29"/>
      <c r="D1153" s="30"/>
      <c r="E1153" s="33"/>
      <c r="F1153" s="88"/>
    </row>
    <row r="1154" spans="2:6" s="6" customFormat="1" ht="13.5">
      <c r="B1154" s="29"/>
      <c r="C1154" s="29"/>
      <c r="D1154" s="30"/>
      <c r="E1154" s="33"/>
      <c r="F1154" s="88"/>
    </row>
    <row r="1155" spans="2:6" s="6" customFormat="1" ht="13.5">
      <c r="B1155" s="29"/>
      <c r="C1155" s="29"/>
      <c r="D1155" s="30"/>
      <c r="E1155" s="33"/>
      <c r="F1155" s="88"/>
    </row>
    <row r="1156" spans="2:6" s="6" customFormat="1" ht="13.5">
      <c r="B1156" s="29"/>
      <c r="C1156" s="29"/>
      <c r="D1156" s="30"/>
      <c r="E1156" s="33"/>
      <c r="F1156" s="88"/>
    </row>
    <row r="1157" spans="2:6" s="6" customFormat="1" ht="13.5">
      <c r="B1157" s="29"/>
      <c r="C1157" s="29"/>
      <c r="D1157" s="30"/>
      <c r="E1157" s="33"/>
      <c r="F1157" s="88"/>
    </row>
    <row r="1158" spans="2:6" s="6" customFormat="1" ht="13.5">
      <c r="B1158" s="29"/>
      <c r="C1158" s="29"/>
      <c r="D1158" s="30"/>
      <c r="E1158" s="33"/>
      <c r="F1158" s="88"/>
    </row>
    <row r="1159" spans="2:6" s="6" customFormat="1" ht="13.5">
      <c r="B1159" s="29"/>
      <c r="C1159" s="29"/>
      <c r="D1159" s="30"/>
      <c r="E1159" s="33"/>
      <c r="F1159" s="88"/>
    </row>
    <row r="1160" spans="2:6" s="6" customFormat="1" ht="13.5">
      <c r="B1160" s="29"/>
      <c r="C1160" s="29"/>
      <c r="D1160" s="30"/>
      <c r="E1160" s="33"/>
      <c r="F1160" s="88"/>
    </row>
    <row r="1161" spans="2:6" s="6" customFormat="1" ht="13.5">
      <c r="B1161" s="29"/>
      <c r="C1161" s="29"/>
      <c r="D1161" s="30"/>
      <c r="E1161" s="33"/>
      <c r="F1161" s="88"/>
    </row>
    <row r="1162" spans="2:6" s="6" customFormat="1" ht="13.5">
      <c r="B1162" s="29"/>
      <c r="C1162" s="29"/>
      <c r="D1162" s="30"/>
      <c r="E1162" s="33"/>
      <c r="F1162" s="88"/>
    </row>
    <row r="1163" spans="2:6" s="6" customFormat="1" ht="13.5">
      <c r="B1163" s="29"/>
      <c r="C1163" s="29"/>
      <c r="D1163" s="30"/>
      <c r="E1163" s="33"/>
      <c r="F1163" s="88"/>
    </row>
    <row r="1164" spans="2:6" s="6" customFormat="1" ht="13.5">
      <c r="B1164" s="29"/>
      <c r="C1164" s="29"/>
      <c r="D1164" s="30"/>
      <c r="E1164" s="33"/>
      <c r="F1164" s="88"/>
    </row>
    <row r="1165" spans="2:6" s="6" customFormat="1" ht="13.5">
      <c r="B1165" s="29"/>
      <c r="C1165" s="29"/>
      <c r="D1165" s="30"/>
      <c r="E1165" s="33"/>
      <c r="F1165" s="88"/>
    </row>
    <row r="1166" spans="2:6" s="6" customFormat="1" ht="13.5">
      <c r="B1166" s="29"/>
      <c r="C1166" s="29"/>
      <c r="D1166" s="30"/>
      <c r="E1166" s="33"/>
      <c r="F1166" s="88"/>
    </row>
    <row r="1167" spans="2:6" s="6" customFormat="1" ht="13.5">
      <c r="B1167" s="29"/>
      <c r="C1167" s="29"/>
      <c r="D1167" s="30"/>
      <c r="E1167" s="33"/>
      <c r="F1167" s="88"/>
    </row>
    <row r="1168" spans="2:6" s="6" customFormat="1" ht="13.5">
      <c r="B1168" s="29"/>
      <c r="C1168" s="29"/>
      <c r="D1168" s="30"/>
      <c r="E1168" s="33"/>
      <c r="F1168" s="88"/>
    </row>
    <row r="1169" spans="2:6" s="6" customFormat="1" ht="13.5">
      <c r="B1169" s="29"/>
      <c r="C1169" s="29"/>
      <c r="D1169" s="30"/>
      <c r="E1169" s="33"/>
      <c r="F1169" s="88"/>
    </row>
    <row r="1170" spans="2:6" s="6" customFormat="1" ht="13.5">
      <c r="B1170" s="29"/>
      <c r="C1170" s="29"/>
      <c r="D1170" s="30"/>
      <c r="E1170" s="33"/>
      <c r="F1170" s="88"/>
    </row>
    <row r="1171" spans="2:6" s="6" customFormat="1" ht="13.5">
      <c r="B1171" s="29"/>
      <c r="C1171" s="29"/>
      <c r="D1171" s="30"/>
      <c r="E1171" s="33"/>
      <c r="F1171" s="88"/>
    </row>
    <row r="1172" spans="2:6" s="6" customFormat="1" ht="13.5">
      <c r="B1172" s="29"/>
      <c r="C1172" s="29"/>
      <c r="D1172" s="30"/>
      <c r="E1172" s="33"/>
      <c r="F1172" s="88"/>
    </row>
    <row r="1173" spans="2:6" s="6" customFormat="1" ht="13.5">
      <c r="B1173" s="29"/>
      <c r="C1173" s="29"/>
      <c r="D1173" s="30"/>
      <c r="E1173" s="33"/>
      <c r="F1173" s="88"/>
    </row>
    <row r="1174" spans="2:6" s="6" customFormat="1" ht="13.5">
      <c r="B1174" s="29"/>
      <c r="C1174" s="29"/>
      <c r="D1174" s="30"/>
      <c r="E1174" s="33"/>
      <c r="F1174" s="88"/>
    </row>
    <row r="1175" spans="2:6" s="6" customFormat="1" ht="13.5">
      <c r="B1175" s="29"/>
      <c r="C1175" s="29"/>
      <c r="D1175" s="30"/>
      <c r="E1175" s="33"/>
      <c r="F1175" s="88"/>
    </row>
    <row r="1176" spans="2:6" s="6" customFormat="1" ht="13.5">
      <c r="B1176" s="29"/>
      <c r="C1176" s="29"/>
      <c r="D1176" s="30"/>
      <c r="E1176" s="33"/>
      <c r="F1176" s="88"/>
    </row>
    <row r="1177" spans="2:6" s="6" customFormat="1" ht="13.5">
      <c r="B1177" s="29"/>
      <c r="C1177" s="29"/>
      <c r="D1177" s="30"/>
      <c r="E1177" s="33"/>
      <c r="F1177" s="88"/>
    </row>
    <row r="1178" spans="2:6" s="6" customFormat="1" ht="13.5">
      <c r="B1178" s="29"/>
      <c r="C1178" s="29"/>
      <c r="D1178" s="30"/>
      <c r="E1178" s="33"/>
      <c r="F1178" s="88"/>
    </row>
    <row r="1179" spans="2:6" s="6" customFormat="1" ht="13.5">
      <c r="B1179" s="29"/>
      <c r="C1179" s="29"/>
      <c r="D1179" s="30"/>
      <c r="E1179" s="33"/>
      <c r="F1179" s="88"/>
    </row>
    <row r="1180" spans="2:6" s="6" customFormat="1" ht="13.5">
      <c r="B1180" s="29"/>
      <c r="C1180" s="29"/>
      <c r="D1180" s="30"/>
      <c r="E1180" s="33"/>
      <c r="F1180" s="88"/>
    </row>
    <row r="1181" spans="2:6" s="6" customFormat="1" ht="13.5">
      <c r="B1181" s="29"/>
      <c r="C1181" s="29"/>
      <c r="D1181" s="30"/>
      <c r="E1181" s="33"/>
      <c r="F1181" s="88"/>
    </row>
    <row r="1182" spans="2:6" s="6" customFormat="1" ht="13.5">
      <c r="B1182" s="29"/>
      <c r="C1182" s="29"/>
      <c r="D1182" s="30"/>
      <c r="E1182" s="33"/>
      <c r="F1182" s="88"/>
    </row>
    <row r="1183" spans="2:6" s="6" customFormat="1" ht="13.5">
      <c r="B1183" s="29"/>
      <c r="C1183" s="29"/>
      <c r="D1183" s="30"/>
      <c r="E1183" s="33"/>
      <c r="F1183" s="88"/>
    </row>
    <row r="1184" spans="2:6" s="6" customFormat="1" ht="13.5">
      <c r="B1184" s="29"/>
      <c r="C1184" s="29"/>
      <c r="D1184" s="30"/>
      <c r="E1184" s="33"/>
      <c r="F1184" s="88"/>
    </row>
    <row r="1185" spans="2:6" s="6" customFormat="1" ht="13.5">
      <c r="B1185" s="29"/>
      <c r="C1185" s="29"/>
      <c r="D1185" s="30"/>
      <c r="E1185" s="33"/>
      <c r="F1185" s="88"/>
    </row>
    <row r="1186" spans="2:6" s="6" customFormat="1" ht="13.5">
      <c r="B1186" s="29"/>
      <c r="C1186" s="29"/>
      <c r="D1186" s="30"/>
      <c r="E1186" s="33"/>
      <c r="F1186" s="88"/>
    </row>
    <row r="1187" spans="2:6" s="6" customFormat="1" ht="13.5">
      <c r="B1187" s="29"/>
      <c r="C1187" s="29"/>
      <c r="D1187" s="30"/>
      <c r="E1187" s="33"/>
      <c r="F1187" s="88"/>
    </row>
    <row r="1188" spans="2:6" s="6" customFormat="1" ht="13.5">
      <c r="B1188" s="29"/>
      <c r="C1188" s="29"/>
      <c r="D1188" s="30"/>
      <c r="E1188" s="33"/>
      <c r="F1188" s="88"/>
    </row>
    <row r="1189" spans="2:6" s="6" customFormat="1" ht="13.5">
      <c r="B1189" s="29"/>
      <c r="C1189" s="29"/>
      <c r="D1189" s="30"/>
      <c r="E1189" s="33"/>
      <c r="F1189" s="88"/>
    </row>
    <row r="1190" spans="2:6" s="6" customFormat="1" ht="13.5">
      <c r="B1190" s="29"/>
      <c r="C1190" s="29"/>
      <c r="D1190" s="30"/>
      <c r="E1190" s="33"/>
      <c r="F1190" s="88"/>
    </row>
    <row r="1191" spans="2:6" s="6" customFormat="1" ht="13.5">
      <c r="B1191" s="29"/>
      <c r="C1191" s="29"/>
      <c r="D1191" s="30"/>
      <c r="E1191" s="33"/>
      <c r="F1191" s="88"/>
    </row>
    <row r="1192" spans="2:6" s="6" customFormat="1" ht="13.5">
      <c r="B1192" s="29"/>
      <c r="C1192" s="29"/>
      <c r="D1192" s="30"/>
      <c r="E1192" s="33"/>
      <c r="F1192" s="88"/>
    </row>
    <row r="1193" spans="2:6" s="6" customFormat="1" ht="13.5">
      <c r="B1193" s="29"/>
      <c r="C1193" s="29"/>
      <c r="D1193" s="30"/>
      <c r="E1193" s="33"/>
      <c r="F1193" s="88"/>
    </row>
    <row r="1194" spans="2:6" s="6" customFormat="1" ht="13.5">
      <c r="B1194" s="29"/>
      <c r="C1194" s="29"/>
      <c r="D1194" s="30"/>
      <c r="E1194" s="33"/>
      <c r="F1194" s="88"/>
    </row>
    <row r="1195" spans="2:6" s="6" customFormat="1" ht="13.5">
      <c r="B1195" s="29"/>
      <c r="C1195" s="29"/>
      <c r="D1195" s="30"/>
      <c r="E1195" s="33"/>
      <c r="F1195" s="88"/>
    </row>
    <row r="1196" spans="2:6" s="6" customFormat="1" ht="13.5">
      <c r="B1196" s="29"/>
      <c r="C1196" s="29"/>
      <c r="D1196" s="30"/>
      <c r="E1196" s="33"/>
      <c r="F1196" s="88"/>
    </row>
    <row r="1197" spans="2:6" s="6" customFormat="1" ht="13.5">
      <c r="B1197" s="29"/>
      <c r="C1197" s="29"/>
      <c r="D1197" s="30"/>
      <c r="E1197" s="33"/>
      <c r="F1197" s="88"/>
    </row>
    <row r="1198" spans="2:6" s="6" customFormat="1" ht="13.5">
      <c r="B1198" s="29"/>
      <c r="C1198" s="29"/>
      <c r="D1198" s="30"/>
      <c r="E1198" s="33"/>
      <c r="F1198" s="88"/>
    </row>
    <row r="1199" spans="2:6" s="6" customFormat="1" ht="13.5">
      <c r="B1199" s="29"/>
      <c r="C1199" s="29"/>
      <c r="D1199" s="30"/>
      <c r="E1199" s="33"/>
      <c r="F1199" s="88"/>
    </row>
    <row r="1200" spans="2:6" s="6" customFormat="1" ht="13.5">
      <c r="B1200" s="29"/>
      <c r="C1200" s="29"/>
      <c r="D1200" s="30"/>
      <c r="E1200" s="33"/>
      <c r="F1200" s="88"/>
    </row>
    <row r="1201" spans="2:6" s="6" customFormat="1" ht="13.5">
      <c r="B1201" s="29"/>
      <c r="C1201" s="29"/>
      <c r="D1201" s="30"/>
      <c r="E1201" s="33"/>
      <c r="F1201" s="88"/>
    </row>
    <row r="1202" spans="2:6" s="6" customFormat="1" ht="13.5">
      <c r="B1202" s="29"/>
      <c r="C1202" s="29"/>
      <c r="D1202" s="30"/>
      <c r="E1202" s="33"/>
      <c r="F1202" s="88"/>
    </row>
    <row r="1203" spans="2:6" s="6" customFormat="1" ht="13.5">
      <c r="B1203" s="29"/>
      <c r="C1203" s="29"/>
      <c r="D1203" s="30"/>
      <c r="E1203" s="33"/>
      <c r="F1203" s="88"/>
    </row>
    <row r="1204" spans="2:6" s="6" customFormat="1" ht="13.5">
      <c r="B1204" s="29"/>
      <c r="C1204" s="29"/>
      <c r="D1204" s="30"/>
      <c r="E1204" s="33"/>
      <c r="F1204" s="88"/>
    </row>
    <row r="1205" spans="2:6" s="6" customFormat="1" ht="13.5">
      <c r="B1205" s="29"/>
      <c r="C1205" s="29"/>
      <c r="D1205" s="30"/>
      <c r="E1205" s="33"/>
      <c r="F1205" s="88"/>
    </row>
    <row r="1206" spans="2:6" s="6" customFormat="1" ht="13.5">
      <c r="B1206" s="29"/>
      <c r="C1206" s="29"/>
      <c r="D1206" s="30"/>
      <c r="E1206" s="33"/>
      <c r="F1206" s="88"/>
    </row>
    <row r="1207" spans="2:6" s="6" customFormat="1" ht="13.5">
      <c r="B1207" s="29"/>
      <c r="C1207" s="29"/>
      <c r="D1207" s="30"/>
      <c r="E1207" s="33"/>
      <c r="F1207" s="88"/>
    </row>
    <row r="1208" spans="2:6" s="6" customFormat="1" ht="13.5">
      <c r="B1208" s="29"/>
      <c r="C1208" s="29"/>
      <c r="D1208" s="30"/>
      <c r="E1208" s="33"/>
      <c r="F1208" s="88"/>
    </row>
    <row r="1209" spans="2:6" s="6" customFormat="1" ht="13.5">
      <c r="B1209" s="29"/>
      <c r="C1209" s="29"/>
      <c r="D1209" s="30"/>
      <c r="E1209" s="33"/>
      <c r="F1209" s="88"/>
    </row>
    <row r="1210" spans="2:6" s="6" customFormat="1" ht="13.5">
      <c r="B1210" s="29"/>
      <c r="C1210" s="29"/>
      <c r="D1210" s="30"/>
      <c r="E1210" s="33"/>
      <c r="F1210" s="88"/>
    </row>
    <row r="1211" spans="2:6" s="6" customFormat="1" ht="13.5">
      <c r="B1211" s="29"/>
      <c r="C1211" s="29"/>
      <c r="D1211" s="30"/>
      <c r="E1211" s="33"/>
      <c r="F1211" s="88"/>
    </row>
    <row r="1212" spans="2:6" s="6" customFormat="1" ht="13.5">
      <c r="B1212" s="29"/>
      <c r="C1212" s="29"/>
      <c r="D1212" s="30"/>
      <c r="E1212" s="33"/>
      <c r="F1212" s="88"/>
    </row>
    <row r="1213" spans="2:6" s="6" customFormat="1" ht="13.5">
      <c r="B1213" s="29"/>
      <c r="C1213" s="29"/>
      <c r="D1213" s="30"/>
      <c r="E1213" s="33"/>
      <c r="F1213" s="88"/>
    </row>
    <row r="1214" spans="2:6" s="6" customFormat="1" ht="13.5">
      <c r="B1214" s="29"/>
      <c r="C1214" s="29"/>
      <c r="D1214" s="30"/>
      <c r="E1214" s="33"/>
      <c r="F1214" s="88"/>
    </row>
    <row r="1215" spans="2:6" s="6" customFormat="1" ht="13.5">
      <c r="B1215" s="29"/>
      <c r="C1215" s="29"/>
      <c r="D1215" s="30"/>
      <c r="E1215" s="33"/>
      <c r="F1215" s="88"/>
    </row>
    <row r="1216" spans="2:6" s="6" customFormat="1" ht="13.5">
      <c r="B1216" s="29"/>
      <c r="C1216" s="29"/>
      <c r="D1216" s="30"/>
      <c r="E1216" s="33"/>
      <c r="F1216" s="88"/>
    </row>
    <row r="1217" spans="2:6" s="6" customFormat="1" ht="13.5">
      <c r="B1217" s="29"/>
      <c r="C1217" s="29"/>
      <c r="D1217" s="30"/>
      <c r="E1217" s="33"/>
      <c r="F1217" s="88"/>
    </row>
    <row r="1218" spans="2:6" s="6" customFormat="1" ht="13.5">
      <c r="B1218" s="29"/>
      <c r="C1218" s="29"/>
      <c r="D1218" s="30"/>
      <c r="E1218" s="33"/>
      <c r="F1218" s="88"/>
    </row>
    <row r="1219" spans="2:6" s="6" customFormat="1" ht="13.5">
      <c r="B1219" s="29"/>
      <c r="C1219" s="29"/>
      <c r="D1219" s="30"/>
      <c r="E1219" s="33"/>
      <c r="F1219" s="88"/>
    </row>
    <row r="1220" spans="2:6" s="6" customFormat="1" ht="13.5">
      <c r="B1220" s="29"/>
      <c r="C1220" s="29"/>
      <c r="D1220" s="30"/>
      <c r="E1220" s="33"/>
      <c r="F1220" s="88"/>
    </row>
    <row r="1221" spans="2:6" s="6" customFormat="1" ht="13.5">
      <c r="B1221" s="29"/>
      <c r="C1221" s="29"/>
      <c r="D1221" s="30"/>
      <c r="E1221" s="33"/>
      <c r="F1221" s="88"/>
    </row>
    <row r="1222" spans="2:6" s="6" customFormat="1" ht="13.5">
      <c r="B1222" s="29"/>
      <c r="C1222" s="29"/>
      <c r="D1222" s="30"/>
      <c r="E1222" s="33"/>
      <c r="F1222" s="88"/>
    </row>
    <row r="1223" spans="2:6" s="6" customFormat="1" ht="13.5">
      <c r="B1223" s="29"/>
      <c r="C1223" s="29"/>
      <c r="D1223" s="30"/>
      <c r="E1223" s="33"/>
      <c r="F1223" s="88"/>
    </row>
    <row r="1224" spans="2:6" s="6" customFormat="1" ht="13.5">
      <c r="B1224" s="29"/>
      <c r="C1224" s="29"/>
      <c r="D1224" s="30"/>
      <c r="E1224" s="33"/>
      <c r="F1224" s="88"/>
    </row>
    <row r="1225" spans="2:6" s="6" customFormat="1" ht="13.5">
      <c r="B1225" s="29"/>
      <c r="C1225" s="29"/>
      <c r="D1225" s="30"/>
      <c r="E1225" s="33"/>
      <c r="F1225" s="88"/>
    </row>
    <row r="1226" spans="2:6" s="6" customFormat="1" ht="13.5">
      <c r="B1226" s="29"/>
      <c r="C1226" s="29"/>
      <c r="D1226" s="30"/>
      <c r="E1226" s="33"/>
      <c r="F1226" s="88"/>
    </row>
    <row r="1227" spans="2:6" s="6" customFormat="1" ht="13.5">
      <c r="B1227" s="29"/>
      <c r="C1227" s="29"/>
      <c r="D1227" s="30"/>
      <c r="E1227" s="33"/>
      <c r="F1227" s="88"/>
    </row>
    <row r="1228" spans="2:6" s="6" customFormat="1" ht="13.5">
      <c r="B1228" s="29"/>
      <c r="C1228" s="29"/>
      <c r="D1228" s="30"/>
      <c r="E1228" s="33"/>
      <c r="F1228" s="88"/>
    </row>
    <row r="1229" spans="2:6" s="6" customFormat="1" ht="13.5">
      <c r="B1229" s="29"/>
      <c r="C1229" s="29"/>
      <c r="D1229" s="30"/>
      <c r="E1229" s="33"/>
      <c r="F1229" s="88"/>
    </row>
    <row r="1230" spans="2:6" s="6" customFormat="1" ht="13.5">
      <c r="B1230" s="29"/>
      <c r="C1230" s="29"/>
      <c r="D1230" s="30"/>
      <c r="E1230" s="33"/>
      <c r="F1230" s="88"/>
    </row>
    <row r="1231" spans="2:6" s="6" customFormat="1" ht="13.5">
      <c r="B1231" s="29"/>
      <c r="C1231" s="29"/>
      <c r="D1231" s="30"/>
      <c r="E1231" s="33"/>
      <c r="F1231" s="88"/>
    </row>
    <row r="1232" spans="2:6" s="6" customFormat="1" ht="13.5">
      <c r="B1232" s="29"/>
      <c r="C1232" s="29"/>
      <c r="D1232" s="30"/>
      <c r="E1232" s="33"/>
      <c r="F1232" s="88"/>
    </row>
    <row r="1233" spans="2:6" s="6" customFormat="1" ht="13.5">
      <c r="B1233" s="29"/>
      <c r="C1233" s="29"/>
      <c r="D1233" s="30"/>
      <c r="E1233" s="33"/>
      <c r="F1233" s="88"/>
    </row>
    <row r="1234" spans="2:6" s="6" customFormat="1" ht="13.5">
      <c r="B1234" s="29"/>
      <c r="C1234" s="29"/>
      <c r="D1234" s="30"/>
      <c r="E1234" s="33"/>
      <c r="F1234" s="88"/>
    </row>
    <row r="1235" spans="2:6" s="6" customFormat="1" ht="13.5">
      <c r="B1235" s="29"/>
      <c r="C1235" s="29"/>
      <c r="D1235" s="30"/>
      <c r="E1235" s="33"/>
      <c r="F1235" s="88"/>
    </row>
    <row r="1236" spans="2:6" s="6" customFormat="1" ht="13.5">
      <c r="B1236" s="29"/>
      <c r="C1236" s="29"/>
      <c r="D1236" s="30"/>
      <c r="E1236" s="33"/>
      <c r="F1236" s="88"/>
    </row>
    <row r="1237" spans="2:6" s="6" customFormat="1" ht="13.5">
      <c r="B1237" s="29"/>
      <c r="C1237" s="29"/>
      <c r="D1237" s="30"/>
      <c r="E1237" s="33"/>
      <c r="F1237" s="88"/>
    </row>
    <row r="1238" spans="2:6" s="6" customFormat="1" ht="13.5">
      <c r="B1238" s="29"/>
      <c r="C1238" s="29"/>
      <c r="D1238" s="30"/>
      <c r="E1238" s="33"/>
      <c r="F1238" s="88"/>
    </row>
    <row r="1239" spans="2:6" s="6" customFormat="1" ht="13.5">
      <c r="B1239" s="29"/>
      <c r="C1239" s="29"/>
      <c r="D1239" s="30"/>
      <c r="E1239" s="33"/>
      <c r="F1239" s="88"/>
    </row>
    <row r="1240" spans="2:6" s="6" customFormat="1" ht="13.5">
      <c r="B1240" s="29"/>
      <c r="C1240" s="29"/>
      <c r="D1240" s="30"/>
      <c r="E1240" s="33"/>
      <c r="F1240" s="88"/>
    </row>
    <row r="1241" spans="2:6" s="6" customFormat="1" ht="13.5">
      <c r="B1241" s="29"/>
      <c r="C1241" s="29"/>
      <c r="D1241" s="30"/>
      <c r="E1241" s="33"/>
      <c r="F1241" s="88"/>
    </row>
    <row r="1242" spans="2:6" s="6" customFormat="1" ht="13.5">
      <c r="B1242" s="29"/>
      <c r="C1242" s="29"/>
      <c r="D1242" s="30"/>
      <c r="E1242" s="33"/>
      <c r="F1242" s="88"/>
    </row>
    <row r="1243" spans="2:6" s="6" customFormat="1" ht="13.5">
      <c r="B1243" s="29"/>
      <c r="C1243" s="29"/>
      <c r="D1243" s="30"/>
      <c r="E1243" s="33"/>
      <c r="F1243" s="88"/>
    </row>
    <row r="1244" spans="2:6" s="6" customFormat="1" ht="13.5">
      <c r="B1244" s="29"/>
      <c r="C1244" s="29"/>
      <c r="D1244" s="30"/>
      <c r="E1244" s="33"/>
      <c r="F1244" s="88"/>
    </row>
    <row r="1245" spans="2:6" s="6" customFormat="1" ht="13.5">
      <c r="B1245" s="29"/>
      <c r="C1245" s="29"/>
      <c r="D1245" s="30"/>
      <c r="E1245" s="33"/>
      <c r="F1245" s="88"/>
    </row>
    <row r="1246" spans="2:6" s="6" customFormat="1" ht="13.5">
      <c r="B1246" s="29"/>
      <c r="C1246" s="29"/>
      <c r="D1246" s="30"/>
      <c r="E1246" s="33"/>
      <c r="F1246" s="88"/>
    </row>
    <row r="1247" spans="2:6" s="6" customFormat="1" ht="13.5">
      <c r="B1247" s="29"/>
      <c r="C1247" s="29"/>
      <c r="D1247" s="30"/>
      <c r="E1247" s="33"/>
      <c r="F1247" s="88"/>
    </row>
    <row r="1248" spans="2:6" s="6" customFormat="1" ht="13.5">
      <c r="B1248" s="29"/>
      <c r="C1248" s="29"/>
      <c r="D1248" s="30"/>
      <c r="E1248" s="33"/>
      <c r="F1248" s="88"/>
    </row>
    <row r="1249" spans="2:6" s="6" customFormat="1" ht="13.5">
      <c r="B1249" s="29"/>
      <c r="C1249" s="29"/>
      <c r="D1249" s="30"/>
      <c r="E1249" s="33"/>
      <c r="F1249" s="88"/>
    </row>
    <row r="1250" spans="2:6" s="6" customFormat="1" ht="13.5">
      <c r="B1250" s="29"/>
      <c r="C1250" s="29"/>
      <c r="D1250" s="30"/>
      <c r="E1250" s="33"/>
      <c r="F1250" s="88"/>
    </row>
    <row r="1251" spans="2:6" s="6" customFormat="1" ht="13.5">
      <c r="B1251" s="29"/>
      <c r="C1251" s="29"/>
      <c r="D1251" s="30"/>
      <c r="E1251" s="33"/>
      <c r="F1251" s="88"/>
    </row>
    <row r="1252" spans="2:6" s="6" customFormat="1" ht="13.5">
      <c r="B1252" s="29"/>
      <c r="C1252" s="29"/>
      <c r="D1252" s="30"/>
      <c r="E1252" s="33"/>
      <c r="F1252" s="88"/>
    </row>
    <row r="1253" spans="2:6" s="6" customFormat="1" ht="13.5">
      <c r="B1253" s="29"/>
      <c r="C1253" s="29"/>
      <c r="D1253" s="30"/>
      <c r="E1253" s="33"/>
      <c r="F1253" s="88"/>
    </row>
    <row r="1254" spans="2:6" s="6" customFormat="1" ht="13.5">
      <c r="B1254" s="29"/>
      <c r="C1254" s="29"/>
      <c r="D1254" s="30"/>
      <c r="E1254" s="33"/>
      <c r="F1254" s="88"/>
    </row>
    <row r="1255" spans="2:6" s="6" customFormat="1" ht="13.5">
      <c r="B1255" s="29"/>
      <c r="C1255" s="29"/>
      <c r="D1255" s="30"/>
      <c r="E1255" s="33"/>
      <c r="F1255" s="88"/>
    </row>
    <row r="1256" spans="2:6" s="6" customFormat="1" ht="13.5">
      <c r="B1256" s="29"/>
      <c r="C1256" s="29"/>
      <c r="D1256" s="30"/>
      <c r="E1256" s="33"/>
      <c r="F1256" s="88"/>
    </row>
    <row r="1257" spans="2:6" s="6" customFormat="1" ht="13.5">
      <c r="B1257" s="29"/>
      <c r="C1257" s="29"/>
      <c r="D1257" s="30"/>
      <c r="E1257" s="33"/>
      <c r="F1257" s="88"/>
    </row>
    <row r="1258" spans="2:6" s="6" customFormat="1" ht="13.5">
      <c r="B1258" s="29"/>
      <c r="C1258" s="29"/>
      <c r="D1258" s="30"/>
      <c r="E1258" s="33"/>
      <c r="F1258" s="88"/>
    </row>
    <row r="1259" spans="2:6" s="6" customFormat="1" ht="13.5">
      <c r="B1259" s="29"/>
      <c r="C1259" s="29"/>
      <c r="D1259" s="30"/>
      <c r="E1259" s="33"/>
      <c r="F1259" s="88"/>
    </row>
    <row r="1260" spans="2:6" s="6" customFormat="1" ht="13.5">
      <c r="B1260" s="29"/>
      <c r="C1260" s="29"/>
      <c r="D1260" s="30"/>
      <c r="E1260" s="33"/>
      <c r="F1260" s="88"/>
    </row>
    <row r="1261" spans="2:6" s="6" customFormat="1" ht="13.5">
      <c r="B1261" s="29"/>
      <c r="C1261" s="29"/>
      <c r="D1261" s="30"/>
      <c r="E1261" s="33"/>
      <c r="F1261" s="88"/>
    </row>
    <row r="1262" spans="2:6" s="6" customFormat="1" ht="13.5">
      <c r="B1262" s="29"/>
      <c r="C1262" s="29"/>
      <c r="D1262" s="30"/>
      <c r="E1262" s="33"/>
      <c r="F1262" s="88"/>
    </row>
    <row r="1263" spans="2:6" s="6" customFormat="1" ht="13.5">
      <c r="B1263" s="29"/>
      <c r="C1263" s="29"/>
      <c r="D1263" s="30"/>
      <c r="E1263" s="33"/>
      <c r="F1263" s="88"/>
    </row>
    <row r="1264" spans="2:6" s="6" customFormat="1" ht="13.5">
      <c r="B1264" s="29"/>
      <c r="C1264" s="29"/>
      <c r="D1264" s="30"/>
      <c r="E1264" s="33"/>
      <c r="F1264" s="88"/>
    </row>
    <row r="1265" spans="2:6" s="6" customFormat="1" ht="13.5">
      <c r="B1265" s="29"/>
      <c r="C1265" s="29"/>
      <c r="D1265" s="30"/>
      <c r="E1265" s="33"/>
      <c r="F1265" s="88"/>
    </row>
    <row r="1266" spans="2:6" s="6" customFormat="1" ht="13.5">
      <c r="B1266" s="29"/>
      <c r="C1266" s="29"/>
      <c r="D1266" s="30"/>
      <c r="E1266" s="33"/>
      <c r="F1266" s="88"/>
    </row>
    <row r="1267" spans="2:6" s="6" customFormat="1" ht="13.5">
      <c r="B1267" s="29"/>
      <c r="C1267" s="29"/>
      <c r="D1267" s="30"/>
      <c r="E1267" s="33"/>
      <c r="F1267" s="88"/>
    </row>
    <row r="1268" spans="2:6" s="6" customFormat="1" ht="13.5">
      <c r="B1268" s="29"/>
      <c r="C1268" s="29"/>
      <c r="D1268" s="30"/>
      <c r="E1268" s="33"/>
      <c r="F1268" s="88"/>
    </row>
    <row r="1269" spans="2:6" s="6" customFormat="1" ht="13.5">
      <c r="B1269" s="29"/>
      <c r="C1269" s="29"/>
      <c r="D1269" s="30"/>
      <c r="E1269" s="33"/>
      <c r="F1269" s="88"/>
    </row>
    <row r="1270" spans="2:6" s="6" customFormat="1" ht="13.5">
      <c r="B1270" s="29"/>
      <c r="C1270" s="29"/>
      <c r="D1270" s="30"/>
      <c r="E1270" s="33"/>
      <c r="F1270" s="88"/>
    </row>
    <row r="1271" spans="2:6" s="6" customFormat="1" ht="13.5">
      <c r="B1271" s="29"/>
      <c r="C1271" s="29"/>
      <c r="D1271" s="30"/>
      <c r="E1271" s="33"/>
      <c r="F1271" s="88"/>
    </row>
    <row r="1272" spans="2:6" s="6" customFormat="1" ht="13.5">
      <c r="B1272" s="29"/>
      <c r="C1272" s="29"/>
      <c r="D1272" s="30"/>
      <c r="E1272" s="33"/>
      <c r="F1272" s="88"/>
    </row>
    <row r="1273" spans="2:6" s="6" customFormat="1" ht="13.5">
      <c r="B1273" s="29"/>
      <c r="C1273" s="29"/>
      <c r="D1273" s="30"/>
      <c r="E1273" s="33"/>
      <c r="F1273" s="88"/>
    </row>
    <row r="1274" spans="2:6" s="6" customFormat="1" ht="13.5">
      <c r="B1274" s="29"/>
      <c r="C1274" s="29"/>
      <c r="D1274" s="30"/>
      <c r="E1274" s="33"/>
      <c r="F1274" s="88"/>
    </row>
    <row r="1275" spans="2:6" s="6" customFormat="1" ht="13.5">
      <c r="B1275" s="29"/>
      <c r="C1275" s="29"/>
      <c r="D1275" s="30"/>
      <c r="E1275" s="33"/>
      <c r="F1275" s="88"/>
    </row>
    <row r="1276" spans="2:6" s="6" customFormat="1" ht="13.5">
      <c r="B1276" s="29"/>
      <c r="C1276" s="29"/>
      <c r="D1276" s="30"/>
      <c r="E1276" s="33"/>
      <c r="F1276" s="88"/>
    </row>
    <row r="1277" spans="2:6" s="6" customFormat="1" ht="13.5">
      <c r="B1277" s="29"/>
      <c r="C1277" s="29"/>
      <c r="D1277" s="30"/>
      <c r="E1277" s="33"/>
      <c r="F1277" s="88"/>
    </row>
    <row r="1278" spans="2:6" s="6" customFormat="1" ht="13.5">
      <c r="B1278" s="29"/>
      <c r="C1278" s="29"/>
      <c r="D1278" s="30"/>
      <c r="E1278" s="33"/>
      <c r="F1278" s="88"/>
    </row>
    <row r="1279" spans="2:6" s="6" customFormat="1" ht="13.5">
      <c r="B1279" s="29"/>
      <c r="C1279" s="29"/>
      <c r="D1279" s="30"/>
      <c r="E1279" s="33"/>
      <c r="F1279" s="88"/>
    </row>
    <row r="1280" spans="2:6" s="6" customFormat="1" ht="13.5">
      <c r="B1280" s="29"/>
      <c r="C1280" s="29"/>
      <c r="D1280" s="30"/>
      <c r="E1280" s="33"/>
      <c r="F1280" s="88"/>
    </row>
    <row r="1281" spans="2:6" s="6" customFormat="1" ht="13.5">
      <c r="B1281" s="29"/>
      <c r="C1281" s="29"/>
      <c r="D1281" s="30"/>
      <c r="E1281" s="33"/>
      <c r="F1281" s="88"/>
    </row>
    <row r="1282" spans="2:6" s="6" customFormat="1" ht="13.5">
      <c r="B1282" s="29"/>
      <c r="C1282" s="29"/>
      <c r="D1282" s="30"/>
      <c r="E1282" s="33"/>
      <c r="F1282" s="88"/>
    </row>
    <row r="1283" spans="2:6" s="6" customFormat="1" ht="13.5">
      <c r="B1283" s="29"/>
      <c r="C1283" s="29"/>
      <c r="D1283" s="30"/>
      <c r="E1283" s="33"/>
      <c r="F1283" s="88"/>
    </row>
    <row r="1284" spans="2:6" s="6" customFormat="1" ht="13.5">
      <c r="B1284" s="29"/>
      <c r="C1284" s="29"/>
      <c r="D1284" s="30"/>
      <c r="E1284" s="33"/>
      <c r="F1284" s="88"/>
    </row>
    <row r="1285" spans="2:6" s="6" customFormat="1" ht="13.5">
      <c r="B1285" s="29"/>
      <c r="C1285" s="29"/>
      <c r="D1285" s="30"/>
      <c r="E1285" s="33"/>
      <c r="F1285" s="88"/>
    </row>
    <row r="1286" spans="2:6" s="6" customFormat="1" ht="13.5">
      <c r="B1286" s="29"/>
      <c r="C1286" s="29"/>
      <c r="D1286" s="30"/>
      <c r="E1286" s="33"/>
      <c r="F1286" s="88"/>
    </row>
    <row r="1287" spans="2:6" s="6" customFormat="1" ht="13.5">
      <c r="B1287" s="29"/>
      <c r="C1287" s="29"/>
      <c r="D1287" s="30"/>
      <c r="E1287" s="33"/>
      <c r="F1287" s="88"/>
    </row>
    <row r="1288" spans="2:6" s="6" customFormat="1" ht="13.5">
      <c r="B1288" s="29"/>
      <c r="C1288" s="29"/>
      <c r="D1288" s="30"/>
      <c r="E1288" s="33"/>
      <c r="F1288" s="88"/>
    </row>
    <row r="1289" spans="2:6" s="6" customFormat="1" ht="13.5">
      <c r="B1289" s="29"/>
      <c r="C1289" s="29"/>
      <c r="D1289" s="30"/>
      <c r="E1289" s="33"/>
      <c r="F1289" s="88"/>
    </row>
    <row r="1290" spans="2:6" s="6" customFormat="1" ht="13.5">
      <c r="B1290" s="29"/>
      <c r="C1290" s="29"/>
      <c r="D1290" s="30"/>
      <c r="E1290" s="33"/>
      <c r="F1290" s="88"/>
    </row>
    <row r="1291" spans="2:6" s="6" customFormat="1" ht="13.5">
      <c r="B1291" s="29"/>
      <c r="C1291" s="29"/>
      <c r="D1291" s="30"/>
      <c r="E1291" s="33"/>
      <c r="F1291" s="88"/>
    </row>
    <row r="1292" spans="2:6" s="6" customFormat="1" ht="13.5">
      <c r="B1292" s="29"/>
      <c r="C1292" s="29"/>
      <c r="D1292" s="30"/>
      <c r="E1292" s="33"/>
      <c r="F1292" s="88"/>
    </row>
    <row r="1293" spans="2:6" s="6" customFormat="1" ht="13.5">
      <c r="B1293" s="29"/>
      <c r="C1293" s="29"/>
      <c r="D1293" s="30"/>
      <c r="E1293" s="33"/>
      <c r="F1293" s="88"/>
    </row>
    <row r="1294" spans="2:6" s="6" customFormat="1" ht="13.5">
      <c r="B1294" s="29"/>
      <c r="C1294" s="29"/>
      <c r="D1294" s="30"/>
      <c r="E1294" s="33"/>
      <c r="F1294" s="88"/>
    </row>
    <row r="1295" spans="2:6" s="6" customFormat="1" ht="13.5">
      <c r="B1295" s="29"/>
      <c r="C1295" s="29"/>
      <c r="D1295" s="30"/>
      <c r="E1295" s="33"/>
      <c r="F1295" s="88"/>
    </row>
    <row r="1296" spans="2:6" s="6" customFormat="1" ht="13.5">
      <c r="B1296" s="29"/>
      <c r="C1296" s="29"/>
      <c r="D1296" s="30"/>
      <c r="E1296" s="33"/>
      <c r="F1296" s="88"/>
    </row>
    <row r="1297" spans="2:6" s="6" customFormat="1" ht="13.5">
      <c r="B1297" s="29"/>
      <c r="C1297" s="29"/>
      <c r="D1297" s="30"/>
      <c r="E1297" s="33"/>
      <c r="F1297" s="88"/>
    </row>
    <row r="1298" spans="2:6" s="6" customFormat="1" ht="13.5">
      <c r="B1298" s="29"/>
      <c r="C1298" s="29"/>
      <c r="D1298" s="30"/>
      <c r="E1298" s="33"/>
      <c r="F1298" s="88"/>
    </row>
    <row r="1299" spans="2:6" s="6" customFormat="1" ht="13.5">
      <c r="B1299" s="29"/>
      <c r="C1299" s="29"/>
      <c r="D1299" s="30"/>
      <c r="E1299" s="33"/>
      <c r="F1299" s="88"/>
    </row>
    <row r="1300" spans="2:6" s="6" customFormat="1" ht="13.5">
      <c r="B1300" s="29"/>
      <c r="C1300" s="29"/>
      <c r="D1300" s="30"/>
      <c r="E1300" s="33"/>
      <c r="F1300" s="88"/>
    </row>
    <row r="1301" spans="2:6" s="6" customFormat="1" ht="13.5">
      <c r="B1301" s="29"/>
      <c r="C1301" s="29"/>
      <c r="D1301" s="30"/>
      <c r="E1301" s="33"/>
      <c r="F1301" s="88"/>
    </row>
    <row r="1302" spans="2:6" s="6" customFormat="1" ht="13.5">
      <c r="B1302" s="29"/>
      <c r="C1302" s="29"/>
      <c r="D1302" s="30"/>
      <c r="E1302" s="33"/>
      <c r="F1302" s="88"/>
    </row>
    <row r="1303" spans="2:6" s="6" customFormat="1" ht="13.5">
      <c r="B1303" s="29"/>
      <c r="C1303" s="29"/>
      <c r="D1303" s="30"/>
      <c r="E1303" s="33"/>
      <c r="F1303" s="88"/>
    </row>
    <row r="1304" spans="2:6" s="6" customFormat="1" ht="13.5">
      <c r="B1304" s="29"/>
      <c r="C1304" s="29"/>
      <c r="D1304" s="30"/>
      <c r="E1304" s="33"/>
      <c r="F1304" s="88"/>
    </row>
    <row r="1305" spans="2:6" s="6" customFormat="1" ht="13.5">
      <c r="B1305" s="29"/>
      <c r="C1305" s="29"/>
      <c r="D1305" s="30"/>
      <c r="E1305" s="33"/>
      <c r="F1305" s="88"/>
    </row>
    <row r="1306" spans="2:6" s="6" customFormat="1" ht="13.5">
      <c r="B1306" s="29"/>
      <c r="C1306" s="29"/>
      <c r="D1306" s="30"/>
      <c r="E1306" s="33"/>
      <c r="F1306" s="88"/>
    </row>
    <row r="1307" spans="2:6" s="6" customFormat="1" ht="13.5">
      <c r="B1307" s="29"/>
      <c r="C1307" s="29"/>
      <c r="D1307" s="30"/>
      <c r="E1307" s="33"/>
      <c r="F1307" s="88"/>
    </row>
    <row r="1308" spans="2:6" s="6" customFormat="1" ht="13.5">
      <c r="B1308" s="29"/>
      <c r="C1308" s="29"/>
      <c r="D1308" s="30"/>
      <c r="E1308" s="33"/>
      <c r="F1308" s="88"/>
    </row>
    <row r="1309" spans="2:6" s="6" customFormat="1" ht="13.5">
      <c r="B1309" s="29"/>
      <c r="C1309" s="29"/>
      <c r="D1309" s="30"/>
      <c r="E1309" s="33"/>
      <c r="F1309" s="88"/>
    </row>
    <row r="1310" spans="2:6" s="6" customFormat="1" ht="13.5">
      <c r="B1310" s="29"/>
      <c r="C1310" s="29"/>
      <c r="D1310" s="30"/>
      <c r="E1310" s="33"/>
      <c r="F1310" s="88"/>
    </row>
    <row r="1311" spans="2:6" s="6" customFormat="1" ht="13.5">
      <c r="B1311" s="29"/>
      <c r="C1311" s="29"/>
      <c r="D1311" s="30"/>
      <c r="E1311" s="33"/>
      <c r="F1311" s="88"/>
    </row>
    <row r="1312" spans="2:6" s="6" customFormat="1" ht="13.5">
      <c r="B1312" s="29"/>
      <c r="C1312" s="29"/>
      <c r="D1312" s="30"/>
      <c r="E1312" s="33"/>
      <c r="F1312" s="88"/>
    </row>
    <row r="1313" spans="2:6" s="6" customFormat="1" ht="13.5">
      <c r="B1313" s="29"/>
      <c r="C1313" s="29"/>
      <c r="D1313" s="30"/>
      <c r="E1313" s="33"/>
      <c r="F1313" s="88"/>
    </row>
    <row r="1314" spans="2:6" s="6" customFormat="1" ht="13.5">
      <c r="B1314" s="29"/>
      <c r="C1314" s="29"/>
      <c r="D1314" s="30"/>
      <c r="E1314" s="33"/>
      <c r="F1314" s="88"/>
    </row>
    <row r="1315" spans="2:6" s="6" customFormat="1" ht="13.5">
      <c r="B1315" s="29"/>
      <c r="C1315" s="29"/>
      <c r="D1315" s="30"/>
      <c r="E1315" s="33"/>
      <c r="F1315" s="88"/>
    </row>
    <row r="1316" spans="2:6" s="6" customFormat="1" ht="13.5">
      <c r="B1316" s="29"/>
      <c r="C1316" s="29"/>
      <c r="D1316" s="30"/>
      <c r="E1316" s="33"/>
      <c r="F1316" s="88"/>
    </row>
    <row r="1317" spans="2:6" s="6" customFormat="1" ht="13.5">
      <c r="B1317" s="29"/>
      <c r="C1317" s="29"/>
      <c r="D1317" s="30"/>
      <c r="E1317" s="33"/>
      <c r="F1317" s="88"/>
    </row>
    <row r="1318" spans="2:6" s="6" customFormat="1" ht="13.5">
      <c r="B1318" s="29"/>
      <c r="C1318" s="29"/>
      <c r="D1318" s="30"/>
      <c r="E1318" s="33"/>
      <c r="F1318" s="88"/>
    </row>
    <row r="1319" spans="2:6" s="6" customFormat="1" ht="13.5">
      <c r="B1319" s="29"/>
      <c r="C1319" s="29"/>
      <c r="D1319" s="30"/>
      <c r="E1319" s="33"/>
      <c r="F1319" s="88"/>
    </row>
    <row r="1320" spans="2:6" s="6" customFormat="1" ht="13.5">
      <c r="B1320" s="29"/>
      <c r="C1320" s="29"/>
      <c r="D1320" s="30"/>
      <c r="E1320" s="33"/>
      <c r="F1320" s="88"/>
    </row>
    <row r="1321" spans="2:6" s="6" customFormat="1" ht="13.5">
      <c r="B1321" s="29"/>
      <c r="C1321" s="29"/>
      <c r="D1321" s="30"/>
      <c r="E1321" s="33"/>
      <c r="F1321" s="88"/>
    </row>
    <row r="1322" spans="2:6" s="6" customFormat="1" ht="13.5">
      <c r="B1322" s="29"/>
      <c r="C1322" s="29"/>
      <c r="D1322" s="30"/>
      <c r="E1322" s="33"/>
      <c r="F1322" s="88"/>
    </row>
    <row r="1323" spans="2:6" s="6" customFormat="1" ht="13.5">
      <c r="B1323" s="29"/>
      <c r="C1323" s="29"/>
      <c r="D1323" s="30"/>
      <c r="E1323" s="33"/>
      <c r="F1323" s="88"/>
    </row>
    <row r="1324" spans="2:6" s="6" customFormat="1" ht="13.5">
      <c r="B1324" s="29"/>
      <c r="C1324" s="29"/>
      <c r="D1324" s="30"/>
      <c r="E1324" s="33"/>
      <c r="F1324" s="88"/>
    </row>
    <row r="1325" spans="2:6" s="6" customFormat="1" ht="13.5">
      <c r="B1325" s="29"/>
      <c r="C1325" s="29"/>
      <c r="D1325" s="30"/>
      <c r="E1325" s="33"/>
      <c r="F1325" s="88"/>
    </row>
    <row r="1326" spans="2:6" s="6" customFormat="1" ht="13.5">
      <c r="B1326" s="29"/>
      <c r="C1326" s="29"/>
      <c r="D1326" s="30"/>
      <c r="E1326" s="33"/>
      <c r="F1326" s="88"/>
    </row>
    <row r="1327" spans="2:6" s="6" customFormat="1" ht="13.5">
      <c r="B1327" s="29"/>
      <c r="C1327" s="29"/>
      <c r="D1327" s="30"/>
      <c r="E1327" s="33"/>
      <c r="F1327" s="88"/>
    </row>
    <row r="1328" spans="2:6" s="6" customFormat="1" ht="13.5">
      <c r="B1328" s="29"/>
      <c r="C1328" s="29"/>
      <c r="D1328" s="30"/>
      <c r="E1328" s="33"/>
      <c r="F1328" s="88"/>
    </row>
    <row r="1329" spans="2:6" s="6" customFormat="1" ht="13.5">
      <c r="B1329" s="29"/>
      <c r="C1329" s="29"/>
      <c r="D1329" s="30"/>
      <c r="E1329" s="33"/>
      <c r="F1329" s="88"/>
    </row>
    <row r="1330" spans="2:6" s="6" customFormat="1" ht="13.5">
      <c r="B1330" s="29"/>
      <c r="C1330" s="29"/>
      <c r="D1330" s="30"/>
      <c r="E1330" s="33"/>
      <c r="F1330" s="88"/>
    </row>
    <row r="1331" spans="2:6" s="6" customFormat="1" ht="13.5">
      <c r="B1331" s="29"/>
      <c r="C1331" s="29"/>
      <c r="D1331" s="30"/>
      <c r="E1331" s="33"/>
      <c r="F1331" s="88"/>
    </row>
    <row r="1332" spans="2:6" s="6" customFormat="1" ht="13.5">
      <c r="B1332" s="29"/>
      <c r="C1332" s="29"/>
      <c r="D1332" s="30"/>
      <c r="E1332" s="33"/>
      <c r="F1332" s="88"/>
    </row>
    <row r="1333" spans="2:6" s="6" customFormat="1" ht="13.5">
      <c r="B1333" s="29"/>
      <c r="C1333" s="29"/>
      <c r="D1333" s="30"/>
      <c r="E1333" s="33"/>
      <c r="F1333" s="88"/>
    </row>
    <row r="1334" spans="2:6" s="6" customFormat="1" ht="13.5">
      <c r="B1334" s="29"/>
      <c r="C1334" s="29"/>
      <c r="D1334" s="30"/>
      <c r="E1334" s="33"/>
      <c r="F1334" s="88"/>
    </row>
    <row r="1335" spans="2:6" s="6" customFormat="1" ht="13.5">
      <c r="B1335" s="29"/>
      <c r="C1335" s="29"/>
      <c r="D1335" s="30"/>
      <c r="E1335" s="33"/>
      <c r="F1335" s="88"/>
    </row>
    <row r="1336" spans="2:6" s="6" customFormat="1" ht="13.5">
      <c r="B1336" s="29"/>
      <c r="C1336" s="29"/>
      <c r="D1336" s="30"/>
      <c r="E1336" s="33"/>
      <c r="F1336" s="88"/>
    </row>
    <row r="1337" spans="2:6" s="6" customFormat="1" ht="13.5">
      <c r="B1337" s="29"/>
      <c r="C1337" s="29"/>
      <c r="D1337" s="30"/>
      <c r="E1337" s="33"/>
      <c r="F1337" s="88"/>
    </row>
    <row r="1338" spans="2:6" s="6" customFormat="1" ht="13.5">
      <c r="B1338" s="29"/>
      <c r="C1338" s="29"/>
      <c r="D1338" s="30"/>
      <c r="E1338" s="33"/>
      <c r="F1338" s="88"/>
    </row>
    <row r="1339" spans="2:6" s="6" customFormat="1" ht="13.5">
      <c r="B1339" s="29"/>
      <c r="C1339" s="29"/>
      <c r="D1339" s="30"/>
      <c r="E1339" s="33"/>
      <c r="F1339" s="88"/>
    </row>
    <row r="1340" spans="2:6" s="6" customFormat="1" ht="13.5">
      <c r="B1340" s="29"/>
      <c r="C1340" s="29"/>
      <c r="D1340" s="30"/>
      <c r="E1340" s="33"/>
      <c r="F1340" s="88"/>
    </row>
    <row r="1341" spans="2:6" s="6" customFormat="1" ht="13.5">
      <c r="B1341" s="29"/>
      <c r="C1341" s="29"/>
      <c r="D1341" s="30"/>
      <c r="E1341" s="33"/>
      <c r="F1341" s="88"/>
    </row>
    <row r="1342" spans="2:6" s="6" customFormat="1" ht="13.5">
      <c r="B1342" s="29"/>
      <c r="C1342" s="29"/>
      <c r="D1342" s="30"/>
      <c r="E1342" s="33"/>
      <c r="F1342" s="88"/>
    </row>
    <row r="1343" spans="2:6" s="6" customFormat="1" ht="13.5">
      <c r="B1343" s="29"/>
      <c r="C1343" s="29"/>
      <c r="D1343" s="30"/>
      <c r="E1343" s="33"/>
      <c r="F1343" s="88"/>
    </row>
    <row r="1344" spans="2:6" s="6" customFormat="1" ht="13.5">
      <c r="B1344" s="29"/>
      <c r="C1344" s="29"/>
      <c r="D1344" s="30"/>
      <c r="E1344" s="33"/>
      <c r="F1344" s="88"/>
    </row>
    <row r="1345" spans="2:6" s="6" customFormat="1" ht="13.5">
      <c r="B1345" s="29"/>
      <c r="C1345" s="29"/>
      <c r="D1345" s="30"/>
      <c r="E1345" s="33"/>
      <c r="F1345" s="88"/>
    </row>
    <row r="1346" spans="2:6" s="6" customFormat="1" ht="13.5">
      <c r="B1346" s="29"/>
      <c r="C1346" s="29"/>
      <c r="D1346" s="30"/>
      <c r="E1346" s="33"/>
      <c r="F1346" s="88"/>
    </row>
    <row r="1347" spans="2:6" s="6" customFormat="1" ht="13.5">
      <c r="B1347" s="29"/>
      <c r="C1347" s="29"/>
      <c r="D1347" s="30"/>
      <c r="E1347" s="33"/>
      <c r="F1347" s="88"/>
    </row>
    <row r="1348" spans="2:6" s="6" customFormat="1" ht="13.5">
      <c r="B1348" s="29"/>
      <c r="C1348" s="29"/>
      <c r="D1348" s="30"/>
      <c r="E1348" s="33"/>
      <c r="F1348" s="88"/>
    </row>
    <row r="1349" spans="2:6" s="6" customFormat="1" ht="13.5">
      <c r="B1349" s="29"/>
      <c r="C1349" s="29"/>
      <c r="D1349" s="30"/>
      <c r="E1349" s="33"/>
      <c r="F1349" s="88"/>
    </row>
    <row r="1350" spans="2:6" s="6" customFormat="1" ht="13.5">
      <c r="B1350" s="29"/>
      <c r="C1350" s="29"/>
      <c r="D1350" s="30"/>
      <c r="E1350" s="33"/>
      <c r="F1350" s="88"/>
    </row>
    <row r="1351" spans="2:6" s="6" customFormat="1" ht="13.5">
      <c r="B1351" s="29"/>
      <c r="C1351" s="29"/>
      <c r="D1351" s="30"/>
      <c r="E1351" s="33"/>
      <c r="F1351" s="88"/>
    </row>
    <row r="1352" spans="2:6" s="6" customFormat="1" ht="13.5">
      <c r="B1352" s="29"/>
      <c r="C1352" s="29"/>
      <c r="D1352" s="30"/>
      <c r="E1352" s="33"/>
      <c r="F1352" s="88"/>
    </row>
    <row r="1353" spans="2:6" s="6" customFormat="1" ht="13.5">
      <c r="B1353" s="29"/>
      <c r="C1353" s="29"/>
      <c r="D1353" s="30"/>
      <c r="E1353" s="33"/>
      <c r="F1353" s="88"/>
    </row>
    <row r="1354" spans="2:6" s="6" customFormat="1" ht="13.5">
      <c r="B1354" s="29"/>
      <c r="C1354" s="29"/>
      <c r="D1354" s="30"/>
      <c r="E1354" s="33"/>
      <c r="F1354" s="88"/>
    </row>
    <row r="1355" spans="2:6" s="6" customFormat="1" ht="13.5">
      <c r="B1355" s="29"/>
      <c r="C1355" s="29"/>
      <c r="D1355" s="30"/>
      <c r="E1355" s="33"/>
      <c r="F1355" s="88"/>
    </row>
    <row r="1356" spans="2:6" s="6" customFormat="1" ht="13.5">
      <c r="B1356" s="29"/>
      <c r="C1356" s="29"/>
      <c r="D1356" s="30"/>
      <c r="E1356" s="33"/>
      <c r="F1356" s="88"/>
    </row>
    <row r="1357" spans="2:6" s="6" customFormat="1" ht="13.5">
      <c r="B1357" s="29"/>
      <c r="C1357" s="29"/>
      <c r="D1357" s="30"/>
      <c r="E1357" s="33"/>
      <c r="F1357" s="88"/>
    </row>
    <row r="1358" spans="2:6" s="6" customFormat="1" ht="13.5">
      <c r="B1358" s="29"/>
      <c r="C1358" s="29"/>
      <c r="D1358" s="30"/>
      <c r="E1358" s="33"/>
      <c r="F1358" s="88"/>
    </row>
    <row r="1359" spans="2:6" s="6" customFormat="1" ht="13.5">
      <c r="B1359" s="29"/>
      <c r="C1359" s="29"/>
      <c r="D1359" s="30"/>
      <c r="E1359" s="33"/>
      <c r="F1359" s="88"/>
    </row>
    <row r="1360" spans="2:6" s="6" customFormat="1" ht="13.5">
      <c r="B1360" s="29"/>
      <c r="C1360" s="29"/>
      <c r="D1360" s="30"/>
      <c r="E1360" s="33"/>
      <c r="F1360" s="88"/>
    </row>
    <row r="1361" spans="2:6" s="6" customFormat="1" ht="13.5">
      <c r="B1361" s="29"/>
      <c r="C1361" s="29"/>
      <c r="D1361" s="30"/>
      <c r="E1361" s="33"/>
      <c r="F1361" s="88"/>
    </row>
    <row r="1362" spans="2:6" s="6" customFormat="1" ht="13.5">
      <c r="B1362" s="29"/>
      <c r="C1362" s="29"/>
      <c r="D1362" s="30"/>
      <c r="E1362" s="33"/>
      <c r="F1362" s="88"/>
    </row>
    <row r="1363" spans="2:6" s="6" customFormat="1" ht="13.5">
      <c r="B1363" s="29"/>
      <c r="C1363" s="29"/>
      <c r="D1363" s="30"/>
      <c r="E1363" s="33"/>
      <c r="F1363" s="88"/>
    </row>
    <row r="1364" spans="2:6" s="6" customFormat="1" ht="13.5">
      <c r="B1364" s="29"/>
      <c r="C1364" s="29"/>
      <c r="D1364" s="30"/>
      <c r="E1364" s="33"/>
      <c r="F1364" s="88"/>
    </row>
    <row r="1365" spans="2:6" s="6" customFormat="1" ht="13.5">
      <c r="B1365" s="29"/>
      <c r="C1365" s="29"/>
      <c r="D1365" s="30"/>
      <c r="E1365" s="33"/>
      <c r="F1365" s="88"/>
    </row>
    <row r="1366" spans="2:6" s="6" customFormat="1" ht="13.5">
      <c r="B1366" s="29"/>
      <c r="C1366" s="29"/>
      <c r="D1366" s="30"/>
      <c r="E1366" s="33"/>
      <c r="F1366" s="88"/>
    </row>
    <row r="1367" spans="2:6" s="6" customFormat="1" ht="13.5">
      <c r="B1367" s="29"/>
      <c r="C1367" s="29"/>
      <c r="D1367" s="30"/>
      <c r="E1367" s="33"/>
      <c r="F1367" s="88"/>
    </row>
    <row r="1368" spans="2:6" s="6" customFormat="1" ht="13.5">
      <c r="B1368" s="29"/>
      <c r="C1368" s="29"/>
      <c r="D1368" s="30"/>
      <c r="E1368" s="33"/>
      <c r="F1368" s="88"/>
    </row>
    <row r="1369" spans="2:6" s="6" customFormat="1" ht="13.5">
      <c r="B1369" s="29"/>
      <c r="C1369" s="29"/>
      <c r="D1369" s="30"/>
      <c r="E1369" s="33"/>
      <c r="F1369" s="88"/>
    </row>
    <row r="1370" spans="2:6" s="6" customFormat="1" ht="13.5">
      <c r="B1370" s="29"/>
      <c r="C1370" s="29"/>
      <c r="D1370" s="30"/>
      <c r="E1370" s="33"/>
      <c r="F1370" s="88"/>
    </row>
    <row r="1371" spans="2:6" s="6" customFormat="1" ht="13.5">
      <c r="B1371" s="29"/>
      <c r="C1371" s="29"/>
      <c r="D1371" s="30"/>
      <c r="E1371" s="33"/>
      <c r="F1371" s="88"/>
    </row>
    <row r="1372" spans="2:6" s="6" customFormat="1" ht="13.5">
      <c r="B1372" s="29"/>
      <c r="C1372" s="29"/>
      <c r="D1372" s="30"/>
      <c r="E1372" s="33"/>
      <c r="F1372" s="88"/>
    </row>
    <row r="1373" spans="2:6" s="6" customFormat="1" ht="13.5">
      <c r="B1373" s="29"/>
      <c r="C1373" s="29"/>
      <c r="D1373" s="30"/>
      <c r="E1373" s="33"/>
      <c r="F1373" s="88"/>
    </row>
    <row r="1374" spans="2:6" s="6" customFormat="1" ht="13.5">
      <c r="B1374" s="29"/>
      <c r="C1374" s="29"/>
      <c r="D1374" s="30"/>
      <c r="E1374" s="33"/>
      <c r="F1374" s="88"/>
    </row>
    <row r="1375" spans="2:6" s="6" customFormat="1" ht="13.5">
      <c r="B1375" s="29"/>
      <c r="C1375" s="29"/>
      <c r="D1375" s="30"/>
      <c r="E1375" s="33"/>
      <c r="F1375" s="88"/>
    </row>
    <row r="1376" spans="2:6" s="6" customFormat="1" ht="13.5">
      <c r="B1376" s="29"/>
      <c r="C1376" s="29"/>
      <c r="D1376" s="30"/>
      <c r="E1376" s="33"/>
      <c r="F1376" s="88"/>
    </row>
    <row r="1377" spans="2:6" s="6" customFormat="1" ht="13.5">
      <c r="B1377" s="29"/>
      <c r="C1377" s="29"/>
      <c r="D1377" s="30"/>
      <c r="E1377" s="33"/>
      <c r="F1377" s="88"/>
    </row>
    <row r="1378" spans="2:6" s="6" customFormat="1" ht="13.5">
      <c r="B1378" s="29"/>
      <c r="C1378" s="29"/>
      <c r="D1378" s="30"/>
      <c r="E1378" s="33"/>
      <c r="F1378" s="88"/>
    </row>
    <row r="1379" spans="2:6" s="6" customFormat="1" ht="13.5">
      <c r="B1379" s="29"/>
      <c r="C1379" s="29"/>
      <c r="D1379" s="30"/>
      <c r="E1379" s="33"/>
      <c r="F1379" s="88"/>
    </row>
    <row r="1380" spans="2:6" s="6" customFormat="1" ht="13.5">
      <c r="B1380" s="29"/>
      <c r="C1380" s="29"/>
      <c r="D1380" s="30"/>
      <c r="E1380" s="33"/>
      <c r="F1380" s="88"/>
    </row>
    <row r="1381" spans="2:6" s="6" customFormat="1" ht="13.5">
      <c r="B1381" s="29"/>
      <c r="C1381" s="29"/>
      <c r="D1381" s="30"/>
      <c r="E1381" s="33"/>
      <c r="F1381" s="88"/>
    </row>
    <row r="1382" spans="2:6" s="6" customFormat="1" ht="13.5">
      <c r="B1382" s="29"/>
      <c r="C1382" s="29"/>
      <c r="D1382" s="30"/>
      <c r="E1382" s="33"/>
      <c r="F1382" s="88"/>
    </row>
    <row r="1383" spans="2:6" s="6" customFormat="1" ht="13.5">
      <c r="B1383" s="29"/>
      <c r="C1383" s="29"/>
      <c r="D1383" s="30"/>
      <c r="E1383" s="33"/>
      <c r="F1383" s="88"/>
    </row>
    <row r="1384" spans="2:6" s="6" customFormat="1" ht="13.5">
      <c r="B1384" s="29"/>
      <c r="C1384" s="29"/>
      <c r="D1384" s="30"/>
      <c r="E1384" s="33"/>
      <c r="F1384" s="88"/>
    </row>
    <row r="1385" spans="2:6" s="6" customFormat="1" ht="13.5">
      <c r="B1385" s="29"/>
      <c r="C1385" s="29"/>
      <c r="D1385" s="30"/>
      <c r="E1385" s="33"/>
      <c r="F1385" s="88"/>
    </row>
    <row r="1386" spans="2:6" s="6" customFormat="1" ht="13.5">
      <c r="B1386" s="29"/>
      <c r="C1386" s="29"/>
      <c r="D1386" s="30"/>
      <c r="E1386" s="33"/>
      <c r="F1386" s="88"/>
    </row>
    <row r="1387" spans="2:6" s="6" customFormat="1" ht="13.5">
      <c r="B1387" s="29"/>
      <c r="C1387" s="29"/>
      <c r="D1387" s="30"/>
      <c r="E1387" s="33"/>
      <c r="F1387" s="88"/>
    </row>
    <row r="1388" spans="2:6" s="6" customFormat="1" ht="13.5">
      <c r="B1388" s="29"/>
      <c r="C1388" s="29"/>
      <c r="D1388" s="30"/>
      <c r="E1388" s="33"/>
      <c r="F1388" s="88"/>
    </row>
    <row r="1389" spans="2:6" s="6" customFormat="1" ht="13.5">
      <c r="B1389" s="29"/>
      <c r="C1389" s="29"/>
      <c r="D1389" s="30"/>
      <c r="E1389" s="33"/>
      <c r="F1389" s="88"/>
    </row>
    <row r="1390" spans="2:6" s="6" customFormat="1" ht="13.5">
      <c r="B1390" s="29"/>
      <c r="C1390" s="29"/>
      <c r="D1390" s="30"/>
      <c r="E1390" s="33"/>
      <c r="F1390" s="88"/>
    </row>
    <row r="1391" spans="2:6" s="6" customFormat="1" ht="13.5">
      <c r="B1391" s="29"/>
      <c r="C1391" s="29"/>
      <c r="D1391" s="30"/>
      <c r="E1391" s="33"/>
      <c r="F1391" s="88"/>
    </row>
    <row r="1392" spans="2:6" s="6" customFormat="1" ht="13.5">
      <c r="B1392" s="29"/>
      <c r="C1392" s="29"/>
      <c r="D1392" s="30"/>
      <c r="E1392" s="33"/>
      <c r="F1392" s="88"/>
    </row>
    <row r="1393" spans="2:6" s="6" customFormat="1" ht="13.5">
      <c r="B1393" s="29"/>
      <c r="C1393" s="29"/>
      <c r="D1393" s="30"/>
      <c r="E1393" s="33"/>
      <c r="F1393" s="88"/>
    </row>
    <row r="1394" spans="2:6" s="6" customFormat="1" ht="13.5">
      <c r="B1394" s="29"/>
      <c r="C1394" s="29"/>
      <c r="D1394" s="30"/>
      <c r="E1394" s="33"/>
      <c r="F1394" s="88"/>
    </row>
    <row r="1395" spans="2:6" s="6" customFormat="1" ht="13.5">
      <c r="B1395" s="29"/>
      <c r="C1395" s="29"/>
      <c r="D1395" s="30"/>
      <c r="E1395" s="33"/>
      <c r="F1395" s="88"/>
    </row>
    <row r="1396" spans="2:6" s="6" customFormat="1" ht="13.5">
      <c r="B1396" s="29"/>
      <c r="C1396" s="29"/>
      <c r="D1396" s="30"/>
      <c r="E1396" s="33"/>
      <c r="F1396" s="88"/>
    </row>
    <row r="1397" spans="2:6" s="6" customFormat="1" ht="13.5">
      <c r="B1397" s="29"/>
      <c r="C1397" s="29"/>
      <c r="D1397" s="30"/>
      <c r="E1397" s="33"/>
      <c r="F1397" s="88"/>
    </row>
    <row r="1398" spans="2:6" s="6" customFormat="1" ht="13.5">
      <c r="B1398" s="29"/>
      <c r="C1398" s="29"/>
      <c r="D1398" s="30"/>
      <c r="E1398" s="33"/>
      <c r="F1398" s="88"/>
    </row>
    <row r="1399" spans="2:6" s="6" customFormat="1" ht="13.5">
      <c r="B1399" s="29"/>
      <c r="C1399" s="29"/>
      <c r="D1399" s="30"/>
      <c r="E1399" s="33"/>
      <c r="F1399" s="88"/>
    </row>
    <row r="1400" spans="2:6" s="6" customFormat="1" ht="13.5">
      <c r="B1400" s="29"/>
      <c r="C1400" s="29"/>
      <c r="D1400" s="30"/>
      <c r="E1400" s="33"/>
      <c r="F1400" s="88"/>
    </row>
    <row r="1401" spans="2:6" s="6" customFormat="1" ht="13.5">
      <c r="B1401" s="29"/>
      <c r="C1401" s="29"/>
      <c r="D1401" s="30"/>
      <c r="E1401" s="33"/>
      <c r="F1401" s="88"/>
    </row>
    <row r="1402" spans="2:6" s="6" customFormat="1" ht="13.5">
      <c r="B1402" s="29"/>
      <c r="C1402" s="29"/>
      <c r="D1402" s="30"/>
      <c r="E1402" s="33"/>
      <c r="F1402" s="88"/>
    </row>
    <row r="1403" spans="2:6" s="6" customFormat="1" ht="13.5">
      <c r="B1403" s="29"/>
      <c r="C1403" s="29"/>
      <c r="D1403" s="30"/>
      <c r="E1403" s="33"/>
      <c r="F1403" s="88"/>
    </row>
    <row r="1404" spans="2:6" s="6" customFormat="1" ht="13.5">
      <c r="B1404" s="29"/>
      <c r="C1404" s="29"/>
      <c r="D1404" s="30"/>
      <c r="E1404" s="33"/>
      <c r="F1404" s="88"/>
    </row>
    <row r="1405" spans="2:6" s="6" customFormat="1" ht="13.5">
      <c r="B1405" s="29"/>
      <c r="C1405" s="29"/>
      <c r="D1405" s="30"/>
      <c r="E1405" s="33"/>
      <c r="F1405" s="88"/>
    </row>
    <row r="1406" spans="2:6" s="6" customFormat="1" ht="13.5">
      <c r="B1406" s="29"/>
      <c r="C1406" s="29"/>
      <c r="D1406" s="30"/>
      <c r="E1406" s="33"/>
      <c r="F1406" s="88"/>
    </row>
    <row r="1407" spans="2:6" s="6" customFormat="1" ht="13.5">
      <c r="B1407" s="29"/>
      <c r="C1407" s="29"/>
      <c r="D1407" s="30"/>
      <c r="E1407" s="33"/>
      <c r="F1407" s="88"/>
    </row>
    <row r="1408" spans="2:6" s="6" customFormat="1" ht="13.5">
      <c r="B1408" s="29"/>
      <c r="C1408" s="29"/>
      <c r="D1408" s="30"/>
      <c r="E1408" s="33"/>
      <c r="F1408" s="88"/>
    </row>
    <row r="1409" spans="2:6" s="6" customFormat="1" ht="13.5">
      <c r="B1409" s="29"/>
      <c r="C1409" s="29"/>
      <c r="D1409" s="30"/>
      <c r="E1409" s="33"/>
      <c r="F1409" s="88"/>
    </row>
    <row r="1410" spans="2:6" s="6" customFormat="1" ht="13.5">
      <c r="B1410" s="29"/>
      <c r="C1410" s="29"/>
      <c r="D1410" s="30"/>
      <c r="E1410" s="33"/>
      <c r="F1410" s="88"/>
    </row>
    <row r="1411" spans="2:6" s="6" customFormat="1" ht="13.5">
      <c r="B1411" s="29"/>
      <c r="C1411" s="29"/>
      <c r="D1411" s="30"/>
      <c r="E1411" s="33"/>
      <c r="F1411" s="88"/>
    </row>
    <row r="1412" spans="2:6" s="6" customFormat="1" ht="13.5">
      <c r="B1412" s="29"/>
      <c r="C1412" s="29"/>
      <c r="D1412" s="30"/>
      <c r="E1412" s="33"/>
      <c r="F1412" s="88"/>
    </row>
    <row r="1413" spans="2:6" s="6" customFormat="1" ht="13.5">
      <c r="B1413" s="29"/>
      <c r="C1413" s="29"/>
      <c r="D1413" s="30"/>
      <c r="E1413" s="33"/>
      <c r="F1413" s="88"/>
    </row>
    <row r="1414" spans="2:6" s="6" customFormat="1" ht="13.5">
      <c r="B1414" s="29"/>
      <c r="C1414" s="29"/>
      <c r="D1414" s="30"/>
      <c r="E1414" s="33"/>
      <c r="F1414" s="88"/>
    </row>
    <row r="1415" spans="2:6" s="6" customFormat="1" ht="13.5">
      <c r="B1415" s="29"/>
      <c r="C1415" s="29"/>
      <c r="D1415" s="30"/>
      <c r="E1415" s="33"/>
      <c r="F1415" s="88"/>
    </row>
    <row r="1416" spans="2:6" s="6" customFormat="1" ht="13.5">
      <c r="B1416" s="29"/>
      <c r="C1416" s="29"/>
      <c r="D1416" s="30"/>
      <c r="E1416" s="33"/>
      <c r="F1416" s="88"/>
    </row>
    <row r="1417" spans="2:6" s="6" customFormat="1" ht="13.5">
      <c r="B1417" s="29"/>
      <c r="C1417" s="29"/>
      <c r="D1417" s="30"/>
      <c r="E1417" s="33"/>
      <c r="F1417" s="88"/>
    </row>
    <row r="1418" spans="2:6" s="6" customFormat="1" ht="13.5">
      <c r="B1418" s="29"/>
      <c r="C1418" s="29"/>
      <c r="D1418" s="30"/>
      <c r="E1418" s="33"/>
      <c r="F1418" s="88"/>
    </row>
    <row r="1419" spans="2:6" s="6" customFormat="1" ht="13.5">
      <c r="B1419" s="29"/>
      <c r="C1419" s="29"/>
      <c r="D1419" s="30"/>
      <c r="E1419" s="33"/>
      <c r="F1419" s="88"/>
    </row>
    <row r="1420" spans="2:6" s="6" customFormat="1" ht="13.5">
      <c r="B1420" s="29"/>
      <c r="C1420" s="29"/>
      <c r="D1420" s="30"/>
      <c r="E1420" s="33"/>
      <c r="F1420" s="88"/>
    </row>
    <row r="1421" spans="2:6" s="6" customFormat="1" ht="13.5">
      <c r="B1421" s="29"/>
      <c r="C1421" s="29"/>
      <c r="D1421" s="30"/>
      <c r="E1421" s="33"/>
      <c r="F1421" s="88"/>
    </row>
    <row r="1422" spans="2:6" s="6" customFormat="1" ht="13.5">
      <c r="B1422" s="29"/>
      <c r="C1422" s="29"/>
      <c r="D1422" s="30"/>
      <c r="E1422" s="33"/>
      <c r="F1422" s="88"/>
    </row>
    <row r="1423" spans="2:6" s="6" customFormat="1" ht="13.5">
      <c r="B1423" s="29"/>
      <c r="C1423" s="29"/>
      <c r="D1423" s="30"/>
      <c r="E1423" s="33"/>
      <c r="F1423" s="88"/>
    </row>
    <row r="1424" spans="2:6" s="6" customFormat="1" ht="13.5">
      <c r="B1424" s="29"/>
      <c r="C1424" s="29"/>
      <c r="D1424" s="30"/>
      <c r="E1424" s="33"/>
      <c r="F1424" s="88"/>
    </row>
    <row r="1425" spans="2:6" s="6" customFormat="1" ht="13.5">
      <c r="B1425" s="29"/>
      <c r="C1425" s="29"/>
      <c r="D1425" s="30"/>
      <c r="E1425" s="33"/>
      <c r="F1425" s="88"/>
    </row>
    <row r="1426" spans="2:6" s="6" customFormat="1" ht="13.5">
      <c r="B1426" s="29"/>
      <c r="C1426" s="29"/>
      <c r="D1426" s="30"/>
      <c r="E1426" s="33"/>
      <c r="F1426" s="88"/>
    </row>
    <row r="1427" spans="2:6" s="6" customFormat="1" ht="13.5">
      <c r="B1427" s="29"/>
      <c r="C1427" s="29"/>
      <c r="D1427" s="30"/>
      <c r="E1427" s="33"/>
      <c r="F1427" s="88"/>
    </row>
    <row r="1428" spans="2:6" s="6" customFormat="1" ht="13.5">
      <c r="B1428" s="29"/>
      <c r="C1428" s="29"/>
      <c r="D1428" s="30"/>
      <c r="E1428" s="33"/>
      <c r="F1428" s="88"/>
    </row>
    <row r="1429" spans="2:6" s="6" customFormat="1" ht="13.5">
      <c r="B1429" s="29"/>
      <c r="C1429" s="29"/>
      <c r="D1429" s="30"/>
      <c r="E1429" s="33"/>
      <c r="F1429" s="88"/>
    </row>
    <row r="1430" spans="2:6" s="6" customFormat="1" ht="13.5">
      <c r="B1430" s="29"/>
      <c r="C1430" s="29"/>
      <c r="D1430" s="30"/>
      <c r="E1430" s="33"/>
      <c r="F1430" s="88"/>
    </row>
    <row r="1431" spans="2:6" s="6" customFormat="1" ht="13.5">
      <c r="B1431" s="29"/>
      <c r="C1431" s="29"/>
      <c r="D1431" s="30"/>
      <c r="E1431" s="33"/>
      <c r="F1431" s="88"/>
    </row>
    <row r="1432" spans="2:6" s="6" customFormat="1" ht="13.5">
      <c r="B1432" s="29"/>
      <c r="C1432" s="29"/>
      <c r="D1432" s="30"/>
      <c r="E1432" s="33"/>
      <c r="F1432" s="88"/>
    </row>
    <row r="1433" spans="2:6" s="6" customFormat="1" ht="13.5">
      <c r="B1433" s="29"/>
      <c r="C1433" s="29"/>
      <c r="D1433" s="30"/>
      <c r="E1433" s="33"/>
      <c r="F1433" s="88"/>
    </row>
    <row r="1434" spans="2:6" s="6" customFormat="1" ht="13.5">
      <c r="B1434" s="29"/>
      <c r="C1434" s="29"/>
      <c r="D1434" s="30"/>
      <c r="E1434" s="33"/>
      <c r="F1434" s="88"/>
    </row>
    <row r="1435" spans="2:6" s="6" customFormat="1" ht="13.5">
      <c r="B1435" s="29"/>
      <c r="C1435" s="29"/>
      <c r="D1435" s="30"/>
      <c r="E1435" s="33"/>
      <c r="F1435" s="88"/>
    </row>
    <row r="1436" spans="2:6" s="6" customFormat="1" ht="13.5">
      <c r="B1436" s="29"/>
      <c r="C1436" s="29"/>
      <c r="D1436" s="30"/>
      <c r="E1436" s="33"/>
      <c r="F1436" s="88"/>
    </row>
    <row r="1437" spans="2:6" s="6" customFormat="1" ht="13.5">
      <c r="B1437" s="29"/>
      <c r="C1437" s="29"/>
      <c r="D1437" s="30"/>
      <c r="E1437" s="33"/>
      <c r="F1437" s="88"/>
    </row>
    <row r="1438" spans="2:6" s="6" customFormat="1" ht="13.5">
      <c r="B1438" s="29"/>
      <c r="C1438" s="29"/>
      <c r="D1438" s="30"/>
      <c r="E1438" s="33"/>
      <c r="F1438" s="88"/>
    </row>
    <row r="1439" spans="2:6" s="6" customFormat="1" ht="13.5">
      <c r="B1439" s="29"/>
      <c r="C1439" s="29"/>
      <c r="D1439" s="30"/>
      <c r="E1439" s="33"/>
      <c r="F1439" s="88"/>
    </row>
    <row r="1440" spans="2:6" s="6" customFormat="1" ht="13.5">
      <c r="B1440" s="29"/>
      <c r="C1440" s="29"/>
      <c r="D1440" s="30"/>
      <c r="E1440" s="33"/>
      <c r="F1440" s="88"/>
    </row>
    <row r="1441" spans="2:6" s="6" customFormat="1" ht="13.5">
      <c r="B1441" s="29"/>
      <c r="C1441" s="29"/>
      <c r="D1441" s="30"/>
      <c r="E1441" s="33"/>
      <c r="F1441" s="88"/>
    </row>
    <row r="1442" spans="2:6" s="6" customFormat="1" ht="13.5">
      <c r="B1442" s="29"/>
      <c r="C1442" s="29"/>
      <c r="D1442" s="30"/>
      <c r="E1442" s="33"/>
      <c r="F1442" s="88"/>
    </row>
    <row r="1443" spans="2:6" s="6" customFormat="1" ht="13.5">
      <c r="B1443" s="29"/>
      <c r="C1443" s="29"/>
      <c r="D1443" s="30"/>
      <c r="E1443" s="33"/>
      <c r="F1443" s="88"/>
    </row>
    <row r="1444" spans="2:6" s="6" customFormat="1" ht="13.5">
      <c r="B1444" s="29"/>
      <c r="C1444" s="29"/>
      <c r="D1444" s="30"/>
      <c r="E1444" s="33"/>
      <c r="F1444" s="88"/>
    </row>
    <row r="1445" spans="2:6" s="6" customFormat="1" ht="13.5">
      <c r="B1445" s="29"/>
      <c r="C1445" s="29"/>
      <c r="D1445" s="30"/>
      <c r="E1445" s="33"/>
      <c r="F1445" s="88"/>
    </row>
    <row r="1446" spans="2:6" s="6" customFormat="1" ht="13.5">
      <c r="B1446" s="29"/>
      <c r="C1446" s="29"/>
      <c r="D1446" s="30"/>
      <c r="E1446" s="33"/>
      <c r="F1446" s="88"/>
    </row>
    <row r="1447" spans="2:6" s="6" customFormat="1" ht="13.5">
      <c r="B1447" s="29"/>
      <c r="C1447" s="29"/>
      <c r="D1447" s="30"/>
      <c r="E1447" s="33"/>
      <c r="F1447" s="88"/>
    </row>
    <row r="1448" spans="2:6" s="6" customFormat="1" ht="13.5">
      <c r="B1448" s="29"/>
      <c r="C1448" s="29"/>
      <c r="D1448" s="30"/>
      <c r="E1448" s="33"/>
      <c r="F1448" s="88"/>
    </row>
    <row r="1449" spans="2:6" s="6" customFormat="1" ht="13.5">
      <c r="B1449" s="29"/>
      <c r="C1449" s="29"/>
      <c r="D1449" s="30"/>
      <c r="E1449" s="33"/>
      <c r="F1449" s="88"/>
    </row>
    <row r="1450" spans="2:6" s="6" customFormat="1" ht="13.5">
      <c r="B1450" s="29"/>
      <c r="C1450" s="29"/>
      <c r="D1450" s="30"/>
      <c r="E1450" s="33"/>
      <c r="F1450" s="88"/>
    </row>
    <row r="1451" spans="2:6" s="6" customFormat="1" ht="13.5">
      <c r="B1451" s="29"/>
      <c r="C1451" s="29"/>
      <c r="D1451" s="30"/>
      <c r="E1451" s="33"/>
      <c r="F1451" s="88"/>
    </row>
    <row r="1452" spans="2:6" s="6" customFormat="1" ht="13.5">
      <c r="B1452" s="29"/>
      <c r="C1452" s="29"/>
      <c r="D1452" s="30"/>
      <c r="E1452" s="33"/>
      <c r="F1452" s="88"/>
    </row>
    <row r="1453" spans="2:6" s="6" customFormat="1" ht="13.5">
      <c r="B1453" s="29"/>
      <c r="C1453" s="29"/>
      <c r="D1453" s="30"/>
      <c r="E1453" s="33"/>
      <c r="F1453" s="88"/>
    </row>
    <row r="1454" spans="2:6" s="6" customFormat="1" ht="13.5">
      <c r="B1454" s="29"/>
      <c r="C1454" s="29"/>
      <c r="D1454" s="30"/>
      <c r="E1454" s="33"/>
      <c r="F1454" s="88"/>
    </row>
    <row r="1455" spans="2:6" s="6" customFormat="1" ht="13.5">
      <c r="B1455" s="29"/>
      <c r="C1455" s="29"/>
      <c r="D1455" s="30"/>
      <c r="E1455" s="33"/>
      <c r="F1455" s="88"/>
    </row>
    <row r="1456" spans="2:6" s="6" customFormat="1" ht="13.5">
      <c r="B1456" s="29"/>
      <c r="C1456" s="29"/>
      <c r="D1456" s="30"/>
      <c r="E1456" s="33"/>
      <c r="F1456" s="88"/>
    </row>
    <row r="1457" spans="2:6" s="6" customFormat="1" ht="13.5">
      <c r="B1457" s="29"/>
      <c r="C1457" s="29"/>
      <c r="D1457" s="30"/>
      <c r="E1457" s="33"/>
      <c r="F1457" s="88"/>
    </row>
    <row r="1458" spans="2:6" s="6" customFormat="1" ht="13.5">
      <c r="B1458" s="29"/>
      <c r="C1458" s="29"/>
      <c r="D1458" s="30"/>
      <c r="E1458" s="33"/>
      <c r="F1458" s="88"/>
    </row>
    <row r="1459" spans="2:6" s="6" customFormat="1" ht="13.5">
      <c r="B1459" s="29"/>
      <c r="C1459" s="29"/>
      <c r="D1459" s="30"/>
      <c r="E1459" s="33"/>
      <c r="F1459" s="88"/>
    </row>
    <row r="1460" spans="2:6" s="6" customFormat="1" ht="13.5">
      <c r="B1460" s="29"/>
      <c r="C1460" s="29"/>
      <c r="D1460" s="30"/>
      <c r="E1460" s="33"/>
      <c r="F1460" s="88"/>
    </row>
    <row r="1461" spans="2:6" s="6" customFormat="1" ht="13.5">
      <c r="B1461" s="29"/>
      <c r="C1461" s="29"/>
      <c r="D1461" s="30"/>
      <c r="E1461" s="33"/>
      <c r="F1461" s="88"/>
    </row>
    <row r="1462" spans="2:6" s="6" customFormat="1" ht="13.5">
      <c r="B1462" s="29"/>
      <c r="C1462" s="29"/>
      <c r="D1462" s="30"/>
      <c r="E1462" s="33"/>
      <c r="F1462" s="88"/>
    </row>
    <row r="1463" spans="2:6" s="6" customFormat="1" ht="13.5">
      <c r="B1463" s="29"/>
      <c r="C1463" s="29"/>
      <c r="D1463" s="30"/>
      <c r="E1463" s="33"/>
      <c r="F1463" s="88"/>
    </row>
    <row r="1464" spans="2:6" s="6" customFormat="1" ht="13.5">
      <c r="B1464" s="29"/>
      <c r="C1464" s="29"/>
      <c r="D1464" s="30"/>
      <c r="E1464" s="33"/>
      <c r="F1464" s="88"/>
    </row>
    <row r="1465" spans="2:6" s="6" customFormat="1" ht="13.5">
      <c r="B1465" s="29"/>
      <c r="C1465" s="29"/>
      <c r="D1465" s="30"/>
      <c r="E1465" s="33"/>
      <c r="F1465" s="88"/>
    </row>
    <row r="1466" spans="2:6" s="6" customFormat="1" ht="13.5">
      <c r="B1466" s="29"/>
      <c r="C1466" s="29"/>
      <c r="D1466" s="30"/>
      <c r="E1466" s="33"/>
      <c r="F1466" s="88"/>
    </row>
    <row r="1467" spans="2:6" s="6" customFormat="1" ht="13.5">
      <c r="B1467" s="29"/>
      <c r="C1467" s="29"/>
      <c r="D1467" s="30"/>
      <c r="E1467" s="33"/>
      <c r="F1467" s="88"/>
    </row>
    <row r="1468" spans="2:6" s="6" customFormat="1" ht="13.5">
      <c r="B1468" s="29"/>
      <c r="C1468" s="29"/>
      <c r="D1468" s="30"/>
      <c r="E1468" s="33"/>
      <c r="F1468" s="88"/>
    </row>
    <row r="1469" spans="2:6" s="6" customFormat="1" ht="13.5">
      <c r="B1469" s="29"/>
      <c r="C1469" s="29"/>
      <c r="D1469" s="30"/>
      <c r="E1469" s="33"/>
      <c r="F1469" s="88"/>
    </row>
    <row r="1470" spans="2:6" s="6" customFormat="1" ht="13.5">
      <c r="B1470" s="29"/>
      <c r="C1470" s="29"/>
      <c r="D1470" s="30"/>
      <c r="E1470" s="33"/>
      <c r="F1470" s="88"/>
    </row>
    <row r="1471" spans="2:6" s="6" customFormat="1" ht="13.5">
      <c r="B1471" s="29"/>
      <c r="C1471" s="29"/>
      <c r="D1471" s="30"/>
      <c r="E1471" s="33"/>
      <c r="F1471" s="88"/>
    </row>
    <row r="1472" spans="2:6" s="6" customFormat="1" ht="13.5">
      <c r="B1472" s="29"/>
      <c r="C1472" s="29"/>
      <c r="D1472" s="30"/>
      <c r="E1472" s="33"/>
      <c r="F1472" s="88"/>
    </row>
    <row r="1473" spans="2:6" s="6" customFormat="1" ht="13.5">
      <c r="B1473" s="29"/>
      <c r="C1473" s="29"/>
      <c r="D1473" s="30"/>
      <c r="E1473" s="33"/>
      <c r="F1473" s="88"/>
    </row>
    <row r="1474" spans="2:6" s="6" customFormat="1" ht="13.5">
      <c r="B1474" s="29"/>
      <c r="C1474" s="29"/>
      <c r="D1474" s="30"/>
      <c r="E1474" s="33"/>
      <c r="F1474" s="88"/>
    </row>
    <row r="1475" spans="2:6" s="6" customFormat="1" ht="13.5">
      <c r="B1475" s="29"/>
      <c r="C1475" s="29"/>
      <c r="D1475" s="30"/>
      <c r="E1475" s="33"/>
      <c r="F1475" s="88"/>
    </row>
    <row r="1476" spans="2:6" s="6" customFormat="1" ht="13.5">
      <c r="B1476" s="29"/>
      <c r="C1476" s="29"/>
      <c r="D1476" s="30"/>
      <c r="E1476" s="33"/>
      <c r="F1476" s="88"/>
    </row>
    <row r="1477" spans="2:6" s="6" customFormat="1" ht="13.5">
      <c r="B1477" s="29"/>
      <c r="C1477" s="29"/>
      <c r="D1477" s="30"/>
      <c r="E1477" s="33"/>
      <c r="F1477" s="88"/>
    </row>
    <row r="1478" spans="2:6" s="6" customFormat="1" ht="13.5">
      <c r="B1478" s="29"/>
      <c r="C1478" s="29"/>
      <c r="D1478" s="30"/>
      <c r="E1478" s="33"/>
      <c r="F1478" s="88"/>
    </row>
    <row r="1479" spans="2:6" s="6" customFormat="1" ht="13.5">
      <c r="B1479" s="29"/>
      <c r="C1479" s="29"/>
      <c r="D1479" s="30"/>
      <c r="E1479" s="33"/>
      <c r="F1479" s="88"/>
    </row>
    <row r="1480" spans="2:6" s="6" customFormat="1" ht="13.5">
      <c r="B1480" s="29"/>
      <c r="C1480" s="29"/>
      <c r="D1480" s="30"/>
      <c r="E1480" s="33"/>
      <c r="F1480" s="88"/>
    </row>
    <row r="1481" spans="2:6" s="6" customFormat="1" ht="13.5">
      <c r="B1481" s="29"/>
      <c r="C1481" s="29"/>
      <c r="D1481" s="30"/>
      <c r="E1481" s="33"/>
      <c r="F1481" s="88"/>
    </row>
    <row r="1482" spans="2:6" s="6" customFormat="1" ht="13.5">
      <c r="B1482" s="29"/>
      <c r="C1482" s="29"/>
      <c r="D1482" s="30"/>
      <c r="E1482" s="33"/>
      <c r="F1482" s="88"/>
    </row>
    <row r="1483" spans="2:6" s="6" customFormat="1" ht="13.5">
      <c r="B1483" s="29"/>
      <c r="C1483" s="29"/>
      <c r="D1483" s="30"/>
      <c r="E1483" s="33"/>
      <c r="F1483" s="88"/>
    </row>
    <row r="1484" spans="2:6" s="6" customFormat="1" ht="13.5">
      <c r="B1484" s="29"/>
      <c r="C1484" s="29"/>
      <c r="D1484" s="30"/>
      <c r="E1484" s="33"/>
      <c r="F1484" s="88"/>
    </row>
    <row r="1485" spans="2:6" s="6" customFormat="1" ht="13.5">
      <c r="B1485" s="29"/>
      <c r="C1485" s="29"/>
      <c r="D1485" s="30"/>
      <c r="E1485" s="33"/>
      <c r="F1485" s="88"/>
    </row>
    <row r="1486" spans="2:6" s="6" customFormat="1" ht="13.5">
      <c r="B1486" s="29"/>
      <c r="C1486" s="29"/>
      <c r="D1486" s="30"/>
      <c r="E1486" s="33"/>
      <c r="F1486" s="88"/>
    </row>
    <row r="1487" spans="2:6" s="6" customFormat="1" ht="13.5">
      <c r="B1487" s="29"/>
      <c r="C1487" s="29"/>
      <c r="D1487" s="30"/>
      <c r="E1487" s="33"/>
      <c r="F1487" s="88"/>
    </row>
    <row r="1488" spans="2:6" s="6" customFormat="1" ht="13.5">
      <c r="B1488" s="29"/>
      <c r="C1488" s="29"/>
      <c r="D1488" s="30"/>
      <c r="E1488" s="33"/>
      <c r="F1488" s="88"/>
    </row>
    <row r="1489" spans="2:6" s="6" customFormat="1" ht="13.5">
      <c r="B1489" s="29"/>
      <c r="C1489" s="29"/>
      <c r="D1489" s="30"/>
      <c r="E1489" s="33"/>
      <c r="F1489" s="88"/>
    </row>
    <row r="1490" spans="2:6" s="6" customFormat="1" ht="13.5">
      <c r="B1490" s="29"/>
      <c r="C1490" s="29"/>
      <c r="D1490" s="30"/>
      <c r="E1490" s="33"/>
      <c r="F1490" s="88"/>
    </row>
    <row r="1491" spans="2:6" s="6" customFormat="1" ht="13.5">
      <c r="B1491" s="29"/>
      <c r="C1491" s="29"/>
      <c r="D1491" s="30"/>
      <c r="E1491" s="33"/>
      <c r="F1491" s="88"/>
    </row>
    <row r="1492" spans="2:6" s="6" customFormat="1" ht="13.5">
      <c r="B1492" s="29"/>
      <c r="C1492" s="29"/>
      <c r="D1492" s="30"/>
      <c r="E1492" s="33"/>
      <c r="F1492" s="88"/>
    </row>
    <row r="1493" spans="2:6" s="6" customFormat="1" ht="13.5">
      <c r="B1493" s="29"/>
      <c r="C1493" s="29"/>
      <c r="D1493" s="30"/>
      <c r="E1493" s="33"/>
      <c r="F1493" s="88"/>
    </row>
    <row r="1494" spans="2:6" s="6" customFormat="1" ht="13.5">
      <c r="B1494" s="29"/>
      <c r="C1494" s="29"/>
      <c r="D1494" s="30"/>
      <c r="E1494" s="33"/>
      <c r="F1494" s="88"/>
    </row>
    <row r="1495" spans="2:6" s="6" customFormat="1" ht="13.5">
      <c r="B1495" s="29"/>
      <c r="C1495" s="29"/>
      <c r="D1495" s="30"/>
      <c r="E1495" s="33"/>
      <c r="F1495" s="88"/>
    </row>
    <row r="1496" spans="2:6" s="6" customFormat="1" ht="13.5">
      <c r="B1496" s="29"/>
      <c r="C1496" s="29"/>
      <c r="D1496" s="30"/>
      <c r="E1496" s="33"/>
      <c r="F1496" s="88"/>
    </row>
    <row r="1497" spans="2:6" s="6" customFormat="1" ht="13.5">
      <c r="B1497" s="29"/>
      <c r="C1497" s="29"/>
      <c r="D1497" s="30"/>
      <c r="E1497" s="33"/>
      <c r="F1497" s="88"/>
    </row>
    <row r="1498" spans="2:6" s="6" customFormat="1" ht="13.5">
      <c r="B1498" s="29"/>
      <c r="C1498" s="29"/>
      <c r="D1498" s="30"/>
      <c r="E1498" s="33"/>
      <c r="F1498" s="88"/>
    </row>
    <row r="1499" spans="2:6" s="6" customFormat="1" ht="13.5">
      <c r="B1499" s="29"/>
      <c r="C1499" s="29"/>
      <c r="D1499" s="30"/>
      <c r="E1499" s="33"/>
      <c r="F1499" s="88"/>
    </row>
    <row r="1500" spans="2:6" s="6" customFormat="1" ht="13.5">
      <c r="B1500" s="29"/>
      <c r="C1500" s="29"/>
      <c r="D1500" s="30"/>
      <c r="E1500" s="33"/>
      <c r="F1500" s="88"/>
    </row>
    <row r="1501" spans="2:6" s="6" customFormat="1" ht="13.5">
      <c r="B1501" s="29"/>
      <c r="C1501" s="29"/>
      <c r="D1501" s="30"/>
      <c r="E1501" s="33"/>
      <c r="F1501" s="88"/>
    </row>
    <row r="1502" spans="2:6" s="6" customFormat="1" ht="13.5">
      <c r="B1502" s="29"/>
      <c r="C1502" s="29"/>
      <c r="D1502" s="30"/>
      <c r="E1502" s="33"/>
      <c r="F1502" s="88"/>
    </row>
    <row r="1503" spans="2:6" s="6" customFormat="1" ht="13.5">
      <c r="B1503" s="29"/>
      <c r="C1503" s="29"/>
      <c r="D1503" s="30"/>
      <c r="E1503" s="33"/>
      <c r="F1503" s="88"/>
    </row>
    <row r="1504" spans="2:6" s="6" customFormat="1" ht="13.5">
      <c r="B1504" s="29"/>
      <c r="C1504" s="29"/>
      <c r="D1504" s="30"/>
      <c r="E1504" s="33"/>
      <c r="F1504" s="88"/>
    </row>
    <row r="1505" spans="2:6" s="6" customFormat="1" ht="13.5">
      <c r="B1505" s="29"/>
      <c r="C1505" s="29"/>
      <c r="D1505" s="30"/>
      <c r="E1505" s="33"/>
      <c r="F1505" s="88"/>
    </row>
    <row r="1506" spans="2:6" s="6" customFormat="1" ht="13.5">
      <c r="B1506" s="29"/>
      <c r="C1506" s="29"/>
      <c r="D1506" s="30"/>
      <c r="E1506" s="33"/>
      <c r="F1506" s="88"/>
    </row>
    <row r="1507" spans="2:6" s="6" customFormat="1" ht="13.5">
      <c r="B1507" s="29"/>
      <c r="C1507" s="29"/>
      <c r="D1507" s="30"/>
      <c r="E1507" s="33"/>
      <c r="F1507" s="88"/>
    </row>
    <row r="1508" spans="2:6" s="6" customFormat="1" ht="13.5">
      <c r="B1508" s="29"/>
      <c r="C1508" s="29"/>
      <c r="D1508" s="30"/>
      <c r="E1508" s="33"/>
      <c r="F1508" s="88"/>
    </row>
    <row r="1509" spans="2:6" s="6" customFormat="1" ht="13.5">
      <c r="B1509" s="29"/>
      <c r="C1509" s="29"/>
      <c r="D1509" s="30"/>
      <c r="E1509" s="33"/>
      <c r="F1509" s="88"/>
    </row>
    <row r="1510" spans="2:6" s="6" customFormat="1" ht="13.5">
      <c r="B1510" s="29"/>
      <c r="C1510" s="29"/>
      <c r="D1510" s="30"/>
      <c r="E1510" s="33"/>
      <c r="F1510" s="88"/>
    </row>
    <row r="1511" spans="2:6" s="6" customFormat="1" ht="13.5">
      <c r="B1511" s="29"/>
      <c r="C1511" s="29"/>
      <c r="D1511" s="30"/>
      <c r="E1511" s="33"/>
      <c r="F1511" s="88"/>
    </row>
    <row r="1512" spans="2:6" s="6" customFormat="1" ht="13.5">
      <c r="B1512" s="29"/>
      <c r="C1512" s="29"/>
      <c r="D1512" s="30"/>
      <c r="E1512" s="33"/>
      <c r="F1512" s="88"/>
    </row>
    <row r="1513" spans="2:6" s="6" customFormat="1" ht="13.5">
      <c r="B1513" s="29"/>
      <c r="C1513" s="29"/>
      <c r="D1513" s="30"/>
      <c r="E1513" s="33"/>
      <c r="F1513" s="88"/>
    </row>
    <row r="1514" spans="2:6" s="6" customFormat="1" ht="13.5">
      <c r="B1514" s="29"/>
      <c r="C1514" s="29"/>
      <c r="D1514" s="30"/>
      <c r="E1514" s="33"/>
      <c r="F1514" s="88"/>
    </row>
    <row r="1515" spans="2:6" s="6" customFormat="1" ht="13.5">
      <c r="B1515" s="29"/>
      <c r="C1515" s="29"/>
      <c r="D1515" s="30"/>
      <c r="E1515" s="33"/>
      <c r="F1515" s="88"/>
    </row>
    <row r="1516" spans="2:6" s="6" customFormat="1" ht="13.5">
      <c r="B1516" s="29"/>
      <c r="C1516" s="29"/>
      <c r="D1516" s="30"/>
      <c r="E1516" s="33"/>
      <c r="F1516" s="88"/>
    </row>
    <row r="1517" spans="2:6" s="6" customFormat="1" ht="13.5">
      <c r="B1517" s="29"/>
      <c r="C1517" s="29"/>
      <c r="D1517" s="30"/>
      <c r="E1517" s="33"/>
      <c r="F1517" s="88"/>
    </row>
    <row r="1518" spans="2:6" s="6" customFormat="1" ht="13.5">
      <c r="B1518" s="29"/>
      <c r="C1518" s="29"/>
      <c r="D1518" s="30"/>
      <c r="E1518" s="33"/>
      <c r="F1518" s="88"/>
    </row>
    <row r="1519" spans="2:6" s="6" customFormat="1" ht="13.5">
      <c r="B1519" s="29"/>
      <c r="C1519" s="29"/>
      <c r="D1519" s="30"/>
      <c r="E1519" s="33"/>
      <c r="F1519" s="88"/>
    </row>
    <row r="1520" spans="2:6" s="6" customFormat="1" ht="13.5">
      <c r="B1520" s="29"/>
      <c r="C1520" s="29"/>
      <c r="D1520" s="30"/>
      <c r="E1520" s="33"/>
      <c r="F1520" s="88"/>
    </row>
    <row r="1521" spans="2:6" s="6" customFormat="1" ht="13.5">
      <c r="B1521" s="29"/>
      <c r="C1521" s="29"/>
      <c r="D1521" s="30"/>
      <c r="E1521" s="33"/>
      <c r="F1521" s="88"/>
    </row>
    <row r="1522" spans="2:6" s="6" customFormat="1" ht="13.5">
      <c r="B1522" s="29"/>
      <c r="C1522" s="29"/>
      <c r="D1522" s="30"/>
      <c r="E1522" s="33"/>
      <c r="F1522" s="88"/>
    </row>
    <row r="1523" spans="2:6" s="6" customFormat="1" ht="13.5">
      <c r="B1523" s="29"/>
      <c r="C1523" s="29"/>
      <c r="D1523" s="30"/>
      <c r="E1523" s="33"/>
      <c r="F1523" s="88"/>
    </row>
    <row r="1524" spans="2:6" s="6" customFormat="1" ht="13.5">
      <c r="B1524" s="29"/>
      <c r="C1524" s="29"/>
      <c r="D1524" s="30"/>
      <c r="E1524" s="33"/>
      <c r="F1524" s="88"/>
    </row>
    <row r="1525" spans="2:6" s="6" customFormat="1" ht="13.5">
      <c r="B1525" s="29"/>
      <c r="C1525" s="29"/>
      <c r="D1525" s="30"/>
      <c r="E1525" s="33"/>
      <c r="F1525" s="88"/>
    </row>
    <row r="1526" spans="2:6" s="6" customFormat="1" ht="13.5">
      <c r="B1526" s="29"/>
      <c r="C1526" s="29"/>
      <c r="D1526" s="30"/>
      <c r="E1526" s="33"/>
      <c r="F1526" s="88"/>
    </row>
    <row r="1527" spans="2:6" s="6" customFormat="1" ht="13.5">
      <c r="B1527" s="29"/>
      <c r="C1527" s="29"/>
      <c r="D1527" s="30"/>
      <c r="E1527" s="33"/>
      <c r="F1527" s="88"/>
    </row>
    <row r="1528" spans="2:6" s="6" customFormat="1" ht="13.5">
      <c r="B1528" s="29"/>
      <c r="C1528" s="29"/>
      <c r="D1528" s="30"/>
      <c r="E1528" s="33"/>
      <c r="F1528" s="88"/>
    </row>
    <row r="1529" spans="2:6" s="6" customFormat="1" ht="13.5">
      <c r="B1529" s="29"/>
      <c r="C1529" s="29"/>
      <c r="D1529" s="30"/>
      <c r="E1529" s="33"/>
      <c r="F1529" s="88"/>
    </row>
    <row r="1530" spans="2:6" s="6" customFormat="1" ht="13.5">
      <c r="B1530" s="29"/>
      <c r="C1530" s="29"/>
      <c r="D1530" s="30"/>
      <c r="E1530" s="33"/>
      <c r="F1530" s="88"/>
    </row>
    <row r="1531" spans="2:6" s="6" customFormat="1" ht="13.5">
      <c r="B1531" s="29"/>
      <c r="C1531" s="29"/>
      <c r="D1531" s="30"/>
      <c r="E1531" s="33"/>
      <c r="F1531" s="88"/>
    </row>
    <row r="1532" spans="2:6" s="6" customFormat="1" ht="13.5">
      <c r="B1532" s="29"/>
      <c r="C1532" s="29"/>
      <c r="D1532" s="30"/>
      <c r="E1532" s="33"/>
      <c r="F1532" s="88"/>
    </row>
    <row r="1533" spans="2:6" s="6" customFormat="1" ht="13.5">
      <c r="B1533" s="29"/>
      <c r="C1533" s="29"/>
      <c r="D1533" s="30"/>
      <c r="E1533" s="33"/>
      <c r="F1533" s="88"/>
    </row>
    <row r="1534" spans="2:6" s="6" customFormat="1" ht="13.5">
      <c r="B1534" s="29"/>
      <c r="C1534" s="29"/>
      <c r="D1534" s="30"/>
      <c r="E1534" s="33"/>
      <c r="F1534" s="88"/>
    </row>
    <row r="1535" spans="2:6" s="6" customFormat="1" ht="13.5">
      <c r="B1535" s="29"/>
      <c r="C1535" s="29"/>
      <c r="D1535" s="30"/>
      <c r="E1535" s="33"/>
      <c r="F1535" s="88"/>
    </row>
    <row r="1536" spans="2:6" s="6" customFormat="1" ht="13.5">
      <c r="B1536" s="29"/>
      <c r="C1536" s="29"/>
      <c r="D1536" s="30"/>
      <c r="E1536" s="33"/>
      <c r="F1536" s="88"/>
    </row>
    <row r="1537" spans="2:6" s="6" customFormat="1" ht="13.5">
      <c r="B1537" s="29"/>
      <c r="C1537" s="29"/>
      <c r="D1537" s="30"/>
      <c r="E1537" s="33"/>
      <c r="F1537" s="88"/>
    </row>
    <row r="1538" spans="2:6" s="6" customFormat="1" ht="13.5">
      <c r="B1538" s="29"/>
      <c r="C1538" s="29"/>
      <c r="D1538" s="30"/>
      <c r="E1538" s="33"/>
      <c r="F1538" s="88"/>
    </row>
    <row r="1539" spans="2:6" s="6" customFormat="1" ht="13.5">
      <c r="B1539" s="29"/>
      <c r="C1539" s="29"/>
      <c r="D1539" s="30"/>
      <c r="E1539" s="33"/>
      <c r="F1539" s="88"/>
    </row>
    <row r="1540" spans="2:6" s="6" customFormat="1" ht="13.5">
      <c r="B1540" s="29"/>
      <c r="C1540" s="29"/>
      <c r="D1540" s="30"/>
      <c r="E1540" s="33"/>
      <c r="F1540" s="88"/>
    </row>
    <row r="1541" spans="2:6" s="6" customFormat="1" ht="13.5">
      <c r="B1541" s="29"/>
      <c r="C1541" s="29"/>
      <c r="D1541" s="30"/>
      <c r="E1541" s="33"/>
      <c r="F1541" s="88"/>
    </row>
    <row r="1542" spans="2:6" s="6" customFormat="1" ht="13.5">
      <c r="B1542" s="29"/>
      <c r="C1542" s="29"/>
      <c r="D1542" s="30"/>
      <c r="E1542" s="33"/>
      <c r="F1542" s="88"/>
    </row>
    <row r="1543" spans="2:6" s="6" customFormat="1" ht="13.5">
      <c r="B1543" s="29"/>
      <c r="C1543" s="29"/>
      <c r="D1543" s="30"/>
      <c r="E1543" s="33"/>
      <c r="F1543" s="88"/>
    </row>
    <row r="1544" spans="2:6" s="6" customFormat="1" ht="13.5">
      <c r="B1544" s="29"/>
      <c r="C1544" s="29"/>
      <c r="D1544" s="30"/>
      <c r="E1544" s="33"/>
      <c r="F1544" s="88"/>
    </row>
    <row r="1545" spans="2:6" s="6" customFormat="1" ht="13.5">
      <c r="B1545" s="29"/>
      <c r="C1545" s="29"/>
      <c r="D1545" s="30"/>
      <c r="E1545" s="33"/>
      <c r="F1545" s="88"/>
    </row>
    <row r="1546" spans="2:6" s="6" customFormat="1" ht="13.5">
      <c r="B1546" s="29"/>
      <c r="C1546" s="29"/>
      <c r="D1546" s="30"/>
      <c r="E1546" s="33"/>
      <c r="F1546" s="88"/>
    </row>
    <row r="1547" spans="2:6" s="6" customFormat="1" ht="13.5">
      <c r="B1547" s="29"/>
      <c r="C1547" s="29"/>
      <c r="D1547" s="30"/>
      <c r="E1547" s="33"/>
      <c r="F1547" s="88"/>
    </row>
    <row r="1548" spans="2:6" s="6" customFormat="1" ht="13.5">
      <c r="B1548" s="29"/>
      <c r="C1548" s="29"/>
      <c r="D1548" s="30"/>
      <c r="E1548" s="33"/>
      <c r="F1548" s="88"/>
    </row>
    <row r="1549" spans="2:6" s="6" customFormat="1" ht="13.5">
      <c r="B1549" s="29"/>
      <c r="C1549" s="29"/>
      <c r="D1549" s="30"/>
      <c r="E1549" s="33"/>
      <c r="F1549" s="88"/>
    </row>
    <row r="1550" spans="2:6" s="6" customFormat="1" ht="13.5">
      <c r="B1550" s="29"/>
      <c r="C1550" s="29"/>
      <c r="D1550" s="30"/>
      <c r="E1550" s="33"/>
      <c r="F1550" s="88"/>
    </row>
    <row r="1551" spans="2:6" s="6" customFormat="1" ht="13.5">
      <c r="B1551" s="29"/>
      <c r="C1551" s="29"/>
      <c r="D1551" s="30"/>
      <c r="E1551" s="33"/>
      <c r="F1551" s="88"/>
    </row>
    <row r="1552" spans="2:6" s="6" customFormat="1" ht="13.5">
      <c r="B1552" s="29"/>
      <c r="C1552" s="29"/>
      <c r="D1552" s="30"/>
      <c r="E1552" s="33"/>
      <c r="F1552" s="88"/>
    </row>
    <row r="1553" spans="2:6" s="6" customFormat="1" ht="13.5">
      <c r="B1553" s="29"/>
      <c r="C1553" s="29"/>
      <c r="D1553" s="30"/>
      <c r="E1553" s="33"/>
      <c r="F1553" s="88"/>
    </row>
    <row r="1554" spans="2:6" s="6" customFormat="1" ht="13.5">
      <c r="B1554" s="29"/>
      <c r="C1554" s="29"/>
      <c r="D1554" s="30"/>
      <c r="E1554" s="33"/>
      <c r="F1554" s="88"/>
    </row>
    <row r="1555" spans="2:6" s="6" customFormat="1" ht="13.5">
      <c r="B1555" s="29"/>
      <c r="C1555" s="29"/>
      <c r="D1555" s="30"/>
      <c r="E1555" s="33"/>
      <c r="F1555" s="88"/>
    </row>
    <row r="1556" spans="2:6" s="6" customFormat="1" ht="13.5">
      <c r="B1556" s="29"/>
      <c r="C1556" s="29"/>
      <c r="D1556" s="30"/>
      <c r="E1556" s="33"/>
      <c r="F1556" s="88"/>
    </row>
    <row r="1557" spans="2:6" s="6" customFormat="1" ht="13.5">
      <c r="B1557" s="29"/>
      <c r="C1557" s="29"/>
      <c r="D1557" s="30"/>
      <c r="E1557" s="33"/>
      <c r="F1557" s="88"/>
    </row>
    <row r="1558" spans="2:6" s="6" customFormat="1" ht="13.5">
      <c r="B1558" s="29"/>
      <c r="C1558" s="29"/>
      <c r="D1558" s="30"/>
      <c r="E1558" s="33"/>
      <c r="F1558" s="88"/>
    </row>
    <row r="1559" spans="2:6" s="6" customFormat="1" ht="13.5">
      <c r="B1559" s="29"/>
      <c r="C1559" s="29"/>
      <c r="D1559" s="30"/>
      <c r="E1559" s="33"/>
      <c r="F1559" s="88"/>
    </row>
    <row r="1560" spans="2:6" s="6" customFormat="1" ht="13.5">
      <c r="B1560" s="29"/>
      <c r="C1560" s="29"/>
      <c r="D1560" s="30"/>
      <c r="E1560" s="33"/>
      <c r="F1560" s="88"/>
    </row>
    <row r="1561" spans="2:6" s="6" customFormat="1" ht="13.5">
      <c r="B1561" s="29"/>
      <c r="C1561" s="29"/>
      <c r="D1561" s="30"/>
      <c r="E1561" s="33"/>
      <c r="F1561" s="88"/>
    </row>
    <row r="1562" spans="2:6" s="6" customFormat="1" ht="13.5">
      <c r="B1562" s="29"/>
      <c r="C1562" s="29"/>
      <c r="D1562" s="30"/>
      <c r="E1562" s="33"/>
      <c r="F1562" s="88"/>
    </row>
    <row r="1563" spans="2:6" s="6" customFormat="1" ht="13.5">
      <c r="B1563" s="29"/>
      <c r="C1563" s="29"/>
      <c r="D1563" s="30"/>
      <c r="E1563" s="33"/>
      <c r="F1563" s="88"/>
    </row>
    <row r="1564" spans="2:6" s="6" customFormat="1" ht="13.5">
      <c r="B1564" s="29"/>
      <c r="C1564" s="29"/>
      <c r="D1564" s="30"/>
      <c r="E1564" s="33"/>
      <c r="F1564" s="88"/>
    </row>
    <row r="1565" spans="2:6" s="6" customFormat="1" ht="13.5">
      <c r="B1565" s="29"/>
      <c r="C1565" s="29"/>
      <c r="D1565" s="30"/>
      <c r="E1565" s="33"/>
      <c r="F1565" s="88"/>
    </row>
    <row r="1566" spans="2:6" s="6" customFormat="1" ht="13.5">
      <c r="B1566" s="29"/>
      <c r="C1566" s="29"/>
      <c r="D1566" s="30"/>
      <c r="E1566" s="33"/>
      <c r="F1566" s="88"/>
    </row>
    <row r="1567" spans="2:6" s="6" customFormat="1" ht="13.5">
      <c r="B1567" s="29"/>
      <c r="C1567" s="29"/>
      <c r="D1567" s="30"/>
      <c r="E1567" s="33"/>
      <c r="F1567" s="88"/>
    </row>
    <row r="1568" spans="2:6" s="6" customFormat="1" ht="13.5">
      <c r="B1568" s="29"/>
      <c r="C1568" s="29"/>
      <c r="D1568" s="30"/>
      <c r="E1568" s="33"/>
      <c r="F1568" s="88"/>
    </row>
    <row r="1569" spans="2:6" s="6" customFormat="1" ht="13.5">
      <c r="B1569" s="29"/>
      <c r="C1569" s="29"/>
      <c r="D1569" s="30"/>
      <c r="E1569" s="33"/>
      <c r="F1569" s="88"/>
    </row>
    <row r="1570" spans="2:6" s="6" customFormat="1" ht="13.5">
      <c r="B1570" s="29"/>
      <c r="C1570" s="29"/>
      <c r="D1570" s="30"/>
      <c r="E1570" s="33"/>
      <c r="F1570" s="88"/>
    </row>
    <row r="1571" spans="2:6" s="6" customFormat="1" ht="13.5">
      <c r="B1571" s="29"/>
      <c r="C1571" s="29"/>
      <c r="D1571" s="30"/>
      <c r="E1571" s="33"/>
      <c r="F1571" s="88"/>
    </row>
    <row r="1572" spans="2:6" s="6" customFormat="1" ht="13.5">
      <c r="B1572" s="29"/>
      <c r="C1572" s="29"/>
      <c r="D1572" s="30"/>
      <c r="E1572" s="33"/>
      <c r="F1572" s="88"/>
    </row>
    <row r="1573" spans="2:6" s="6" customFormat="1" ht="13.5">
      <c r="B1573" s="29"/>
      <c r="C1573" s="29"/>
      <c r="D1573" s="30"/>
      <c r="E1573" s="33"/>
      <c r="F1573" s="88"/>
    </row>
    <row r="1574" spans="2:6" s="6" customFormat="1" ht="13.5">
      <c r="B1574" s="29"/>
      <c r="C1574" s="29"/>
      <c r="D1574" s="30"/>
      <c r="E1574" s="33"/>
      <c r="F1574" s="88"/>
    </row>
    <row r="1575" spans="2:6" s="6" customFormat="1" ht="13.5">
      <c r="B1575" s="29"/>
      <c r="C1575" s="29"/>
      <c r="D1575" s="30"/>
      <c r="E1575" s="33"/>
      <c r="F1575" s="88"/>
    </row>
    <row r="1576" spans="2:6" s="6" customFormat="1" ht="13.5">
      <c r="B1576" s="29"/>
      <c r="C1576" s="29"/>
      <c r="D1576" s="30"/>
      <c r="E1576" s="33"/>
      <c r="F1576" s="88"/>
    </row>
    <row r="1577" spans="2:6" s="6" customFormat="1" ht="13.5">
      <c r="B1577" s="29"/>
      <c r="C1577" s="29"/>
      <c r="D1577" s="30"/>
      <c r="E1577" s="33"/>
      <c r="F1577" s="88"/>
    </row>
    <row r="1578" spans="2:6" s="6" customFormat="1" ht="13.5">
      <c r="B1578" s="29"/>
      <c r="C1578" s="29"/>
      <c r="D1578" s="30"/>
      <c r="E1578" s="33"/>
      <c r="F1578" s="88"/>
    </row>
    <row r="1579" spans="2:6" s="6" customFormat="1" ht="13.5">
      <c r="B1579" s="29"/>
      <c r="C1579" s="29"/>
      <c r="D1579" s="30"/>
      <c r="E1579" s="33"/>
      <c r="F1579" s="88"/>
    </row>
    <row r="1580" spans="2:6" s="6" customFormat="1" ht="13.5">
      <c r="B1580" s="29"/>
      <c r="C1580" s="29"/>
      <c r="D1580" s="30"/>
      <c r="E1580" s="33"/>
      <c r="F1580" s="88"/>
    </row>
    <row r="1581" spans="2:6" s="6" customFormat="1" ht="13.5">
      <c r="B1581" s="29"/>
      <c r="C1581" s="29"/>
      <c r="D1581" s="30"/>
      <c r="E1581" s="33"/>
      <c r="F1581" s="88"/>
    </row>
    <row r="1582" spans="2:6" s="6" customFormat="1" ht="13.5">
      <c r="B1582" s="29"/>
      <c r="C1582" s="29"/>
      <c r="D1582" s="30"/>
      <c r="E1582" s="33"/>
      <c r="F1582" s="88"/>
    </row>
    <row r="1583" spans="2:6" s="6" customFormat="1" ht="13.5">
      <c r="B1583" s="29"/>
      <c r="C1583" s="29"/>
      <c r="D1583" s="30"/>
      <c r="E1583" s="33"/>
      <c r="F1583" s="88"/>
    </row>
    <row r="1584" spans="2:6" s="6" customFormat="1" ht="13.5">
      <c r="B1584" s="29"/>
      <c r="C1584" s="29"/>
      <c r="D1584" s="30"/>
      <c r="E1584" s="33"/>
      <c r="F1584" s="88"/>
    </row>
    <row r="1585" spans="2:6" s="6" customFormat="1" ht="13.5">
      <c r="B1585" s="29"/>
      <c r="C1585" s="29"/>
      <c r="D1585" s="30"/>
      <c r="E1585" s="33"/>
      <c r="F1585" s="88"/>
    </row>
    <row r="1586" spans="2:6" s="6" customFormat="1" ht="13.5">
      <c r="B1586" s="29"/>
      <c r="C1586" s="29"/>
      <c r="D1586" s="30"/>
      <c r="E1586" s="33"/>
      <c r="F1586" s="88"/>
    </row>
    <row r="1587" spans="2:6" s="6" customFormat="1" ht="13.5">
      <c r="B1587" s="29"/>
      <c r="C1587" s="29"/>
      <c r="D1587" s="30"/>
      <c r="E1587" s="33"/>
      <c r="F1587" s="88"/>
    </row>
    <row r="1588" spans="2:6" s="6" customFormat="1" ht="13.5">
      <c r="B1588" s="29"/>
      <c r="C1588" s="29"/>
      <c r="D1588" s="30"/>
      <c r="E1588" s="33"/>
      <c r="F1588" s="88"/>
    </row>
    <row r="1589" spans="2:6" s="6" customFormat="1" ht="13.5">
      <c r="B1589" s="29"/>
      <c r="C1589" s="29"/>
      <c r="D1589" s="30"/>
      <c r="E1589" s="33"/>
      <c r="F1589" s="88"/>
    </row>
    <row r="1590" spans="2:6" s="6" customFormat="1" ht="13.5">
      <c r="B1590" s="29"/>
      <c r="C1590" s="29"/>
      <c r="D1590" s="30"/>
      <c r="E1590" s="33"/>
      <c r="F1590" s="88"/>
    </row>
    <row r="1591" spans="2:6" s="6" customFormat="1" ht="13.5">
      <c r="B1591" s="29"/>
      <c r="C1591" s="29"/>
      <c r="D1591" s="30"/>
      <c r="E1591" s="33"/>
      <c r="F1591" s="88"/>
    </row>
    <row r="1592" spans="2:6" s="6" customFormat="1" ht="13.5">
      <c r="B1592" s="29"/>
      <c r="C1592" s="29"/>
      <c r="D1592" s="30"/>
      <c r="E1592" s="33"/>
      <c r="F1592" s="88"/>
    </row>
    <row r="1593" spans="2:6" s="6" customFormat="1" ht="13.5">
      <c r="B1593" s="29"/>
      <c r="C1593" s="29"/>
      <c r="D1593" s="30"/>
      <c r="E1593" s="33"/>
      <c r="F1593" s="88"/>
    </row>
    <row r="1594" spans="2:6" s="6" customFormat="1" ht="13.5">
      <c r="B1594" s="29"/>
      <c r="C1594" s="29"/>
      <c r="D1594" s="30"/>
      <c r="E1594" s="33"/>
      <c r="F1594" s="88"/>
    </row>
    <row r="1595" spans="2:6" s="6" customFormat="1" ht="13.5">
      <c r="B1595" s="29"/>
      <c r="C1595" s="29"/>
      <c r="D1595" s="30"/>
      <c r="E1595" s="33"/>
      <c r="F1595" s="88"/>
    </row>
    <row r="1596" spans="2:6" s="6" customFormat="1" ht="13.5">
      <c r="B1596" s="29"/>
      <c r="C1596" s="29"/>
      <c r="D1596" s="30"/>
      <c r="E1596" s="33"/>
      <c r="F1596" s="88"/>
    </row>
    <row r="1597" spans="2:6" s="6" customFormat="1" ht="13.5">
      <c r="B1597" s="29"/>
      <c r="C1597" s="29"/>
      <c r="D1597" s="30"/>
      <c r="E1597" s="33"/>
      <c r="F1597" s="88"/>
    </row>
    <row r="1598" spans="2:6" s="6" customFormat="1" ht="13.5">
      <c r="B1598" s="29"/>
      <c r="C1598" s="29"/>
      <c r="D1598" s="30"/>
      <c r="E1598" s="33"/>
      <c r="F1598" s="88"/>
    </row>
    <row r="1599" spans="2:6" s="6" customFormat="1" ht="13.5">
      <c r="B1599" s="29"/>
      <c r="C1599" s="29"/>
      <c r="D1599" s="30"/>
      <c r="E1599" s="33"/>
      <c r="F1599" s="88"/>
    </row>
    <row r="1600" spans="2:6" s="6" customFormat="1" ht="13.5">
      <c r="B1600" s="29"/>
      <c r="C1600" s="29"/>
      <c r="D1600" s="30"/>
      <c r="E1600" s="33"/>
      <c r="F1600" s="88"/>
    </row>
    <row r="1601" spans="2:6" s="6" customFormat="1" ht="13.5">
      <c r="B1601" s="29"/>
      <c r="C1601" s="29"/>
      <c r="D1601" s="30"/>
      <c r="E1601" s="33"/>
      <c r="F1601" s="88"/>
    </row>
    <row r="1602" spans="2:6" s="6" customFormat="1" ht="13.5">
      <c r="B1602" s="29"/>
      <c r="C1602" s="29"/>
      <c r="D1602" s="30"/>
      <c r="E1602" s="33"/>
      <c r="F1602" s="88"/>
    </row>
    <row r="1603" spans="2:6" s="6" customFormat="1" ht="13.5">
      <c r="B1603" s="29"/>
      <c r="C1603" s="29"/>
      <c r="D1603" s="30"/>
      <c r="E1603" s="33"/>
      <c r="F1603" s="88"/>
    </row>
    <row r="1604" spans="2:6" s="6" customFormat="1" ht="13.5">
      <c r="B1604" s="29"/>
      <c r="C1604" s="29"/>
      <c r="D1604" s="30"/>
      <c r="E1604" s="33"/>
      <c r="F1604" s="88"/>
    </row>
    <row r="1605" spans="2:6" s="6" customFormat="1" ht="13.5">
      <c r="B1605" s="29"/>
      <c r="C1605" s="29"/>
      <c r="D1605" s="30"/>
      <c r="E1605" s="33"/>
      <c r="F1605" s="88"/>
    </row>
    <row r="1606" spans="2:6" s="6" customFormat="1" ht="13.5">
      <c r="B1606" s="29"/>
      <c r="C1606" s="29"/>
      <c r="D1606" s="30"/>
      <c r="E1606" s="33"/>
      <c r="F1606" s="88"/>
    </row>
    <row r="1607" spans="2:6" s="6" customFormat="1" ht="13.5">
      <c r="B1607" s="29"/>
      <c r="C1607" s="29"/>
      <c r="D1607" s="30"/>
      <c r="E1607" s="33"/>
      <c r="F1607" s="88"/>
    </row>
    <row r="1608" spans="2:6" s="6" customFormat="1" ht="13.5">
      <c r="B1608" s="29"/>
      <c r="C1608" s="29"/>
      <c r="D1608" s="30"/>
      <c r="E1608" s="33"/>
      <c r="F1608" s="88"/>
    </row>
    <row r="1609" spans="2:6" s="6" customFormat="1" ht="13.5">
      <c r="B1609" s="29"/>
      <c r="C1609" s="29"/>
      <c r="D1609" s="30"/>
      <c r="E1609" s="33"/>
      <c r="F1609" s="88"/>
    </row>
    <row r="1610" spans="2:6" s="6" customFormat="1" ht="13.5">
      <c r="B1610" s="29"/>
      <c r="C1610" s="29"/>
      <c r="D1610" s="30"/>
      <c r="E1610" s="33"/>
      <c r="F1610" s="88"/>
    </row>
    <row r="1611" spans="2:6" s="6" customFormat="1" ht="13.5">
      <c r="B1611" s="29"/>
      <c r="C1611" s="29"/>
      <c r="D1611" s="30"/>
      <c r="E1611" s="33"/>
      <c r="F1611" s="88"/>
    </row>
    <row r="1612" spans="2:6" s="6" customFormat="1" ht="13.5">
      <c r="B1612" s="29"/>
      <c r="C1612" s="29"/>
      <c r="D1612" s="30"/>
      <c r="E1612" s="33"/>
      <c r="F1612" s="88"/>
    </row>
    <row r="1613" spans="2:6" s="6" customFormat="1" ht="13.5">
      <c r="B1613" s="29"/>
      <c r="C1613" s="29"/>
      <c r="D1613" s="30"/>
      <c r="E1613" s="33"/>
      <c r="F1613" s="88"/>
    </row>
    <row r="1614" spans="2:6" s="6" customFormat="1" ht="13.5">
      <c r="B1614" s="29"/>
      <c r="C1614" s="29"/>
      <c r="D1614" s="30"/>
      <c r="E1614" s="33"/>
      <c r="F1614" s="88"/>
    </row>
    <row r="1615" spans="2:6" s="6" customFormat="1" ht="13.5">
      <c r="B1615" s="29"/>
      <c r="C1615" s="29"/>
      <c r="D1615" s="30"/>
      <c r="E1615" s="33"/>
      <c r="F1615" s="88"/>
    </row>
    <row r="1616" spans="2:6" s="6" customFormat="1" ht="13.5">
      <c r="B1616" s="29"/>
      <c r="C1616" s="29"/>
      <c r="D1616" s="30"/>
      <c r="E1616" s="33"/>
      <c r="F1616" s="88"/>
    </row>
    <row r="1617" spans="2:6" s="6" customFormat="1" ht="13.5">
      <c r="B1617" s="29"/>
      <c r="C1617" s="29"/>
      <c r="D1617" s="30"/>
      <c r="E1617" s="33"/>
      <c r="F1617" s="88"/>
    </row>
    <row r="1618" spans="2:6" s="6" customFormat="1" ht="13.5">
      <c r="B1618" s="29"/>
      <c r="C1618" s="29"/>
      <c r="D1618" s="30"/>
      <c r="E1618" s="33"/>
      <c r="F1618" s="88"/>
    </row>
    <row r="1619" spans="2:6" s="6" customFormat="1" ht="13.5">
      <c r="B1619" s="29"/>
      <c r="C1619" s="29"/>
      <c r="D1619" s="30"/>
      <c r="E1619" s="33"/>
      <c r="F1619" s="88"/>
    </row>
    <row r="1620" spans="2:6" s="6" customFormat="1" ht="13.5">
      <c r="B1620" s="29"/>
      <c r="C1620" s="29"/>
      <c r="D1620" s="30"/>
      <c r="E1620" s="33"/>
      <c r="F1620" s="88"/>
    </row>
    <row r="1621" spans="2:6" s="6" customFormat="1" ht="13.5">
      <c r="B1621" s="29"/>
      <c r="C1621" s="29"/>
      <c r="D1621" s="30"/>
      <c r="E1621" s="33"/>
      <c r="F1621" s="88"/>
    </row>
    <row r="1622" spans="2:6" s="6" customFormat="1" ht="13.5">
      <c r="B1622" s="29"/>
      <c r="C1622" s="29"/>
      <c r="D1622" s="30"/>
      <c r="E1622" s="33"/>
      <c r="F1622" s="88"/>
    </row>
    <row r="1623" spans="2:6" s="6" customFormat="1" ht="13.5">
      <c r="B1623" s="29"/>
      <c r="C1623" s="29"/>
      <c r="D1623" s="30"/>
      <c r="E1623" s="33"/>
      <c r="F1623" s="88"/>
    </row>
    <row r="1624" spans="2:6" s="6" customFormat="1" ht="13.5">
      <c r="B1624" s="29"/>
      <c r="C1624" s="29"/>
      <c r="D1624" s="30"/>
      <c r="E1624" s="33"/>
      <c r="F1624" s="88"/>
    </row>
    <row r="1625" spans="2:6" s="6" customFormat="1" ht="13.5">
      <c r="B1625" s="29"/>
      <c r="C1625" s="29"/>
      <c r="D1625" s="30"/>
      <c r="E1625" s="33"/>
      <c r="F1625" s="88"/>
    </row>
    <row r="1626" spans="2:6" s="6" customFormat="1" ht="13.5">
      <c r="B1626" s="29"/>
      <c r="C1626" s="29"/>
      <c r="D1626" s="30"/>
      <c r="E1626" s="33"/>
      <c r="F1626" s="88"/>
    </row>
    <row r="1627" spans="2:6" s="6" customFormat="1" ht="13.5">
      <c r="B1627" s="29"/>
      <c r="C1627" s="29"/>
      <c r="D1627" s="30"/>
      <c r="E1627" s="33"/>
      <c r="F1627" s="88"/>
    </row>
    <row r="1628" spans="2:6" s="6" customFormat="1" ht="13.5">
      <c r="B1628" s="29"/>
      <c r="C1628" s="29"/>
      <c r="D1628" s="30"/>
      <c r="E1628" s="33"/>
      <c r="F1628" s="88"/>
    </row>
    <row r="1629" spans="2:6" s="6" customFormat="1" ht="13.5">
      <c r="B1629" s="29"/>
      <c r="C1629" s="29"/>
      <c r="D1629" s="30"/>
      <c r="E1629" s="33"/>
      <c r="F1629" s="88"/>
    </row>
    <row r="1630" spans="2:6" s="6" customFormat="1" ht="13.5">
      <c r="B1630" s="29"/>
      <c r="C1630" s="29"/>
      <c r="D1630" s="30"/>
      <c r="E1630" s="33"/>
      <c r="F1630" s="88"/>
    </row>
    <row r="1631" spans="2:6" s="6" customFormat="1" ht="13.5">
      <c r="B1631" s="29"/>
      <c r="C1631" s="29"/>
      <c r="D1631" s="30"/>
      <c r="E1631" s="33"/>
      <c r="F1631" s="88"/>
    </row>
    <row r="1632" spans="2:6" s="6" customFormat="1" ht="13.5">
      <c r="B1632" s="29"/>
      <c r="C1632" s="29"/>
      <c r="D1632" s="30"/>
      <c r="E1632" s="33"/>
      <c r="F1632" s="88"/>
    </row>
    <row r="1633" spans="2:6" s="6" customFormat="1" ht="13.5">
      <c r="B1633" s="29"/>
      <c r="C1633" s="29"/>
      <c r="D1633" s="30"/>
      <c r="E1633" s="33"/>
      <c r="F1633" s="88"/>
    </row>
    <row r="1634" spans="2:6" s="6" customFormat="1" ht="13.5">
      <c r="B1634" s="29"/>
      <c r="C1634" s="29"/>
      <c r="D1634" s="30"/>
      <c r="E1634" s="33"/>
      <c r="F1634" s="88"/>
    </row>
    <row r="1635" spans="2:6" s="6" customFormat="1" ht="13.5">
      <c r="B1635" s="29"/>
      <c r="C1635" s="29"/>
      <c r="D1635" s="30"/>
      <c r="E1635" s="33"/>
      <c r="F1635" s="88"/>
    </row>
    <row r="1636" spans="2:6" s="6" customFormat="1" ht="13.5">
      <c r="B1636" s="29"/>
      <c r="C1636" s="29"/>
      <c r="D1636" s="30"/>
      <c r="E1636" s="33"/>
      <c r="F1636" s="88"/>
    </row>
    <row r="1637" spans="2:6" s="6" customFormat="1" ht="13.5">
      <c r="B1637" s="29"/>
      <c r="C1637" s="29"/>
      <c r="D1637" s="30"/>
      <c r="E1637" s="33"/>
      <c r="F1637" s="88"/>
    </row>
    <row r="1638" spans="2:6" s="6" customFormat="1" ht="13.5">
      <c r="B1638" s="29"/>
      <c r="C1638" s="29"/>
      <c r="D1638" s="30"/>
      <c r="E1638" s="33"/>
      <c r="F1638" s="88"/>
    </row>
    <row r="1639" spans="2:6" s="6" customFormat="1" ht="13.5">
      <c r="B1639" s="29"/>
      <c r="C1639" s="29"/>
      <c r="D1639" s="30"/>
      <c r="E1639" s="33"/>
      <c r="F1639" s="88"/>
    </row>
    <row r="1640" spans="2:6" s="6" customFormat="1" ht="13.5">
      <c r="B1640" s="29"/>
      <c r="C1640" s="29"/>
      <c r="D1640" s="30"/>
      <c r="E1640" s="33"/>
      <c r="F1640" s="88"/>
    </row>
    <row r="1641" spans="2:6" s="6" customFormat="1" ht="13.5">
      <c r="B1641" s="29"/>
      <c r="C1641" s="29"/>
      <c r="D1641" s="30"/>
      <c r="E1641" s="33"/>
      <c r="F1641" s="88"/>
    </row>
    <row r="1642" spans="2:6" s="6" customFormat="1" ht="13.5">
      <c r="B1642" s="29"/>
      <c r="C1642" s="29"/>
      <c r="D1642" s="30"/>
      <c r="E1642" s="33"/>
      <c r="F1642" s="88"/>
    </row>
    <row r="1643" spans="2:6" s="6" customFormat="1" ht="13.5">
      <c r="B1643" s="29"/>
      <c r="C1643" s="29"/>
      <c r="D1643" s="30"/>
      <c r="E1643" s="33"/>
      <c r="F1643" s="88"/>
    </row>
    <row r="1644" spans="2:6" s="6" customFormat="1" ht="13.5">
      <c r="B1644" s="29"/>
      <c r="C1644" s="29"/>
      <c r="D1644" s="30"/>
      <c r="E1644" s="33"/>
      <c r="F1644" s="88"/>
    </row>
    <row r="1645" spans="2:6" s="6" customFormat="1" ht="13.5">
      <c r="B1645" s="29"/>
      <c r="C1645" s="29"/>
      <c r="D1645" s="30"/>
      <c r="E1645" s="33"/>
      <c r="F1645" s="88"/>
    </row>
    <row r="1646" spans="2:6" s="6" customFormat="1" ht="13.5">
      <c r="B1646" s="29"/>
      <c r="C1646" s="29"/>
      <c r="D1646" s="30"/>
      <c r="E1646" s="33"/>
      <c r="F1646" s="88"/>
    </row>
    <row r="1647" spans="2:6" s="6" customFormat="1" ht="13.5">
      <c r="B1647" s="29"/>
      <c r="C1647" s="29"/>
      <c r="D1647" s="30"/>
      <c r="E1647" s="33"/>
      <c r="F1647" s="88"/>
    </row>
    <row r="1648" spans="2:6" s="6" customFormat="1" ht="13.5">
      <c r="B1648" s="29"/>
      <c r="C1648" s="29"/>
      <c r="D1648" s="30"/>
      <c r="E1648" s="33"/>
      <c r="F1648" s="88"/>
    </row>
    <row r="1649" spans="2:6" s="6" customFormat="1" ht="13.5">
      <c r="B1649" s="29"/>
      <c r="C1649" s="29"/>
      <c r="D1649" s="30"/>
      <c r="E1649" s="33"/>
      <c r="F1649" s="88"/>
    </row>
    <row r="1650" spans="2:6" s="6" customFormat="1" ht="13.5">
      <c r="B1650" s="29"/>
      <c r="C1650" s="29"/>
      <c r="D1650" s="30"/>
      <c r="E1650" s="33"/>
      <c r="F1650" s="88"/>
    </row>
    <row r="1651" spans="2:6" s="6" customFormat="1" ht="13.5">
      <c r="B1651" s="29"/>
      <c r="C1651" s="29"/>
      <c r="D1651" s="30"/>
      <c r="E1651" s="33"/>
      <c r="F1651" s="88"/>
    </row>
    <row r="1652" spans="2:6" s="6" customFormat="1" ht="13.5">
      <c r="B1652" s="29"/>
      <c r="C1652" s="29"/>
      <c r="D1652" s="30"/>
      <c r="E1652" s="33"/>
      <c r="F1652" s="88"/>
    </row>
    <row r="1653" spans="2:6" s="6" customFormat="1" ht="13.5">
      <c r="B1653" s="29"/>
      <c r="C1653" s="29"/>
      <c r="D1653" s="30"/>
      <c r="E1653" s="33"/>
      <c r="F1653" s="88"/>
    </row>
    <row r="1654" spans="2:6" s="6" customFormat="1" ht="13.5">
      <c r="B1654" s="29"/>
      <c r="C1654" s="29"/>
      <c r="D1654" s="30"/>
      <c r="E1654" s="33"/>
      <c r="F1654" s="88"/>
    </row>
    <row r="1655" spans="2:6" s="6" customFormat="1" ht="13.5">
      <c r="B1655" s="29"/>
      <c r="C1655" s="29"/>
      <c r="D1655" s="30"/>
      <c r="E1655" s="33"/>
      <c r="F1655" s="88"/>
    </row>
    <row r="1656" spans="2:6" s="6" customFormat="1" ht="13.5">
      <c r="B1656" s="29"/>
      <c r="C1656" s="29"/>
      <c r="D1656" s="30"/>
      <c r="E1656" s="33"/>
      <c r="F1656" s="88"/>
    </row>
    <row r="1657" spans="2:6" s="6" customFormat="1" ht="13.5">
      <c r="B1657" s="29"/>
      <c r="C1657" s="29"/>
      <c r="D1657" s="30"/>
      <c r="E1657" s="33"/>
      <c r="F1657" s="88"/>
    </row>
    <row r="1658" spans="2:6" s="6" customFormat="1" ht="13.5">
      <c r="B1658" s="29"/>
      <c r="C1658" s="29"/>
      <c r="D1658" s="30"/>
      <c r="E1658" s="33"/>
      <c r="F1658" s="88"/>
    </row>
    <row r="1659" spans="2:6" s="6" customFormat="1" ht="13.5">
      <c r="B1659" s="29"/>
      <c r="C1659" s="29"/>
      <c r="D1659" s="30"/>
      <c r="E1659" s="33"/>
      <c r="F1659" s="88"/>
    </row>
    <row r="1660" spans="2:6" s="6" customFormat="1" ht="13.5">
      <c r="B1660" s="29"/>
      <c r="C1660" s="29"/>
      <c r="D1660" s="30"/>
      <c r="E1660" s="33"/>
      <c r="F1660" s="88"/>
    </row>
    <row r="1661" spans="2:6" s="6" customFormat="1" ht="13.5">
      <c r="B1661" s="29"/>
      <c r="C1661" s="29"/>
      <c r="D1661" s="30"/>
      <c r="E1661" s="33"/>
      <c r="F1661" s="88"/>
    </row>
    <row r="1662" spans="2:6" s="6" customFormat="1" ht="13.5">
      <c r="B1662" s="29"/>
      <c r="C1662" s="29"/>
      <c r="D1662" s="30"/>
      <c r="E1662" s="33"/>
      <c r="F1662" s="88"/>
    </row>
    <row r="1663" spans="2:6" s="6" customFormat="1" ht="13.5">
      <c r="B1663" s="29"/>
      <c r="C1663" s="29"/>
      <c r="D1663" s="30"/>
      <c r="E1663" s="33"/>
      <c r="F1663" s="88"/>
    </row>
    <row r="1664" spans="2:6" s="6" customFormat="1" ht="13.5">
      <c r="B1664" s="29"/>
      <c r="C1664" s="29"/>
      <c r="D1664" s="30"/>
      <c r="E1664" s="33"/>
      <c r="F1664" s="88"/>
    </row>
    <row r="1665" spans="2:6" s="6" customFormat="1" ht="13.5">
      <c r="B1665" s="29"/>
      <c r="C1665" s="29"/>
      <c r="D1665" s="30"/>
      <c r="E1665" s="33"/>
      <c r="F1665" s="88"/>
    </row>
    <row r="1666" spans="2:6" s="6" customFormat="1" ht="13.5">
      <c r="B1666" s="29"/>
      <c r="C1666" s="29"/>
      <c r="D1666" s="30"/>
      <c r="E1666" s="33"/>
      <c r="F1666" s="88"/>
    </row>
    <row r="1667" spans="2:6" s="6" customFormat="1" ht="13.5">
      <c r="B1667" s="29"/>
      <c r="C1667" s="29"/>
      <c r="D1667" s="30"/>
      <c r="E1667" s="33"/>
      <c r="F1667" s="88"/>
    </row>
    <row r="1668" spans="2:6" s="6" customFormat="1" ht="13.5">
      <c r="B1668" s="29"/>
      <c r="C1668" s="29"/>
      <c r="D1668" s="30"/>
      <c r="E1668" s="33"/>
      <c r="F1668" s="88"/>
    </row>
    <row r="1669" spans="2:6" s="6" customFormat="1" ht="13.5">
      <c r="B1669" s="29"/>
      <c r="C1669" s="29"/>
      <c r="D1669" s="30"/>
      <c r="E1669" s="33"/>
      <c r="F1669" s="88"/>
    </row>
    <row r="1670" spans="2:6" s="6" customFormat="1" ht="13.5">
      <c r="B1670" s="29"/>
      <c r="C1670" s="29"/>
      <c r="D1670" s="30"/>
      <c r="E1670" s="33"/>
      <c r="F1670" s="88"/>
    </row>
    <row r="1671" spans="2:6" s="6" customFormat="1" ht="13.5">
      <c r="B1671" s="29"/>
      <c r="C1671" s="29"/>
      <c r="D1671" s="30"/>
      <c r="E1671" s="33"/>
      <c r="F1671" s="88"/>
    </row>
    <row r="1672" spans="2:6" s="6" customFormat="1" ht="13.5">
      <c r="B1672" s="29"/>
      <c r="C1672" s="29"/>
      <c r="D1672" s="30"/>
      <c r="E1672" s="33"/>
      <c r="F1672" s="88"/>
    </row>
    <row r="1673" spans="2:6" s="6" customFormat="1" ht="13.5">
      <c r="B1673" s="29"/>
      <c r="C1673" s="29"/>
      <c r="D1673" s="30"/>
      <c r="E1673" s="33"/>
      <c r="F1673" s="88"/>
    </row>
    <row r="1674" spans="2:6" s="6" customFormat="1" ht="13.5">
      <c r="B1674" s="29"/>
      <c r="C1674" s="29"/>
      <c r="D1674" s="30"/>
      <c r="E1674" s="33"/>
      <c r="F1674" s="88"/>
    </row>
    <row r="1675" spans="2:6" s="6" customFormat="1" ht="13.5">
      <c r="B1675" s="29"/>
      <c r="C1675" s="29"/>
      <c r="D1675" s="30"/>
      <c r="E1675" s="33"/>
      <c r="F1675" s="88"/>
    </row>
    <row r="1676" spans="2:6" s="6" customFormat="1" ht="13.5">
      <c r="B1676" s="29"/>
      <c r="C1676" s="29"/>
      <c r="D1676" s="30"/>
      <c r="E1676" s="33"/>
      <c r="F1676" s="88"/>
    </row>
    <row r="1677" spans="2:6" s="6" customFormat="1" ht="13.5">
      <c r="B1677" s="29"/>
      <c r="C1677" s="29"/>
      <c r="D1677" s="30"/>
      <c r="E1677" s="33"/>
      <c r="F1677" s="88"/>
    </row>
    <row r="1678" spans="2:6" s="6" customFormat="1" ht="13.5">
      <c r="B1678" s="29"/>
      <c r="C1678" s="29"/>
      <c r="D1678" s="30"/>
      <c r="E1678" s="33"/>
      <c r="F1678" s="88"/>
    </row>
    <row r="1679" spans="2:6" s="6" customFormat="1" ht="13.5">
      <c r="B1679" s="29"/>
      <c r="C1679" s="29"/>
      <c r="D1679" s="30"/>
      <c r="E1679" s="33"/>
      <c r="F1679" s="88"/>
    </row>
    <row r="1680" spans="2:6" s="6" customFormat="1" ht="13.5">
      <c r="B1680" s="29"/>
      <c r="C1680" s="29"/>
      <c r="D1680" s="30"/>
      <c r="E1680" s="33"/>
      <c r="F1680" s="88"/>
    </row>
    <row r="1681" spans="2:6" s="6" customFormat="1" ht="13.5">
      <c r="B1681" s="29"/>
      <c r="C1681" s="29"/>
      <c r="D1681" s="30"/>
      <c r="E1681" s="33"/>
      <c r="F1681" s="88"/>
    </row>
    <row r="1682" spans="2:6" s="6" customFormat="1" ht="13.5">
      <c r="B1682" s="29"/>
      <c r="C1682" s="29"/>
      <c r="D1682" s="30"/>
      <c r="E1682" s="33"/>
      <c r="F1682" s="88"/>
    </row>
    <row r="1683" spans="2:6" s="6" customFormat="1" ht="13.5">
      <c r="B1683" s="29"/>
      <c r="C1683" s="29"/>
      <c r="D1683" s="30"/>
      <c r="E1683" s="33"/>
      <c r="F1683" s="88"/>
    </row>
    <row r="1684" spans="2:6" s="6" customFormat="1" ht="13.5">
      <c r="B1684" s="29"/>
      <c r="C1684" s="29"/>
      <c r="D1684" s="30"/>
      <c r="E1684" s="33"/>
      <c r="F1684" s="88"/>
    </row>
    <row r="1685" spans="2:6" s="6" customFormat="1" ht="13.5">
      <c r="B1685" s="29"/>
      <c r="C1685" s="29"/>
      <c r="D1685" s="30"/>
      <c r="E1685" s="33"/>
      <c r="F1685" s="88"/>
    </row>
    <row r="1686" spans="2:6" s="6" customFormat="1" ht="13.5">
      <c r="B1686" s="29"/>
      <c r="C1686" s="29"/>
      <c r="D1686" s="30"/>
      <c r="E1686" s="33"/>
      <c r="F1686" s="88"/>
    </row>
    <row r="1687" spans="2:6" s="6" customFormat="1" ht="13.5">
      <c r="B1687" s="29"/>
      <c r="C1687" s="29"/>
      <c r="D1687" s="30"/>
      <c r="E1687" s="33"/>
      <c r="F1687" s="88"/>
    </row>
    <row r="1688" spans="2:6" s="6" customFormat="1" ht="13.5">
      <c r="B1688" s="29"/>
      <c r="C1688" s="29"/>
      <c r="D1688" s="30"/>
      <c r="E1688" s="33"/>
      <c r="F1688" s="88"/>
    </row>
    <row r="1689" spans="2:6" s="6" customFormat="1" ht="13.5">
      <c r="B1689" s="29"/>
      <c r="C1689" s="29"/>
      <c r="D1689" s="30"/>
      <c r="E1689" s="33"/>
      <c r="F1689" s="88"/>
    </row>
    <row r="1690" spans="2:6" s="6" customFormat="1" ht="13.5">
      <c r="B1690" s="29"/>
      <c r="C1690" s="29"/>
      <c r="D1690" s="30"/>
      <c r="E1690" s="33"/>
      <c r="F1690" s="88"/>
    </row>
    <row r="1691" spans="2:6" s="6" customFormat="1" ht="13.5">
      <c r="B1691" s="29"/>
      <c r="C1691" s="29"/>
      <c r="D1691" s="30"/>
      <c r="E1691" s="33"/>
      <c r="F1691" s="88"/>
    </row>
    <row r="1692" spans="2:6" s="6" customFormat="1" ht="13.5">
      <c r="B1692" s="29"/>
      <c r="C1692" s="29"/>
      <c r="D1692" s="30"/>
      <c r="E1692" s="33"/>
      <c r="F1692" s="88"/>
    </row>
    <row r="1693" spans="2:6" s="6" customFormat="1" ht="13.5">
      <c r="B1693" s="29"/>
      <c r="C1693" s="29"/>
      <c r="D1693" s="30"/>
      <c r="E1693" s="33"/>
      <c r="F1693" s="88"/>
    </row>
    <row r="1694" spans="2:6" s="6" customFormat="1" ht="13.5">
      <c r="B1694" s="29"/>
      <c r="C1694" s="29"/>
      <c r="D1694" s="30"/>
      <c r="E1694" s="33"/>
      <c r="F1694" s="88"/>
    </row>
    <row r="1695" spans="2:6" s="6" customFormat="1" ht="13.5">
      <c r="B1695" s="29"/>
      <c r="C1695" s="29"/>
      <c r="D1695" s="30"/>
      <c r="E1695" s="33"/>
      <c r="F1695" s="88"/>
    </row>
    <row r="1696" spans="2:6" s="6" customFormat="1" ht="13.5">
      <c r="B1696" s="29"/>
      <c r="C1696" s="29"/>
      <c r="D1696" s="30"/>
      <c r="E1696" s="33"/>
      <c r="F1696" s="88"/>
    </row>
    <row r="1697" spans="2:6" s="6" customFormat="1" ht="13.5">
      <c r="B1697" s="29"/>
      <c r="C1697" s="29"/>
      <c r="D1697" s="30"/>
      <c r="E1697" s="33"/>
      <c r="F1697" s="88"/>
    </row>
    <row r="1698" spans="2:6" s="6" customFormat="1" ht="13.5">
      <c r="B1698" s="29"/>
      <c r="C1698" s="29"/>
      <c r="D1698" s="30"/>
      <c r="E1698" s="33"/>
      <c r="F1698" s="88"/>
    </row>
    <row r="1699" spans="2:6" s="6" customFormat="1" ht="13.5">
      <c r="B1699" s="29"/>
      <c r="C1699" s="29"/>
      <c r="D1699" s="30"/>
      <c r="E1699" s="33"/>
      <c r="F1699" s="88"/>
    </row>
    <row r="1700" spans="2:6" s="6" customFormat="1" ht="13.5">
      <c r="B1700" s="29"/>
      <c r="C1700" s="29"/>
      <c r="D1700" s="30"/>
      <c r="E1700" s="33"/>
      <c r="F1700" s="88"/>
    </row>
    <row r="1701" spans="2:6" s="6" customFormat="1" ht="13.5">
      <c r="B1701" s="29"/>
      <c r="C1701" s="29"/>
      <c r="D1701" s="30"/>
      <c r="E1701" s="33"/>
      <c r="F1701" s="88"/>
    </row>
    <row r="1702" spans="2:6" s="6" customFormat="1" ht="13.5">
      <c r="B1702" s="29"/>
      <c r="C1702" s="29"/>
      <c r="D1702" s="30"/>
      <c r="E1702" s="33"/>
      <c r="F1702" s="88"/>
    </row>
    <row r="1703" spans="2:6" s="6" customFormat="1" ht="13.5">
      <c r="B1703" s="29"/>
      <c r="C1703" s="29"/>
      <c r="D1703" s="30"/>
      <c r="E1703" s="33"/>
      <c r="F1703" s="88"/>
    </row>
    <row r="1704" spans="2:6" s="6" customFormat="1" ht="13.5">
      <c r="B1704" s="29"/>
      <c r="C1704" s="29"/>
      <c r="D1704" s="30"/>
      <c r="E1704" s="33"/>
      <c r="F1704" s="88"/>
    </row>
    <row r="1705" spans="2:6" s="6" customFormat="1" ht="13.5">
      <c r="B1705" s="29"/>
      <c r="C1705" s="29"/>
      <c r="D1705" s="30"/>
      <c r="E1705" s="33"/>
      <c r="F1705" s="88"/>
    </row>
    <row r="1706" spans="2:6" s="6" customFormat="1" ht="13.5">
      <c r="B1706" s="29"/>
      <c r="C1706" s="29"/>
      <c r="D1706" s="30"/>
      <c r="E1706" s="33"/>
      <c r="F1706" s="88"/>
    </row>
    <row r="1707" spans="2:6" s="6" customFormat="1" ht="13.5">
      <c r="B1707" s="29"/>
      <c r="C1707" s="29"/>
      <c r="D1707" s="30"/>
      <c r="E1707" s="33"/>
      <c r="F1707" s="88"/>
    </row>
    <row r="1708" spans="2:6" s="6" customFormat="1" ht="13.5">
      <c r="B1708" s="29"/>
      <c r="C1708" s="29"/>
      <c r="D1708" s="30"/>
      <c r="E1708" s="33"/>
      <c r="F1708" s="88"/>
    </row>
    <row r="1709" spans="2:6" s="6" customFormat="1" ht="13.5">
      <c r="B1709" s="29"/>
      <c r="C1709" s="29"/>
      <c r="D1709" s="30"/>
      <c r="E1709" s="33"/>
      <c r="F1709" s="88"/>
    </row>
    <row r="1710" spans="2:6" s="6" customFormat="1" ht="13.5">
      <c r="B1710" s="29"/>
      <c r="C1710" s="29"/>
      <c r="D1710" s="30"/>
      <c r="E1710" s="33"/>
      <c r="F1710" s="88"/>
    </row>
    <row r="1711" spans="2:6" s="6" customFormat="1" ht="13.5">
      <c r="B1711" s="29"/>
      <c r="C1711" s="29"/>
      <c r="D1711" s="30"/>
      <c r="E1711" s="33"/>
      <c r="F1711" s="88"/>
    </row>
    <row r="1712" spans="2:6" s="6" customFormat="1" ht="13.5">
      <c r="B1712" s="29"/>
      <c r="C1712" s="29"/>
      <c r="D1712" s="30"/>
      <c r="E1712" s="33"/>
      <c r="F1712" s="88"/>
    </row>
    <row r="1713" spans="2:6" s="6" customFormat="1" ht="13.5">
      <c r="B1713" s="29"/>
      <c r="C1713" s="29"/>
      <c r="D1713" s="30"/>
      <c r="E1713" s="33"/>
      <c r="F1713" s="88"/>
    </row>
    <row r="1714" spans="2:6" s="6" customFormat="1" ht="13.5">
      <c r="B1714" s="29"/>
      <c r="C1714" s="29"/>
      <c r="D1714" s="30"/>
      <c r="E1714" s="33"/>
      <c r="F1714" s="88"/>
    </row>
    <row r="1715" spans="2:6" s="6" customFormat="1" ht="13.5">
      <c r="B1715" s="29"/>
      <c r="C1715" s="29"/>
      <c r="D1715" s="30"/>
      <c r="E1715" s="33"/>
      <c r="F1715" s="88"/>
    </row>
    <row r="1716" spans="2:6" s="6" customFormat="1" ht="13.5">
      <c r="B1716" s="29"/>
      <c r="C1716" s="29"/>
      <c r="D1716" s="30"/>
      <c r="E1716" s="33"/>
      <c r="F1716" s="88"/>
    </row>
    <row r="1717" spans="2:6" s="6" customFormat="1" ht="13.5">
      <c r="B1717" s="29"/>
      <c r="C1717" s="29"/>
      <c r="D1717" s="30"/>
      <c r="E1717" s="33"/>
      <c r="F1717" s="88"/>
    </row>
    <row r="1718" spans="2:6" s="6" customFormat="1" ht="13.5">
      <c r="B1718" s="29"/>
      <c r="C1718" s="29"/>
      <c r="D1718" s="30"/>
      <c r="E1718" s="33"/>
      <c r="F1718" s="88"/>
    </row>
    <row r="1719" spans="2:6" s="6" customFormat="1" ht="13.5">
      <c r="B1719" s="29"/>
      <c r="C1719" s="29"/>
      <c r="D1719" s="30"/>
      <c r="E1719" s="33"/>
      <c r="F1719" s="88"/>
    </row>
    <row r="1720" spans="2:6" s="6" customFormat="1" ht="13.5">
      <c r="B1720" s="29"/>
      <c r="C1720" s="29"/>
      <c r="D1720" s="30"/>
      <c r="E1720" s="33"/>
      <c r="F1720" s="88"/>
    </row>
    <row r="1721" spans="2:6" s="6" customFormat="1" ht="13.5">
      <c r="B1721" s="29"/>
      <c r="C1721" s="29"/>
      <c r="D1721" s="30"/>
      <c r="E1721" s="33"/>
      <c r="F1721" s="88"/>
    </row>
    <row r="1722" spans="2:6" s="6" customFormat="1" ht="13.5">
      <c r="B1722" s="29"/>
      <c r="C1722" s="29"/>
      <c r="D1722" s="30"/>
      <c r="E1722" s="33"/>
      <c r="F1722" s="88"/>
    </row>
    <row r="1723" spans="2:6" s="6" customFormat="1" ht="13.5">
      <c r="B1723" s="29"/>
      <c r="C1723" s="29"/>
      <c r="D1723" s="30"/>
      <c r="E1723" s="33"/>
      <c r="F1723" s="88"/>
    </row>
    <row r="1724" spans="2:6" s="6" customFormat="1" ht="13.5">
      <c r="B1724" s="29"/>
      <c r="C1724" s="29"/>
      <c r="D1724" s="30"/>
      <c r="E1724" s="33"/>
      <c r="F1724" s="88"/>
    </row>
    <row r="1725" spans="2:6" s="6" customFormat="1" ht="13.5">
      <c r="B1725" s="29"/>
      <c r="C1725" s="29"/>
      <c r="D1725" s="30"/>
      <c r="E1725" s="33"/>
      <c r="F1725" s="88"/>
    </row>
    <row r="1726" spans="2:6" s="6" customFormat="1" ht="13.5">
      <c r="B1726" s="29"/>
      <c r="C1726" s="29"/>
      <c r="D1726" s="30"/>
      <c r="E1726" s="33"/>
      <c r="F1726" s="88"/>
    </row>
    <row r="1727" spans="2:6" s="6" customFormat="1" ht="13.5">
      <c r="B1727" s="29"/>
      <c r="C1727" s="29"/>
      <c r="D1727" s="30"/>
      <c r="E1727" s="33"/>
      <c r="F1727" s="88"/>
    </row>
    <row r="1728" spans="2:6" s="6" customFormat="1" ht="13.5">
      <c r="B1728" s="29"/>
      <c r="C1728" s="29"/>
      <c r="D1728" s="30"/>
      <c r="E1728" s="33"/>
      <c r="F1728" s="88"/>
    </row>
    <row r="1729" spans="2:6" s="6" customFormat="1" ht="13.5">
      <c r="B1729" s="29"/>
      <c r="C1729" s="29"/>
      <c r="D1729" s="30"/>
      <c r="E1729" s="33"/>
      <c r="F1729" s="88"/>
    </row>
    <row r="1730" spans="2:6" s="6" customFormat="1" ht="13.5">
      <c r="B1730" s="29"/>
      <c r="C1730" s="29"/>
      <c r="D1730" s="30"/>
      <c r="E1730" s="33"/>
      <c r="F1730" s="88"/>
    </row>
    <row r="1731" spans="2:6" s="6" customFormat="1" ht="13.5">
      <c r="B1731" s="29"/>
      <c r="C1731" s="29"/>
      <c r="D1731" s="30"/>
      <c r="E1731" s="33"/>
      <c r="F1731" s="88"/>
    </row>
    <row r="1732" spans="2:6" s="6" customFormat="1" ht="13.5">
      <c r="B1732" s="29"/>
      <c r="C1732" s="29"/>
      <c r="D1732" s="30"/>
      <c r="E1732" s="33"/>
      <c r="F1732" s="88"/>
    </row>
    <row r="1733" spans="2:6" s="6" customFormat="1" ht="13.5">
      <c r="B1733" s="29"/>
      <c r="C1733" s="29"/>
      <c r="D1733" s="30"/>
      <c r="E1733" s="33"/>
      <c r="F1733" s="88"/>
    </row>
    <row r="1734" spans="2:6" s="6" customFormat="1" ht="13.5">
      <c r="B1734" s="29"/>
      <c r="C1734" s="29"/>
      <c r="D1734" s="30"/>
      <c r="E1734" s="33"/>
      <c r="F1734" s="88"/>
    </row>
    <row r="1735" spans="2:6" s="6" customFormat="1" ht="13.5">
      <c r="B1735" s="29"/>
      <c r="C1735" s="29"/>
      <c r="D1735" s="30"/>
      <c r="E1735" s="33"/>
      <c r="F1735" s="88"/>
    </row>
    <row r="1736" spans="2:6" s="6" customFormat="1" ht="13.5">
      <c r="B1736" s="29"/>
      <c r="C1736" s="29"/>
      <c r="D1736" s="30"/>
      <c r="E1736" s="33"/>
      <c r="F1736" s="88"/>
    </row>
    <row r="1737" spans="2:6" s="6" customFormat="1" ht="13.5">
      <c r="B1737" s="29"/>
      <c r="C1737" s="29"/>
      <c r="D1737" s="30"/>
      <c r="E1737" s="33"/>
      <c r="F1737" s="88"/>
    </row>
    <row r="1738" spans="2:6" s="6" customFormat="1" ht="13.5">
      <c r="B1738" s="29"/>
      <c r="C1738" s="29"/>
      <c r="D1738" s="30"/>
      <c r="E1738" s="33"/>
      <c r="F1738" s="88"/>
    </row>
    <row r="1739" spans="2:6" s="6" customFormat="1" ht="13.5">
      <c r="B1739" s="29"/>
      <c r="C1739" s="29"/>
      <c r="D1739" s="30"/>
      <c r="E1739" s="33"/>
      <c r="F1739" s="88"/>
    </row>
    <row r="1740" spans="2:6" s="6" customFormat="1" ht="13.5">
      <c r="B1740" s="29"/>
      <c r="C1740" s="29"/>
      <c r="D1740" s="30"/>
      <c r="E1740" s="33"/>
      <c r="F1740" s="88"/>
    </row>
    <row r="1741" spans="2:6" s="6" customFormat="1" ht="13.5">
      <c r="B1741" s="29"/>
      <c r="C1741" s="29"/>
      <c r="D1741" s="30"/>
      <c r="E1741" s="33"/>
      <c r="F1741" s="88"/>
    </row>
    <row r="1742" spans="2:6" s="6" customFormat="1" ht="13.5">
      <c r="B1742" s="29"/>
      <c r="C1742" s="29"/>
      <c r="D1742" s="30"/>
      <c r="E1742" s="33"/>
      <c r="F1742" s="88"/>
    </row>
    <row r="1743" spans="2:6" s="6" customFormat="1" ht="13.5">
      <c r="B1743" s="29"/>
      <c r="C1743" s="29"/>
      <c r="D1743" s="30"/>
      <c r="E1743" s="33"/>
      <c r="F1743" s="88"/>
    </row>
    <row r="1744" spans="2:6" s="6" customFormat="1" ht="13.5">
      <c r="B1744" s="29"/>
      <c r="C1744" s="29"/>
      <c r="D1744" s="30"/>
      <c r="E1744" s="33"/>
      <c r="F1744" s="88"/>
    </row>
    <row r="1745" spans="2:6" s="6" customFormat="1" ht="13.5">
      <c r="B1745" s="29"/>
      <c r="C1745" s="29"/>
      <c r="D1745" s="30"/>
      <c r="E1745" s="33"/>
      <c r="F1745" s="88"/>
    </row>
    <row r="1746" spans="2:6" s="6" customFormat="1" ht="13.5">
      <c r="B1746" s="29"/>
      <c r="C1746" s="29"/>
      <c r="D1746" s="30"/>
      <c r="E1746" s="33"/>
      <c r="F1746" s="88"/>
    </row>
    <row r="1747" spans="2:6" s="6" customFormat="1" ht="13.5">
      <c r="B1747" s="29"/>
      <c r="C1747" s="29"/>
      <c r="D1747" s="30"/>
      <c r="E1747" s="33"/>
      <c r="F1747" s="88"/>
    </row>
    <row r="1748" spans="2:6" s="6" customFormat="1" ht="13.5">
      <c r="B1748" s="29"/>
      <c r="C1748" s="29"/>
      <c r="D1748" s="30"/>
      <c r="E1748" s="33"/>
      <c r="F1748" s="88"/>
    </row>
    <row r="1749" spans="2:6" s="6" customFormat="1" ht="13.5">
      <c r="B1749" s="29"/>
      <c r="C1749" s="29"/>
      <c r="D1749" s="30"/>
      <c r="E1749" s="33"/>
      <c r="F1749" s="88"/>
    </row>
    <row r="1750" spans="2:6" s="6" customFormat="1" ht="13.5">
      <c r="B1750" s="29"/>
      <c r="C1750" s="29"/>
      <c r="D1750" s="30"/>
      <c r="E1750" s="33"/>
      <c r="F1750" s="88"/>
    </row>
    <row r="1751" spans="2:6" s="6" customFormat="1" ht="13.5">
      <c r="B1751" s="29"/>
      <c r="C1751" s="29"/>
      <c r="D1751" s="30"/>
      <c r="E1751" s="33"/>
      <c r="F1751" s="88"/>
    </row>
    <row r="1752" spans="2:6" s="6" customFormat="1" ht="13.5">
      <c r="B1752" s="29"/>
      <c r="C1752" s="29"/>
      <c r="D1752" s="30"/>
      <c r="E1752" s="33"/>
      <c r="F1752" s="88"/>
    </row>
    <row r="1753" spans="2:6" s="6" customFormat="1" ht="13.5">
      <c r="B1753" s="29"/>
      <c r="C1753" s="29"/>
      <c r="D1753" s="30"/>
      <c r="E1753" s="33"/>
      <c r="F1753" s="88"/>
    </row>
    <row r="1754" spans="2:6" s="6" customFormat="1" ht="13.5">
      <c r="B1754" s="29"/>
      <c r="C1754" s="29"/>
      <c r="D1754" s="30"/>
      <c r="E1754" s="33"/>
      <c r="F1754" s="88"/>
    </row>
    <row r="1755" spans="2:6" s="6" customFormat="1" ht="13.5">
      <c r="B1755" s="29"/>
      <c r="C1755" s="29"/>
      <c r="D1755" s="30"/>
      <c r="E1755" s="33"/>
      <c r="F1755" s="88"/>
    </row>
    <row r="1756" spans="2:6" s="6" customFormat="1" ht="13.5">
      <c r="B1756" s="29"/>
      <c r="C1756" s="29"/>
      <c r="D1756" s="30"/>
      <c r="E1756" s="33"/>
      <c r="F1756" s="88"/>
    </row>
    <row r="1757" spans="2:6" s="6" customFormat="1" ht="13.5">
      <c r="B1757" s="29"/>
      <c r="C1757" s="29"/>
      <c r="D1757" s="30"/>
      <c r="E1757" s="33"/>
      <c r="F1757" s="88"/>
    </row>
    <row r="1758" spans="2:6" s="6" customFormat="1" ht="13.5">
      <c r="B1758" s="29"/>
      <c r="C1758" s="29"/>
      <c r="D1758" s="30"/>
      <c r="E1758" s="33"/>
      <c r="F1758" s="88"/>
    </row>
    <row r="1759" spans="2:6" s="6" customFormat="1" ht="13.5">
      <c r="B1759" s="29"/>
      <c r="C1759" s="29"/>
      <c r="D1759" s="30"/>
      <c r="E1759" s="33"/>
      <c r="F1759" s="88"/>
    </row>
    <row r="1760" spans="2:6" s="6" customFormat="1" ht="13.5">
      <c r="B1760" s="29"/>
      <c r="C1760" s="29"/>
      <c r="D1760" s="30"/>
      <c r="E1760" s="33"/>
      <c r="F1760" s="88"/>
    </row>
    <row r="1761" spans="2:6" s="6" customFormat="1" ht="13.5">
      <c r="B1761" s="29"/>
      <c r="C1761" s="29"/>
      <c r="D1761" s="30"/>
      <c r="E1761" s="33"/>
      <c r="F1761" s="88"/>
    </row>
    <row r="1762" spans="2:6" s="6" customFormat="1" ht="13.5">
      <c r="B1762" s="29"/>
      <c r="C1762" s="29"/>
      <c r="D1762" s="30"/>
      <c r="E1762" s="33"/>
      <c r="F1762" s="88"/>
    </row>
    <row r="1763" spans="2:6" s="6" customFormat="1" ht="13.5">
      <c r="B1763" s="29"/>
      <c r="C1763" s="29"/>
      <c r="D1763" s="30"/>
      <c r="E1763" s="33"/>
      <c r="F1763" s="88"/>
    </row>
    <row r="1764" spans="2:6" s="6" customFormat="1" ht="13.5">
      <c r="B1764" s="29"/>
      <c r="C1764" s="29"/>
      <c r="D1764" s="30"/>
      <c r="E1764" s="33"/>
      <c r="F1764" s="88"/>
    </row>
    <row r="1765" spans="2:6" s="6" customFormat="1" ht="13.5">
      <c r="B1765" s="29"/>
      <c r="C1765" s="29"/>
      <c r="D1765" s="30"/>
      <c r="E1765" s="33"/>
      <c r="F1765" s="88"/>
    </row>
    <row r="1766" spans="2:6" s="6" customFormat="1" ht="13.5">
      <c r="B1766" s="29"/>
      <c r="C1766" s="29"/>
      <c r="D1766" s="30"/>
      <c r="E1766" s="33"/>
      <c r="F1766" s="88"/>
    </row>
    <row r="1767" spans="2:6" s="6" customFormat="1" ht="13.5">
      <c r="B1767" s="29"/>
      <c r="C1767" s="29"/>
      <c r="D1767" s="30"/>
      <c r="E1767" s="33"/>
      <c r="F1767" s="88"/>
    </row>
    <row r="1768" spans="2:6" s="6" customFormat="1" ht="13.5">
      <c r="B1768" s="29"/>
      <c r="C1768" s="29"/>
      <c r="D1768" s="30"/>
      <c r="E1768" s="33"/>
      <c r="F1768" s="88"/>
    </row>
    <row r="1769" spans="2:6" s="6" customFormat="1" ht="13.5">
      <c r="B1769" s="29"/>
      <c r="C1769" s="29"/>
      <c r="D1769" s="30"/>
      <c r="E1769" s="33"/>
      <c r="F1769" s="88"/>
    </row>
    <row r="1770" spans="2:6" s="6" customFormat="1" ht="13.5">
      <c r="B1770" s="29"/>
      <c r="C1770" s="29"/>
      <c r="D1770" s="30"/>
      <c r="E1770" s="33"/>
      <c r="F1770" s="88"/>
    </row>
    <row r="1771" spans="2:6" s="6" customFormat="1" ht="13.5">
      <c r="B1771" s="29"/>
      <c r="C1771" s="29"/>
      <c r="D1771" s="30"/>
      <c r="E1771" s="33"/>
      <c r="F1771" s="88"/>
    </row>
    <row r="1772" spans="2:6" s="6" customFormat="1" ht="13.5">
      <c r="B1772" s="29"/>
      <c r="C1772" s="29"/>
      <c r="D1772" s="30"/>
      <c r="E1772" s="33"/>
      <c r="F1772" s="88"/>
    </row>
    <row r="1773" spans="2:6" s="6" customFormat="1" ht="13.5">
      <c r="B1773" s="29"/>
      <c r="C1773" s="29"/>
      <c r="D1773" s="30"/>
      <c r="E1773" s="33"/>
      <c r="F1773" s="88"/>
    </row>
    <row r="1774" spans="2:6" s="6" customFormat="1" ht="13.5">
      <c r="B1774" s="29"/>
      <c r="C1774" s="29"/>
      <c r="D1774" s="30"/>
      <c r="E1774" s="33"/>
      <c r="F1774" s="88"/>
    </row>
    <row r="1775" spans="2:6" s="6" customFormat="1" ht="13.5">
      <c r="B1775" s="29"/>
      <c r="C1775" s="29"/>
      <c r="D1775" s="30"/>
      <c r="E1775" s="33"/>
      <c r="F1775" s="88"/>
    </row>
    <row r="1776" spans="2:6" s="6" customFormat="1" ht="13.5">
      <c r="B1776" s="29"/>
      <c r="C1776" s="29"/>
      <c r="D1776" s="30"/>
      <c r="E1776" s="33"/>
      <c r="F1776" s="88"/>
    </row>
    <row r="1777" spans="2:6" s="6" customFormat="1" ht="13.5">
      <c r="B1777" s="29"/>
      <c r="C1777" s="29"/>
      <c r="D1777" s="30"/>
      <c r="E1777" s="33"/>
      <c r="F1777" s="88"/>
    </row>
    <row r="1778" spans="2:6" s="6" customFormat="1" ht="13.5">
      <c r="B1778" s="29"/>
      <c r="C1778" s="29"/>
      <c r="D1778" s="30"/>
      <c r="E1778" s="33"/>
      <c r="F1778" s="88"/>
    </row>
    <row r="1779" spans="2:6" s="6" customFormat="1" ht="13.5">
      <c r="B1779" s="29"/>
      <c r="C1779" s="29"/>
      <c r="D1779" s="30"/>
      <c r="E1779" s="33"/>
      <c r="F1779" s="88"/>
    </row>
    <row r="1780" spans="2:6" s="6" customFormat="1" ht="13.5">
      <c r="B1780" s="29"/>
      <c r="C1780" s="29"/>
      <c r="D1780" s="30"/>
      <c r="E1780" s="33"/>
      <c r="F1780" s="88"/>
    </row>
    <row r="1781" spans="2:6" s="6" customFormat="1" ht="13.5">
      <c r="B1781" s="29"/>
      <c r="C1781" s="29"/>
      <c r="D1781" s="30"/>
      <c r="E1781" s="33"/>
      <c r="F1781" s="88"/>
    </row>
    <row r="1782" spans="2:6" s="6" customFormat="1" ht="13.5">
      <c r="B1782" s="29"/>
      <c r="C1782" s="29"/>
      <c r="D1782" s="30"/>
      <c r="E1782" s="33"/>
      <c r="F1782" s="88"/>
    </row>
    <row r="1783" spans="2:6" s="6" customFormat="1" ht="13.5">
      <c r="B1783" s="29"/>
      <c r="C1783" s="29"/>
      <c r="D1783" s="30"/>
      <c r="E1783" s="33"/>
      <c r="F1783" s="88"/>
    </row>
    <row r="1784" spans="2:6" s="6" customFormat="1" ht="13.5">
      <c r="B1784" s="29"/>
      <c r="C1784" s="29"/>
      <c r="D1784" s="30"/>
      <c r="E1784" s="33"/>
      <c r="F1784" s="88"/>
    </row>
    <row r="1785" spans="2:6" s="6" customFormat="1" ht="13.5">
      <c r="B1785" s="29"/>
      <c r="C1785" s="29"/>
      <c r="D1785" s="30"/>
      <c r="E1785" s="33"/>
      <c r="F1785" s="88"/>
    </row>
    <row r="1786" spans="2:6" s="6" customFormat="1" ht="13.5">
      <c r="B1786" s="29"/>
      <c r="C1786" s="29"/>
      <c r="D1786" s="30"/>
      <c r="E1786" s="33"/>
      <c r="F1786" s="88"/>
    </row>
    <row r="1787" spans="2:6" s="6" customFormat="1" ht="13.5">
      <c r="B1787" s="29"/>
      <c r="C1787" s="29"/>
      <c r="D1787" s="30"/>
      <c r="E1787" s="33"/>
      <c r="F1787" s="88"/>
    </row>
    <row r="1788" spans="2:6" s="6" customFormat="1" ht="13.5">
      <c r="B1788" s="29"/>
      <c r="C1788" s="29"/>
      <c r="D1788" s="30"/>
      <c r="E1788" s="33"/>
      <c r="F1788" s="88"/>
    </row>
    <row r="1789" spans="2:6" s="6" customFormat="1" ht="13.5">
      <c r="B1789" s="29"/>
      <c r="C1789" s="29"/>
      <c r="D1789" s="30"/>
      <c r="E1789" s="33"/>
      <c r="F1789" s="88"/>
    </row>
    <row r="1790" spans="2:6" s="6" customFormat="1" ht="13.5">
      <c r="B1790" s="29"/>
      <c r="C1790" s="29"/>
      <c r="D1790" s="30"/>
      <c r="E1790" s="33"/>
      <c r="F1790" s="88"/>
    </row>
    <row r="1791" spans="2:6" s="6" customFormat="1" ht="13.5">
      <c r="B1791" s="29"/>
      <c r="C1791" s="29"/>
      <c r="D1791" s="30"/>
      <c r="E1791" s="33"/>
      <c r="F1791" s="88"/>
    </row>
    <row r="1792" spans="2:6" s="6" customFormat="1" ht="13.5">
      <c r="B1792" s="29"/>
      <c r="C1792" s="29"/>
      <c r="D1792" s="30"/>
      <c r="E1792" s="33"/>
      <c r="F1792" s="88"/>
    </row>
    <row r="1793" spans="2:6" s="6" customFormat="1" ht="13.5">
      <c r="B1793" s="29"/>
      <c r="C1793" s="29"/>
      <c r="D1793" s="30"/>
      <c r="E1793" s="33"/>
      <c r="F1793" s="88"/>
    </row>
    <row r="1794" spans="2:6" s="6" customFormat="1" ht="13.5">
      <c r="B1794" s="29"/>
      <c r="C1794" s="29"/>
      <c r="D1794" s="30"/>
      <c r="E1794" s="33"/>
      <c r="F1794" s="88"/>
    </row>
    <row r="1795" spans="2:6" s="6" customFormat="1" ht="13.5">
      <c r="B1795" s="29"/>
      <c r="C1795" s="29"/>
      <c r="D1795" s="30"/>
      <c r="E1795" s="33"/>
      <c r="F1795" s="88"/>
    </row>
    <row r="1796" spans="2:6" s="6" customFormat="1" ht="13.5">
      <c r="B1796" s="29"/>
      <c r="C1796" s="29"/>
      <c r="D1796" s="30"/>
      <c r="E1796" s="33"/>
      <c r="F1796" s="88"/>
    </row>
    <row r="1797" spans="2:6" s="6" customFormat="1" ht="13.5">
      <c r="B1797" s="29"/>
      <c r="C1797" s="29"/>
      <c r="D1797" s="30"/>
      <c r="E1797" s="33"/>
      <c r="F1797" s="88"/>
    </row>
    <row r="1798" spans="2:6" s="6" customFormat="1" ht="13.5">
      <c r="B1798" s="29"/>
      <c r="C1798" s="29"/>
      <c r="D1798" s="30"/>
      <c r="E1798" s="33"/>
      <c r="F1798" s="88"/>
    </row>
    <row r="1799" spans="2:6" s="6" customFormat="1" ht="13.5">
      <c r="B1799" s="29"/>
      <c r="C1799" s="29"/>
      <c r="D1799" s="30"/>
      <c r="E1799" s="33"/>
      <c r="F1799" s="88"/>
    </row>
    <row r="1800" spans="2:6" s="6" customFormat="1" ht="13.5">
      <c r="B1800" s="29"/>
      <c r="C1800" s="29"/>
      <c r="D1800" s="30"/>
      <c r="E1800" s="33"/>
      <c r="F1800" s="88"/>
    </row>
    <row r="1801" spans="2:6" s="6" customFormat="1" ht="13.5">
      <c r="B1801" s="29"/>
      <c r="C1801" s="29"/>
      <c r="D1801" s="30"/>
      <c r="E1801" s="33"/>
      <c r="F1801" s="88"/>
    </row>
    <row r="1802" spans="2:6" s="6" customFormat="1" ht="13.5">
      <c r="B1802" s="29"/>
      <c r="C1802" s="29"/>
      <c r="D1802" s="30"/>
      <c r="E1802" s="33"/>
      <c r="F1802" s="88"/>
    </row>
    <row r="1803" spans="2:6" s="6" customFormat="1" ht="13.5">
      <c r="B1803" s="29"/>
      <c r="C1803" s="29"/>
      <c r="D1803" s="30"/>
      <c r="E1803" s="33"/>
      <c r="F1803" s="88"/>
    </row>
    <row r="1804" spans="2:6" s="6" customFormat="1" ht="13.5">
      <c r="B1804" s="29"/>
      <c r="C1804" s="29"/>
      <c r="D1804" s="30"/>
      <c r="E1804" s="33"/>
      <c r="F1804" s="88"/>
    </row>
    <row r="1805" spans="2:6" s="6" customFormat="1" ht="13.5">
      <c r="B1805" s="29"/>
      <c r="C1805" s="29"/>
      <c r="D1805" s="30"/>
      <c r="E1805" s="33"/>
      <c r="F1805" s="88"/>
    </row>
    <row r="1806" spans="2:6" s="6" customFormat="1" ht="13.5">
      <c r="B1806" s="29"/>
      <c r="C1806" s="29"/>
      <c r="D1806" s="30"/>
      <c r="E1806" s="33"/>
      <c r="F1806" s="88"/>
    </row>
    <row r="1807" spans="2:6" s="6" customFormat="1" ht="13.5">
      <c r="B1807" s="29"/>
      <c r="C1807" s="29"/>
      <c r="D1807" s="30"/>
      <c r="E1807" s="33"/>
      <c r="F1807" s="88"/>
    </row>
    <row r="1808" spans="2:6" s="6" customFormat="1" ht="13.5">
      <c r="B1808" s="29"/>
      <c r="C1808" s="29"/>
      <c r="D1808" s="30"/>
      <c r="E1808" s="33"/>
      <c r="F1808" s="88"/>
    </row>
    <row r="1809" spans="2:6" s="6" customFormat="1" ht="13.5">
      <c r="B1809" s="29"/>
      <c r="C1809" s="29"/>
      <c r="D1809" s="30"/>
      <c r="E1809" s="33"/>
      <c r="F1809" s="88"/>
    </row>
    <row r="1810" spans="2:6" s="6" customFormat="1" ht="13.5">
      <c r="B1810" s="29"/>
      <c r="C1810" s="29"/>
      <c r="D1810" s="30"/>
      <c r="E1810" s="33"/>
      <c r="F1810" s="88"/>
    </row>
    <row r="1811" spans="2:6" s="6" customFormat="1" ht="13.5">
      <c r="B1811" s="29"/>
      <c r="C1811" s="29"/>
      <c r="D1811" s="30"/>
      <c r="E1811" s="33"/>
      <c r="F1811" s="88"/>
    </row>
    <row r="1812" spans="2:6" s="6" customFormat="1" ht="13.5">
      <c r="B1812" s="29"/>
      <c r="C1812" s="29"/>
      <c r="D1812" s="30"/>
      <c r="E1812" s="33"/>
      <c r="F1812" s="88"/>
    </row>
    <row r="1813" spans="2:6" s="6" customFormat="1" ht="13.5">
      <c r="B1813" s="29"/>
      <c r="C1813" s="29"/>
      <c r="D1813" s="30"/>
      <c r="E1813" s="33"/>
      <c r="F1813" s="88"/>
    </row>
    <row r="1814" spans="2:6" s="6" customFormat="1" ht="13.5">
      <c r="B1814" s="29"/>
      <c r="C1814" s="29"/>
      <c r="D1814" s="30"/>
      <c r="E1814" s="33"/>
      <c r="F1814" s="88"/>
    </row>
    <row r="1815" spans="2:6" s="6" customFormat="1" ht="13.5">
      <c r="B1815" s="29"/>
      <c r="C1815" s="29"/>
      <c r="D1815" s="30"/>
      <c r="E1815" s="33"/>
      <c r="F1815" s="88"/>
    </row>
    <row r="1816" spans="2:6" s="6" customFormat="1" ht="13.5">
      <c r="B1816" s="29"/>
      <c r="C1816" s="29"/>
      <c r="D1816" s="30"/>
      <c r="E1816" s="33"/>
      <c r="F1816" s="88"/>
    </row>
    <row r="1817" spans="2:6" s="6" customFormat="1" ht="13.5">
      <c r="B1817" s="29"/>
      <c r="C1817" s="29"/>
      <c r="D1817" s="30"/>
      <c r="E1817" s="33"/>
      <c r="F1817" s="88"/>
    </row>
    <row r="1818" spans="2:6" s="6" customFormat="1" ht="13.5">
      <c r="B1818" s="29"/>
      <c r="C1818" s="29"/>
      <c r="D1818" s="30"/>
      <c r="E1818" s="33"/>
      <c r="F1818" s="88"/>
    </row>
    <row r="1819" spans="2:6" s="6" customFormat="1" ht="13.5">
      <c r="B1819" s="29"/>
      <c r="C1819" s="29"/>
      <c r="D1819" s="30"/>
      <c r="E1819" s="33"/>
      <c r="F1819" s="88"/>
    </row>
    <row r="1820" spans="2:6" s="6" customFormat="1" ht="13.5">
      <c r="B1820" s="29"/>
      <c r="C1820" s="29"/>
      <c r="D1820" s="30"/>
      <c r="E1820" s="33"/>
      <c r="F1820" s="88"/>
    </row>
    <row r="1821" spans="2:6" s="6" customFormat="1" ht="13.5">
      <c r="B1821" s="29"/>
      <c r="C1821" s="29"/>
      <c r="D1821" s="30"/>
      <c r="E1821" s="33"/>
      <c r="F1821" s="88"/>
    </row>
    <row r="1822" spans="2:6" s="6" customFormat="1" ht="13.5">
      <c r="B1822" s="29"/>
      <c r="C1822" s="29"/>
      <c r="D1822" s="30"/>
      <c r="E1822" s="33"/>
      <c r="F1822" s="88"/>
    </row>
    <row r="1823" spans="2:6" s="6" customFormat="1" ht="13.5">
      <c r="B1823" s="29"/>
      <c r="C1823" s="29"/>
      <c r="D1823" s="30"/>
      <c r="E1823" s="33"/>
      <c r="F1823" s="88"/>
    </row>
    <row r="1824" spans="2:6" s="6" customFormat="1" ht="13.5">
      <c r="B1824" s="29"/>
      <c r="C1824" s="29"/>
      <c r="D1824" s="30"/>
      <c r="E1824" s="33"/>
      <c r="F1824" s="88"/>
    </row>
    <row r="1825" spans="2:6" s="6" customFormat="1" ht="13.5">
      <c r="B1825" s="29"/>
      <c r="C1825" s="29"/>
      <c r="D1825" s="30"/>
      <c r="E1825" s="33"/>
      <c r="F1825" s="88"/>
    </row>
    <row r="1826" spans="2:6" s="6" customFormat="1" ht="13.5">
      <c r="B1826" s="29"/>
      <c r="C1826" s="29"/>
      <c r="D1826" s="30"/>
      <c r="E1826" s="33"/>
      <c r="F1826" s="88"/>
    </row>
    <row r="1827" spans="2:6" s="6" customFormat="1" ht="13.5">
      <c r="B1827" s="29"/>
      <c r="C1827" s="29"/>
      <c r="D1827" s="30"/>
      <c r="E1827" s="33"/>
      <c r="F1827" s="88"/>
    </row>
    <row r="1828" spans="2:6" s="6" customFormat="1" ht="13.5">
      <c r="B1828" s="29"/>
      <c r="C1828" s="29"/>
      <c r="D1828" s="30"/>
      <c r="E1828" s="33"/>
      <c r="F1828" s="88"/>
    </row>
    <row r="1829" spans="2:6" s="6" customFormat="1" ht="13.5">
      <c r="B1829" s="29"/>
      <c r="C1829" s="29"/>
      <c r="D1829" s="30"/>
      <c r="E1829" s="33"/>
      <c r="F1829" s="88"/>
    </row>
    <row r="1830" spans="2:6" s="6" customFormat="1" ht="13.5">
      <c r="B1830" s="29"/>
      <c r="C1830" s="29"/>
      <c r="D1830" s="30"/>
      <c r="E1830" s="33"/>
      <c r="F1830" s="88"/>
    </row>
    <row r="1831" spans="2:6" s="6" customFormat="1" ht="13.5">
      <c r="B1831" s="29"/>
      <c r="C1831" s="29"/>
      <c r="D1831" s="30"/>
      <c r="E1831" s="33"/>
      <c r="F1831" s="88"/>
    </row>
    <row r="1832" spans="2:6" s="6" customFormat="1" ht="13.5">
      <c r="B1832" s="29"/>
      <c r="C1832" s="29"/>
      <c r="D1832" s="30"/>
      <c r="E1832" s="33"/>
      <c r="F1832" s="88"/>
    </row>
    <row r="1833" spans="2:6" s="6" customFormat="1" ht="13.5">
      <c r="B1833" s="29"/>
      <c r="C1833" s="29"/>
      <c r="D1833" s="30"/>
      <c r="E1833" s="33"/>
      <c r="F1833" s="88"/>
    </row>
    <row r="1834" spans="2:6" s="6" customFormat="1" ht="13.5">
      <c r="B1834" s="29"/>
      <c r="C1834" s="29"/>
      <c r="D1834" s="30"/>
      <c r="E1834" s="33"/>
      <c r="F1834" s="88"/>
    </row>
    <row r="1835" spans="2:6" s="6" customFormat="1" ht="13.5">
      <c r="B1835" s="29"/>
      <c r="C1835" s="29"/>
      <c r="D1835" s="30"/>
      <c r="E1835" s="33"/>
      <c r="F1835" s="88"/>
    </row>
    <row r="1836" spans="2:6" s="6" customFormat="1" ht="13.5">
      <c r="B1836" s="29"/>
      <c r="C1836" s="29"/>
      <c r="D1836" s="30"/>
      <c r="E1836" s="33"/>
      <c r="F1836" s="88"/>
    </row>
    <row r="1837" spans="2:6" s="6" customFormat="1" ht="13.5">
      <c r="B1837" s="29"/>
      <c r="C1837" s="29"/>
      <c r="D1837" s="30"/>
      <c r="E1837" s="33"/>
      <c r="F1837" s="88"/>
    </row>
    <row r="1838" spans="2:6" s="6" customFormat="1" ht="13.5">
      <c r="B1838" s="29"/>
      <c r="C1838" s="29"/>
      <c r="D1838" s="30"/>
      <c r="E1838" s="33"/>
      <c r="F1838" s="88"/>
    </row>
    <row r="1839" spans="2:6" s="6" customFormat="1" ht="13.5">
      <c r="B1839" s="29"/>
      <c r="C1839" s="29"/>
      <c r="D1839" s="30"/>
      <c r="E1839" s="33"/>
      <c r="F1839" s="88"/>
    </row>
    <row r="1840" spans="2:6" s="6" customFormat="1" ht="13.5">
      <c r="B1840" s="29"/>
      <c r="C1840" s="29"/>
      <c r="D1840" s="30"/>
      <c r="E1840" s="33"/>
      <c r="F1840" s="88"/>
    </row>
    <row r="1841" spans="2:6" s="6" customFormat="1" ht="13.5">
      <c r="B1841" s="29"/>
      <c r="C1841" s="29"/>
      <c r="D1841" s="30"/>
      <c r="E1841" s="33"/>
      <c r="F1841" s="88"/>
    </row>
    <row r="1842" spans="2:6" s="6" customFormat="1" ht="13.5">
      <c r="B1842" s="29"/>
      <c r="C1842" s="29"/>
      <c r="D1842" s="30"/>
      <c r="E1842" s="33"/>
      <c r="F1842" s="88"/>
    </row>
    <row r="1843" spans="2:6" s="6" customFormat="1" ht="13.5">
      <c r="B1843" s="29"/>
      <c r="C1843" s="29"/>
      <c r="D1843" s="30"/>
      <c r="E1843" s="33"/>
      <c r="F1843" s="88"/>
    </row>
    <row r="1844" spans="2:6" s="6" customFormat="1" ht="13.5">
      <c r="B1844" s="29"/>
      <c r="C1844" s="29"/>
      <c r="D1844" s="30"/>
      <c r="E1844" s="33"/>
      <c r="F1844" s="88"/>
    </row>
    <row r="1845" spans="2:6" s="6" customFormat="1" ht="13.5">
      <c r="B1845" s="29"/>
      <c r="C1845" s="29"/>
      <c r="D1845" s="30"/>
      <c r="E1845" s="33"/>
      <c r="F1845" s="88"/>
    </row>
    <row r="1846" spans="2:6" s="6" customFormat="1" ht="13.5">
      <c r="B1846" s="29"/>
      <c r="C1846" s="29"/>
      <c r="D1846" s="30"/>
      <c r="E1846" s="33"/>
      <c r="F1846" s="88"/>
    </row>
    <row r="1847" spans="2:6" s="6" customFormat="1" ht="13.5">
      <c r="B1847" s="29"/>
      <c r="C1847" s="29"/>
      <c r="D1847" s="30"/>
      <c r="E1847" s="33"/>
      <c r="F1847" s="88"/>
    </row>
    <row r="1848" spans="2:6" s="6" customFormat="1" ht="13.5">
      <c r="B1848" s="29"/>
      <c r="C1848" s="29"/>
      <c r="D1848" s="30"/>
      <c r="E1848" s="33"/>
      <c r="F1848" s="88"/>
    </row>
    <row r="1849" spans="2:6" s="6" customFormat="1" ht="13.5">
      <c r="B1849" s="29"/>
      <c r="C1849" s="29"/>
      <c r="D1849" s="30"/>
      <c r="E1849" s="33"/>
      <c r="F1849" s="88"/>
    </row>
    <row r="1850" spans="2:6" s="6" customFormat="1" ht="13.5">
      <c r="B1850" s="29"/>
      <c r="C1850" s="29"/>
      <c r="D1850" s="30"/>
      <c r="E1850" s="33"/>
      <c r="F1850" s="88"/>
    </row>
    <row r="1851" spans="2:6" s="6" customFormat="1" ht="13.5">
      <c r="B1851" s="29"/>
      <c r="C1851" s="29"/>
      <c r="D1851" s="30"/>
      <c r="E1851" s="33"/>
      <c r="F1851" s="88"/>
    </row>
    <row r="1852" spans="2:6" s="6" customFormat="1" ht="13.5">
      <c r="B1852" s="29"/>
      <c r="C1852" s="29"/>
      <c r="D1852" s="30"/>
      <c r="E1852" s="33"/>
      <c r="F1852" s="88"/>
    </row>
    <row r="1853" spans="2:6" s="6" customFormat="1" ht="13.5">
      <c r="B1853" s="29"/>
      <c r="C1853" s="29"/>
      <c r="D1853" s="30"/>
      <c r="E1853" s="33"/>
      <c r="F1853" s="88"/>
    </row>
    <row r="1854" spans="2:6" s="6" customFormat="1" ht="13.5">
      <c r="B1854" s="29"/>
      <c r="C1854" s="29"/>
      <c r="D1854" s="30"/>
      <c r="E1854" s="33"/>
      <c r="F1854" s="88"/>
    </row>
    <row r="1855" spans="2:6" s="6" customFormat="1" ht="13.5">
      <c r="B1855" s="29"/>
      <c r="C1855" s="29"/>
      <c r="D1855" s="30"/>
      <c r="E1855" s="33"/>
      <c r="F1855" s="88"/>
    </row>
    <row r="1856" spans="2:6" s="6" customFormat="1" ht="13.5">
      <c r="B1856" s="29"/>
      <c r="C1856" s="29"/>
      <c r="D1856" s="30"/>
      <c r="E1856" s="33"/>
      <c r="F1856" s="88"/>
    </row>
    <row r="1857" spans="2:6" s="6" customFormat="1" ht="13.5">
      <c r="B1857" s="29"/>
      <c r="C1857" s="29"/>
      <c r="D1857" s="30"/>
      <c r="E1857" s="33"/>
      <c r="F1857" s="88"/>
    </row>
    <row r="1858" spans="2:6" s="6" customFormat="1" ht="13.5">
      <c r="B1858" s="29"/>
      <c r="C1858" s="29"/>
      <c r="D1858" s="30"/>
      <c r="E1858" s="33"/>
      <c r="F1858" s="88"/>
    </row>
    <row r="1859" spans="2:6" s="6" customFormat="1" ht="13.5">
      <c r="B1859" s="29"/>
      <c r="C1859" s="29"/>
      <c r="D1859" s="30"/>
      <c r="E1859" s="33"/>
      <c r="F1859" s="88"/>
    </row>
    <row r="1860" spans="2:6" s="6" customFormat="1" ht="13.5">
      <c r="B1860" s="29"/>
      <c r="C1860" s="29"/>
      <c r="D1860" s="30"/>
      <c r="E1860" s="33"/>
      <c r="F1860" s="88"/>
    </row>
    <row r="1861" spans="2:6" s="6" customFormat="1" ht="13.5">
      <c r="B1861" s="29"/>
      <c r="C1861" s="29"/>
      <c r="D1861" s="30"/>
      <c r="E1861" s="33"/>
      <c r="F1861" s="88"/>
    </row>
    <row r="1862" spans="2:6" s="6" customFormat="1" ht="13.5">
      <c r="B1862" s="29"/>
      <c r="C1862" s="29"/>
      <c r="D1862" s="30"/>
      <c r="E1862" s="33"/>
      <c r="F1862" s="88"/>
    </row>
    <row r="1863" spans="2:6" s="6" customFormat="1" ht="13.5">
      <c r="B1863" s="29"/>
      <c r="C1863" s="29"/>
      <c r="D1863" s="30"/>
      <c r="E1863" s="33"/>
      <c r="F1863" s="88"/>
    </row>
    <row r="1864" spans="2:6" s="6" customFormat="1" ht="13.5">
      <c r="B1864" s="29"/>
      <c r="C1864" s="29"/>
      <c r="D1864" s="30"/>
      <c r="E1864" s="33"/>
      <c r="F1864" s="88"/>
    </row>
    <row r="1865" spans="2:6" s="6" customFormat="1" ht="13.5">
      <c r="B1865" s="29"/>
      <c r="C1865" s="29"/>
      <c r="D1865" s="30"/>
      <c r="E1865" s="33"/>
      <c r="F1865" s="88"/>
    </row>
    <row r="1866" spans="2:6" s="6" customFormat="1" ht="13.5">
      <c r="B1866" s="29"/>
      <c r="C1866" s="29"/>
      <c r="D1866" s="30"/>
      <c r="E1866" s="33"/>
      <c r="F1866" s="88"/>
    </row>
    <row r="1867" spans="2:6" s="6" customFormat="1" ht="13.5">
      <c r="B1867" s="29"/>
      <c r="C1867" s="29"/>
      <c r="D1867" s="30"/>
      <c r="E1867" s="33"/>
      <c r="F1867" s="88"/>
    </row>
    <row r="1868" spans="2:6" s="6" customFormat="1" ht="13.5">
      <c r="B1868" s="29"/>
      <c r="C1868" s="29"/>
      <c r="D1868" s="30"/>
      <c r="E1868" s="33"/>
      <c r="F1868" s="88"/>
    </row>
    <row r="1869" spans="2:6" s="6" customFormat="1" ht="13.5">
      <c r="B1869" s="29"/>
      <c r="C1869" s="29"/>
      <c r="D1869" s="30"/>
      <c r="E1869" s="33"/>
      <c r="F1869" s="88"/>
    </row>
    <row r="1870" spans="2:6" s="6" customFormat="1" ht="13.5">
      <c r="B1870" s="29"/>
      <c r="C1870" s="29"/>
      <c r="D1870" s="30"/>
      <c r="E1870" s="33"/>
      <c r="F1870" s="88"/>
    </row>
    <row r="1871" spans="2:6" s="6" customFormat="1" ht="13.5">
      <c r="B1871" s="29"/>
      <c r="C1871" s="29"/>
      <c r="D1871" s="30"/>
      <c r="E1871" s="33"/>
      <c r="F1871" s="88"/>
    </row>
    <row r="1872" spans="2:6" s="6" customFormat="1" ht="13.5">
      <c r="B1872" s="29"/>
      <c r="C1872" s="29"/>
      <c r="D1872" s="30"/>
      <c r="E1872" s="33"/>
      <c r="F1872" s="88"/>
    </row>
    <row r="1873" spans="2:6" s="6" customFormat="1" ht="13.5">
      <c r="B1873" s="29"/>
      <c r="C1873" s="29"/>
      <c r="D1873" s="30"/>
      <c r="E1873" s="33"/>
      <c r="F1873" s="88"/>
    </row>
    <row r="1874" spans="2:6" s="6" customFormat="1" ht="13.5">
      <c r="B1874" s="29"/>
      <c r="C1874" s="29"/>
      <c r="D1874" s="30"/>
      <c r="E1874" s="33"/>
      <c r="F1874" s="88"/>
    </row>
    <row r="1875" spans="2:6" s="6" customFormat="1" ht="13.5">
      <c r="B1875" s="29"/>
      <c r="C1875" s="29"/>
      <c r="D1875" s="30"/>
      <c r="E1875" s="33"/>
      <c r="F1875" s="88"/>
    </row>
    <row r="1876" spans="2:6" s="6" customFormat="1" ht="13.5">
      <c r="B1876" s="29"/>
      <c r="C1876" s="29"/>
      <c r="D1876" s="30"/>
      <c r="E1876" s="33"/>
      <c r="F1876" s="88"/>
    </row>
    <row r="1877" spans="2:6" s="6" customFormat="1" ht="13.5">
      <c r="B1877" s="29"/>
      <c r="C1877" s="29"/>
      <c r="D1877" s="30"/>
      <c r="E1877" s="33"/>
      <c r="F1877" s="88"/>
    </row>
    <row r="1878" spans="2:6" s="6" customFormat="1" ht="13.5">
      <c r="B1878" s="29"/>
      <c r="C1878" s="29"/>
      <c r="D1878" s="30"/>
      <c r="E1878" s="33"/>
      <c r="F1878" s="88"/>
    </row>
    <row r="1879" spans="2:6" s="6" customFormat="1" ht="13.5">
      <c r="B1879" s="29"/>
      <c r="C1879" s="29"/>
      <c r="D1879" s="30"/>
      <c r="E1879" s="33"/>
      <c r="F1879" s="88"/>
    </row>
    <row r="1880" spans="2:6" s="6" customFormat="1" ht="13.5">
      <c r="B1880" s="29"/>
      <c r="C1880" s="29"/>
      <c r="D1880" s="30"/>
      <c r="E1880" s="33"/>
      <c r="F1880" s="88"/>
    </row>
    <row r="1881" spans="2:6" s="6" customFormat="1" ht="13.5">
      <c r="B1881" s="29"/>
      <c r="C1881" s="29"/>
      <c r="D1881" s="30"/>
      <c r="E1881" s="33"/>
      <c r="F1881" s="88"/>
    </row>
    <row r="1882" spans="2:6" s="6" customFormat="1" ht="13.5">
      <c r="B1882" s="29"/>
      <c r="C1882" s="29"/>
      <c r="D1882" s="30"/>
      <c r="E1882" s="33"/>
      <c r="F1882" s="88"/>
    </row>
    <row r="1883" spans="2:6" s="6" customFormat="1" ht="13.5">
      <c r="B1883" s="29"/>
      <c r="C1883" s="29"/>
      <c r="D1883" s="30"/>
      <c r="E1883" s="33"/>
      <c r="F1883" s="88"/>
    </row>
    <row r="1884" spans="2:6" s="6" customFormat="1" ht="13.5">
      <c r="B1884" s="29"/>
      <c r="C1884" s="29"/>
      <c r="D1884" s="30"/>
      <c r="E1884" s="33"/>
      <c r="F1884" s="88"/>
    </row>
    <row r="1885" spans="2:6" s="6" customFormat="1" ht="13.5">
      <c r="B1885" s="29"/>
      <c r="C1885" s="29"/>
      <c r="D1885" s="30"/>
      <c r="E1885" s="33"/>
      <c r="F1885" s="88"/>
    </row>
    <row r="1886" spans="2:6" s="6" customFormat="1" ht="13.5">
      <c r="B1886" s="29"/>
      <c r="C1886" s="29"/>
      <c r="D1886" s="30"/>
      <c r="E1886" s="33"/>
      <c r="F1886" s="88"/>
    </row>
    <row r="1887" spans="2:6" s="6" customFormat="1" ht="13.5">
      <c r="B1887" s="29"/>
      <c r="C1887" s="29"/>
      <c r="D1887" s="30"/>
      <c r="E1887" s="33"/>
      <c r="F1887" s="88"/>
    </row>
    <row r="1888" spans="2:6" s="6" customFormat="1" ht="13.5">
      <c r="B1888" s="29"/>
      <c r="C1888" s="29"/>
      <c r="D1888" s="30"/>
      <c r="E1888" s="33"/>
      <c r="F1888" s="88"/>
    </row>
    <row r="1889" spans="2:6" s="6" customFormat="1" ht="13.5">
      <c r="B1889" s="29"/>
      <c r="C1889" s="29"/>
      <c r="D1889" s="30"/>
      <c r="E1889" s="33"/>
      <c r="F1889" s="88"/>
    </row>
    <row r="1890" spans="2:6" s="6" customFormat="1" ht="13.5">
      <c r="B1890" s="29"/>
      <c r="C1890" s="29"/>
      <c r="D1890" s="30"/>
      <c r="E1890" s="33"/>
      <c r="F1890" s="88"/>
    </row>
    <row r="1891" spans="2:6" s="6" customFormat="1" ht="13.5">
      <c r="B1891" s="29"/>
      <c r="C1891" s="29"/>
      <c r="D1891" s="30"/>
      <c r="E1891" s="33"/>
      <c r="F1891" s="88"/>
    </row>
    <row r="1892" spans="2:6" s="6" customFormat="1" ht="13.5">
      <c r="B1892" s="29"/>
      <c r="C1892" s="29"/>
      <c r="D1892" s="30"/>
      <c r="E1892" s="33"/>
      <c r="F1892" s="88"/>
    </row>
    <row r="1893" spans="2:6" s="6" customFormat="1" ht="13.5">
      <c r="B1893" s="29"/>
      <c r="C1893" s="29"/>
      <c r="D1893" s="30"/>
      <c r="E1893" s="33"/>
      <c r="F1893" s="88"/>
    </row>
    <row r="1894" spans="2:6" s="6" customFormat="1" ht="13.5">
      <c r="B1894" s="29"/>
      <c r="C1894" s="29"/>
      <c r="D1894" s="30"/>
      <c r="E1894" s="33"/>
      <c r="F1894" s="88"/>
    </row>
    <row r="1895" spans="2:6" s="6" customFormat="1" ht="13.5">
      <c r="B1895" s="29"/>
      <c r="C1895" s="29"/>
      <c r="D1895" s="30"/>
      <c r="E1895" s="33"/>
      <c r="F1895" s="88"/>
    </row>
    <row r="1896" spans="2:6" s="6" customFormat="1" ht="13.5">
      <c r="B1896" s="29"/>
      <c r="C1896" s="29"/>
      <c r="D1896" s="30"/>
      <c r="E1896" s="33"/>
      <c r="F1896" s="88"/>
    </row>
    <row r="1897" spans="2:6" s="6" customFormat="1" ht="13.5">
      <c r="B1897" s="29"/>
      <c r="C1897" s="29"/>
      <c r="D1897" s="30"/>
      <c r="E1897" s="33"/>
      <c r="F1897" s="88"/>
    </row>
    <row r="1898" spans="2:6" s="6" customFormat="1" ht="13.5">
      <c r="B1898" s="29"/>
      <c r="C1898" s="29"/>
      <c r="D1898" s="30"/>
      <c r="E1898" s="33"/>
      <c r="F1898" s="88"/>
    </row>
    <row r="1899" spans="2:6" s="6" customFormat="1" ht="13.5">
      <c r="B1899" s="29"/>
      <c r="C1899" s="29"/>
      <c r="D1899" s="30"/>
      <c r="E1899" s="33"/>
      <c r="F1899" s="88"/>
    </row>
    <row r="1900" spans="2:6" s="6" customFormat="1" ht="13.5">
      <c r="B1900" s="29"/>
      <c r="C1900" s="29"/>
      <c r="D1900" s="30"/>
      <c r="E1900" s="33"/>
      <c r="F1900" s="88"/>
    </row>
    <row r="1901" spans="2:6" s="6" customFormat="1" ht="13.5">
      <c r="B1901" s="29"/>
      <c r="C1901" s="29"/>
      <c r="D1901" s="30"/>
      <c r="E1901" s="33"/>
      <c r="F1901" s="88"/>
    </row>
    <row r="1902" spans="2:6" s="6" customFormat="1" ht="13.5">
      <c r="B1902" s="29"/>
      <c r="C1902" s="29"/>
      <c r="D1902" s="30"/>
      <c r="E1902" s="33"/>
      <c r="F1902" s="88"/>
    </row>
    <row r="1903" spans="2:6" s="6" customFormat="1" ht="13.5">
      <c r="B1903" s="29"/>
      <c r="C1903" s="29"/>
      <c r="D1903" s="30"/>
      <c r="E1903" s="33"/>
      <c r="F1903" s="88"/>
    </row>
    <row r="1904" spans="2:6" s="6" customFormat="1" ht="13.5">
      <c r="B1904" s="29"/>
      <c r="C1904" s="29"/>
      <c r="D1904" s="30"/>
      <c r="E1904" s="33"/>
      <c r="F1904" s="88"/>
    </row>
    <row r="1905" spans="2:6" s="6" customFormat="1" ht="13.5">
      <c r="B1905" s="29"/>
      <c r="C1905" s="29"/>
      <c r="D1905" s="30"/>
      <c r="E1905" s="33"/>
      <c r="F1905" s="88"/>
    </row>
    <row r="1906" spans="2:6" s="6" customFormat="1" ht="13.5">
      <c r="B1906" s="29"/>
      <c r="C1906" s="29"/>
      <c r="D1906" s="30"/>
      <c r="E1906" s="33"/>
      <c r="F1906" s="88"/>
    </row>
    <row r="1907" spans="2:6" s="6" customFormat="1" ht="13.5">
      <c r="B1907" s="29"/>
      <c r="C1907" s="29"/>
      <c r="D1907" s="30"/>
      <c r="E1907" s="33"/>
      <c r="F1907" s="88"/>
    </row>
    <row r="1908" spans="2:6" s="6" customFormat="1" ht="13.5">
      <c r="B1908" s="29"/>
      <c r="C1908" s="29"/>
      <c r="D1908" s="30"/>
      <c r="E1908" s="33"/>
      <c r="F1908" s="88"/>
    </row>
    <row r="1909" spans="2:6" s="6" customFormat="1" ht="13.5">
      <c r="B1909" s="29"/>
      <c r="C1909" s="29"/>
      <c r="D1909" s="30"/>
      <c r="E1909" s="33"/>
      <c r="F1909" s="88"/>
    </row>
    <row r="1910" spans="2:6" s="6" customFormat="1" ht="13.5">
      <c r="B1910" s="29"/>
      <c r="C1910" s="29"/>
      <c r="D1910" s="30"/>
      <c r="E1910" s="33"/>
      <c r="F1910" s="88"/>
    </row>
    <row r="1911" spans="2:6" s="6" customFormat="1" ht="13.5">
      <c r="B1911" s="29"/>
      <c r="C1911" s="29"/>
      <c r="D1911" s="30"/>
      <c r="E1911" s="33"/>
      <c r="F1911" s="88"/>
    </row>
    <row r="1912" spans="2:6" s="6" customFormat="1" ht="13.5">
      <c r="B1912" s="29"/>
      <c r="C1912" s="29"/>
      <c r="D1912" s="30"/>
      <c r="E1912" s="33"/>
      <c r="F1912" s="88"/>
    </row>
    <row r="1913" spans="2:6" s="6" customFormat="1" ht="13.5">
      <c r="B1913" s="29"/>
      <c r="C1913" s="29"/>
      <c r="D1913" s="30"/>
      <c r="E1913" s="33"/>
      <c r="F1913" s="88"/>
    </row>
    <row r="1914" spans="2:6" s="6" customFormat="1" ht="13.5">
      <c r="B1914" s="29"/>
      <c r="C1914" s="29"/>
      <c r="D1914" s="30"/>
      <c r="E1914" s="33"/>
      <c r="F1914" s="88"/>
    </row>
    <row r="1915" spans="2:6" s="6" customFormat="1" ht="13.5">
      <c r="B1915" s="29"/>
      <c r="C1915" s="29"/>
      <c r="D1915" s="30"/>
      <c r="E1915" s="33"/>
      <c r="F1915" s="88"/>
    </row>
    <row r="1916" spans="2:6" s="6" customFormat="1" ht="13.5">
      <c r="B1916" s="29"/>
      <c r="C1916" s="29"/>
      <c r="D1916" s="30"/>
      <c r="E1916" s="33"/>
      <c r="F1916" s="88"/>
    </row>
    <row r="1917" spans="2:6" s="6" customFormat="1" ht="13.5">
      <c r="B1917" s="29"/>
      <c r="C1917" s="29"/>
      <c r="D1917" s="30"/>
      <c r="E1917" s="33"/>
      <c r="F1917" s="88"/>
    </row>
    <row r="1918" spans="2:6" s="6" customFormat="1" ht="13.5">
      <c r="B1918" s="29"/>
      <c r="C1918" s="29"/>
      <c r="D1918" s="30"/>
      <c r="E1918" s="33"/>
      <c r="F1918" s="88"/>
    </row>
    <row r="1919" spans="2:6" s="6" customFormat="1" ht="13.5">
      <c r="B1919" s="29"/>
      <c r="C1919" s="29"/>
      <c r="D1919" s="30"/>
      <c r="E1919" s="33"/>
      <c r="F1919" s="88"/>
    </row>
    <row r="1920" spans="2:6" s="6" customFormat="1" ht="13.5">
      <c r="B1920" s="29"/>
      <c r="C1920" s="29"/>
      <c r="D1920" s="30"/>
      <c r="E1920" s="33"/>
      <c r="F1920" s="88"/>
    </row>
    <row r="1921" spans="2:6" s="6" customFormat="1" ht="13.5">
      <c r="B1921" s="29"/>
      <c r="C1921" s="29"/>
      <c r="D1921" s="30"/>
      <c r="E1921" s="33"/>
      <c r="F1921" s="88"/>
    </row>
    <row r="1922" spans="2:6" s="6" customFormat="1" ht="13.5">
      <c r="B1922" s="29"/>
      <c r="C1922" s="29"/>
      <c r="D1922" s="30"/>
      <c r="E1922" s="33"/>
      <c r="F1922" s="88"/>
    </row>
    <row r="1923" spans="2:6" s="6" customFormat="1" ht="13.5">
      <c r="B1923" s="29"/>
      <c r="C1923" s="29"/>
      <c r="D1923" s="30"/>
      <c r="E1923" s="33"/>
      <c r="F1923" s="88"/>
    </row>
    <row r="1924" spans="2:6" s="6" customFormat="1" ht="13.5">
      <c r="B1924" s="29"/>
      <c r="C1924" s="29"/>
      <c r="D1924" s="30"/>
      <c r="E1924" s="33"/>
      <c r="F1924" s="88"/>
    </row>
    <row r="1925" spans="2:6" s="6" customFormat="1" ht="13.5">
      <c r="B1925" s="29"/>
      <c r="C1925" s="29"/>
      <c r="D1925" s="30"/>
      <c r="E1925" s="33"/>
      <c r="F1925" s="88"/>
    </row>
    <row r="1926" spans="2:6" s="6" customFormat="1" ht="13.5">
      <c r="B1926" s="29"/>
      <c r="C1926" s="29"/>
      <c r="D1926" s="30"/>
      <c r="E1926" s="33"/>
      <c r="F1926" s="88"/>
    </row>
    <row r="1927" spans="2:6" s="6" customFormat="1" ht="13.5">
      <c r="B1927" s="29"/>
      <c r="C1927" s="29"/>
      <c r="D1927" s="30"/>
      <c r="E1927" s="33"/>
      <c r="F1927" s="88"/>
    </row>
    <row r="1928" spans="2:6" s="6" customFormat="1" ht="13.5">
      <c r="B1928" s="29"/>
      <c r="C1928" s="29"/>
      <c r="D1928" s="30"/>
      <c r="E1928" s="33"/>
      <c r="F1928" s="88"/>
    </row>
    <row r="1929" spans="2:6" s="6" customFormat="1" ht="13.5">
      <c r="B1929" s="29"/>
      <c r="C1929" s="29"/>
      <c r="D1929" s="30"/>
      <c r="E1929" s="33"/>
      <c r="F1929" s="88"/>
    </row>
    <row r="1930" spans="2:6" s="6" customFormat="1" ht="13.5">
      <c r="B1930" s="29"/>
      <c r="C1930" s="29"/>
      <c r="D1930" s="30"/>
      <c r="E1930" s="33"/>
      <c r="F1930" s="88"/>
    </row>
    <row r="1931" spans="2:6" s="6" customFormat="1" ht="13.5">
      <c r="B1931" s="29"/>
      <c r="C1931" s="29"/>
      <c r="D1931" s="30"/>
      <c r="E1931" s="33"/>
      <c r="F1931" s="88"/>
    </row>
    <row r="1932" spans="2:6" s="6" customFormat="1" ht="13.5">
      <c r="B1932" s="29"/>
      <c r="C1932" s="29"/>
      <c r="D1932" s="30"/>
      <c r="E1932" s="33"/>
      <c r="F1932" s="88"/>
    </row>
    <row r="1933" spans="2:6" s="6" customFormat="1" ht="13.5">
      <c r="B1933" s="29"/>
      <c r="C1933" s="29"/>
      <c r="D1933" s="30"/>
      <c r="E1933" s="33"/>
      <c r="F1933" s="88"/>
    </row>
    <row r="1934" spans="2:6" s="6" customFormat="1" ht="13.5">
      <c r="B1934" s="29"/>
      <c r="C1934" s="29"/>
      <c r="D1934" s="30"/>
      <c r="E1934" s="33"/>
      <c r="F1934" s="88"/>
    </row>
    <row r="1935" spans="2:6" s="6" customFormat="1" ht="13.5">
      <c r="B1935" s="29"/>
      <c r="C1935" s="29"/>
      <c r="D1935" s="30"/>
      <c r="E1935" s="33"/>
      <c r="F1935" s="88"/>
    </row>
    <row r="1936" spans="2:6" s="6" customFormat="1" ht="13.5">
      <c r="B1936" s="29"/>
      <c r="C1936" s="29"/>
      <c r="D1936" s="30"/>
      <c r="E1936" s="33"/>
      <c r="F1936" s="88"/>
    </row>
    <row r="1937" spans="2:6" s="6" customFormat="1" ht="13.5">
      <c r="B1937" s="29"/>
      <c r="C1937" s="29"/>
      <c r="D1937" s="30"/>
      <c r="E1937" s="33"/>
      <c r="F1937" s="88"/>
    </row>
    <row r="1938" spans="2:6" s="6" customFormat="1" ht="13.5">
      <c r="B1938" s="29"/>
      <c r="C1938" s="29"/>
      <c r="D1938" s="30"/>
      <c r="E1938" s="33"/>
      <c r="F1938" s="88"/>
    </row>
    <row r="1939" spans="2:6" s="6" customFormat="1" ht="13.5">
      <c r="B1939" s="29"/>
      <c r="C1939" s="29"/>
      <c r="D1939" s="30"/>
      <c r="E1939" s="33"/>
      <c r="F1939" s="88"/>
    </row>
    <row r="1940" spans="2:6" s="6" customFormat="1" ht="13.5">
      <c r="B1940" s="29"/>
      <c r="C1940" s="29"/>
      <c r="D1940" s="30"/>
      <c r="E1940" s="33"/>
      <c r="F1940" s="88"/>
    </row>
    <row r="1941" spans="2:6" s="6" customFormat="1" ht="13.5">
      <c r="B1941" s="29"/>
      <c r="C1941" s="29"/>
      <c r="D1941" s="30"/>
      <c r="E1941" s="33"/>
      <c r="F1941" s="88"/>
    </row>
    <row r="1942" spans="2:6" s="6" customFormat="1" ht="13.5">
      <c r="B1942" s="29"/>
      <c r="C1942" s="29"/>
      <c r="D1942" s="30"/>
      <c r="E1942" s="33"/>
      <c r="F1942" s="88"/>
    </row>
    <row r="1943" spans="2:6" s="6" customFormat="1" ht="13.5">
      <c r="B1943" s="29"/>
      <c r="C1943" s="29"/>
      <c r="D1943" s="30"/>
      <c r="E1943" s="33"/>
      <c r="F1943" s="88"/>
    </row>
    <row r="1944" spans="2:6" s="6" customFormat="1" ht="13.5">
      <c r="B1944" s="29"/>
      <c r="C1944" s="29"/>
      <c r="D1944" s="30"/>
      <c r="E1944" s="33"/>
      <c r="F1944" s="88"/>
    </row>
    <row r="1945" spans="2:6" s="6" customFormat="1" ht="13.5">
      <c r="B1945" s="29"/>
      <c r="C1945" s="29"/>
      <c r="D1945" s="30"/>
      <c r="E1945" s="33"/>
      <c r="F1945" s="88"/>
    </row>
    <row r="1946" spans="2:6" s="6" customFormat="1" ht="13.5">
      <c r="B1946" s="29"/>
      <c r="C1946" s="29"/>
      <c r="D1946" s="30"/>
      <c r="E1946" s="33"/>
      <c r="F1946" s="88"/>
    </row>
    <row r="1947" spans="2:6" s="6" customFormat="1" ht="13.5">
      <c r="B1947" s="29"/>
      <c r="C1947" s="29"/>
      <c r="D1947" s="30"/>
      <c r="E1947" s="33"/>
      <c r="F1947" s="88"/>
    </row>
    <row r="1948" spans="2:6" s="6" customFormat="1" ht="13.5">
      <c r="B1948" s="29"/>
      <c r="C1948" s="29"/>
      <c r="D1948" s="30"/>
      <c r="E1948" s="33"/>
      <c r="F1948" s="88"/>
    </row>
    <row r="1949" spans="2:6" s="6" customFormat="1" ht="13.5">
      <c r="B1949" s="29"/>
      <c r="C1949" s="29"/>
      <c r="D1949" s="30"/>
      <c r="E1949" s="33"/>
      <c r="F1949" s="88"/>
    </row>
    <row r="1950" spans="2:6" s="6" customFormat="1" ht="13.5">
      <c r="B1950" s="29"/>
      <c r="C1950" s="29"/>
      <c r="D1950" s="30"/>
      <c r="E1950" s="33"/>
      <c r="F1950" s="88"/>
    </row>
    <row r="1951" spans="2:6" s="6" customFormat="1" ht="13.5">
      <c r="B1951" s="29"/>
      <c r="C1951" s="29"/>
      <c r="D1951" s="30"/>
      <c r="E1951" s="33"/>
      <c r="F1951" s="88"/>
    </row>
    <row r="1952" spans="2:6" s="6" customFormat="1" ht="13.5">
      <c r="B1952" s="29"/>
      <c r="C1952" s="29"/>
      <c r="D1952" s="30"/>
      <c r="E1952" s="33"/>
      <c r="F1952" s="88"/>
    </row>
    <row r="1953" spans="2:6" s="6" customFormat="1" ht="13.5">
      <c r="B1953" s="29"/>
      <c r="C1953" s="29"/>
      <c r="D1953" s="30"/>
      <c r="E1953" s="33"/>
      <c r="F1953" s="88"/>
    </row>
    <row r="1954" spans="2:6" s="6" customFormat="1" ht="13.5">
      <c r="B1954" s="29"/>
      <c r="C1954" s="29"/>
      <c r="D1954" s="30"/>
      <c r="E1954" s="33"/>
      <c r="F1954" s="88"/>
    </row>
    <row r="1955" spans="2:6" s="6" customFormat="1" ht="13.5">
      <c r="B1955" s="29"/>
      <c r="C1955" s="29"/>
      <c r="D1955" s="30"/>
      <c r="E1955" s="33"/>
      <c r="F1955" s="88"/>
    </row>
    <row r="1956" spans="2:6" s="6" customFormat="1" ht="13.5">
      <c r="B1956" s="29"/>
      <c r="C1956" s="29"/>
      <c r="D1956" s="30"/>
      <c r="E1956" s="33"/>
      <c r="F1956" s="88"/>
    </row>
    <row r="1957" spans="2:6" s="6" customFormat="1" ht="13.5">
      <c r="B1957" s="29"/>
      <c r="C1957" s="29"/>
      <c r="D1957" s="30"/>
      <c r="E1957" s="33"/>
      <c r="F1957" s="88"/>
    </row>
    <row r="1958" spans="2:6" s="6" customFormat="1" ht="13.5">
      <c r="B1958" s="29"/>
      <c r="C1958" s="29"/>
      <c r="D1958" s="30"/>
      <c r="E1958" s="33"/>
      <c r="F1958" s="88"/>
    </row>
    <row r="1959" spans="2:6" s="6" customFormat="1" ht="13.5">
      <c r="B1959" s="29"/>
      <c r="C1959" s="29"/>
      <c r="D1959" s="30"/>
      <c r="E1959" s="33"/>
      <c r="F1959" s="88"/>
    </row>
    <row r="1960" spans="2:6" s="6" customFormat="1" ht="13.5">
      <c r="B1960" s="29"/>
      <c r="C1960" s="29"/>
      <c r="D1960" s="30"/>
      <c r="E1960" s="33"/>
      <c r="F1960" s="88"/>
    </row>
    <row r="1961" spans="2:6" s="6" customFormat="1" ht="13.5">
      <c r="B1961" s="29"/>
      <c r="C1961" s="29"/>
      <c r="D1961" s="30"/>
      <c r="E1961" s="33"/>
      <c r="F1961" s="88"/>
    </row>
    <row r="1962" spans="2:6" s="6" customFormat="1" ht="13.5">
      <c r="B1962" s="29"/>
      <c r="C1962" s="29"/>
      <c r="D1962" s="30"/>
      <c r="E1962" s="33"/>
      <c r="F1962" s="88"/>
    </row>
    <row r="1963" spans="2:6" s="6" customFormat="1" ht="13.5">
      <c r="B1963" s="29"/>
      <c r="C1963" s="29"/>
      <c r="D1963" s="30"/>
      <c r="E1963" s="33"/>
      <c r="F1963" s="88"/>
    </row>
    <row r="1964" spans="2:6" s="6" customFormat="1" ht="13.5">
      <c r="B1964" s="29"/>
      <c r="C1964" s="29"/>
      <c r="D1964" s="30"/>
      <c r="E1964" s="33"/>
      <c r="F1964" s="88"/>
    </row>
    <row r="1965" spans="2:6" s="6" customFormat="1" ht="13.5">
      <c r="B1965" s="29"/>
      <c r="C1965" s="29"/>
      <c r="D1965" s="30"/>
      <c r="E1965" s="33"/>
      <c r="F1965" s="88"/>
    </row>
    <row r="1966" spans="2:6" s="6" customFormat="1" ht="13.5">
      <c r="B1966" s="29"/>
      <c r="C1966" s="29"/>
      <c r="D1966" s="30"/>
      <c r="E1966" s="33"/>
      <c r="F1966" s="88"/>
    </row>
    <row r="1967" spans="2:6" s="6" customFormat="1" ht="13.5">
      <c r="B1967" s="29"/>
      <c r="C1967" s="29"/>
      <c r="D1967" s="30"/>
      <c r="E1967" s="33"/>
      <c r="F1967" s="88"/>
    </row>
    <row r="1968" spans="2:6" s="6" customFormat="1" ht="13.5">
      <c r="B1968" s="29"/>
      <c r="C1968" s="29"/>
      <c r="D1968" s="30"/>
      <c r="E1968" s="33"/>
      <c r="F1968" s="88"/>
    </row>
    <row r="1969" spans="2:6" s="6" customFormat="1" ht="13.5">
      <c r="B1969" s="29"/>
      <c r="C1969" s="29"/>
      <c r="D1969" s="30"/>
      <c r="E1969" s="33"/>
      <c r="F1969" s="88"/>
    </row>
    <row r="1970" spans="2:6" s="6" customFormat="1" ht="13.5">
      <c r="B1970" s="29"/>
      <c r="C1970" s="29"/>
      <c r="D1970" s="30"/>
      <c r="E1970" s="33"/>
      <c r="F1970" s="88"/>
    </row>
    <row r="1971" spans="2:6" s="6" customFormat="1" ht="13.5">
      <c r="B1971" s="29"/>
      <c r="C1971" s="29"/>
      <c r="D1971" s="30"/>
      <c r="E1971" s="33"/>
      <c r="F1971" s="88"/>
    </row>
    <row r="1972" spans="2:6" s="6" customFormat="1" ht="13.5">
      <c r="B1972" s="29"/>
      <c r="C1972" s="29"/>
      <c r="D1972" s="30"/>
      <c r="E1972" s="33"/>
      <c r="F1972" s="88"/>
    </row>
    <row r="1973" spans="2:6" s="6" customFormat="1" ht="13.5">
      <c r="B1973" s="29"/>
      <c r="C1973" s="29"/>
      <c r="D1973" s="30"/>
      <c r="E1973" s="33"/>
      <c r="F1973" s="88"/>
    </row>
    <row r="1974" spans="2:6" s="6" customFormat="1" ht="13.5">
      <c r="B1974" s="29"/>
      <c r="C1974" s="29"/>
      <c r="D1974" s="30"/>
      <c r="E1974" s="33"/>
      <c r="F1974" s="88"/>
    </row>
    <row r="1975" spans="2:6" s="6" customFormat="1" ht="13.5">
      <c r="B1975" s="29"/>
      <c r="C1975" s="29"/>
      <c r="D1975" s="30"/>
      <c r="E1975" s="33"/>
      <c r="F1975" s="88"/>
    </row>
    <row r="1976" spans="2:6" s="6" customFormat="1" ht="13.5">
      <c r="B1976" s="29"/>
      <c r="C1976" s="29"/>
      <c r="D1976" s="30"/>
      <c r="E1976" s="33"/>
      <c r="F1976" s="88"/>
    </row>
    <row r="1977" spans="2:6" s="6" customFormat="1" ht="13.5">
      <c r="B1977" s="29"/>
      <c r="C1977" s="29"/>
      <c r="D1977" s="30"/>
      <c r="E1977" s="33"/>
      <c r="F1977" s="88"/>
    </row>
    <row r="1978" spans="2:6" s="6" customFormat="1" ht="13.5">
      <c r="B1978" s="29"/>
      <c r="C1978" s="29"/>
      <c r="D1978" s="30"/>
      <c r="E1978" s="33"/>
      <c r="F1978" s="88"/>
    </row>
    <row r="1979" spans="2:6" s="6" customFormat="1" ht="13.5">
      <c r="B1979" s="29"/>
      <c r="C1979" s="29"/>
      <c r="D1979" s="30"/>
      <c r="E1979" s="33"/>
      <c r="F1979" s="88"/>
    </row>
    <row r="1980" spans="2:6" s="6" customFormat="1" ht="13.5">
      <c r="B1980" s="29"/>
      <c r="C1980" s="29"/>
      <c r="D1980" s="30"/>
      <c r="E1980" s="33"/>
      <c r="F1980" s="88"/>
    </row>
    <row r="1981" spans="2:6" s="6" customFormat="1" ht="13.5">
      <c r="B1981" s="29"/>
      <c r="C1981" s="29"/>
      <c r="D1981" s="30"/>
      <c r="E1981" s="33"/>
      <c r="F1981" s="88"/>
    </row>
    <row r="1982" spans="2:6" s="6" customFormat="1" ht="13.5">
      <c r="B1982" s="29"/>
      <c r="C1982" s="29"/>
      <c r="D1982" s="30"/>
      <c r="E1982" s="33"/>
      <c r="F1982" s="88"/>
    </row>
    <row r="1983" spans="2:6" s="6" customFormat="1" ht="13.5">
      <c r="B1983" s="29"/>
      <c r="C1983" s="29"/>
      <c r="D1983" s="30"/>
      <c r="E1983" s="33"/>
      <c r="F1983" s="88"/>
    </row>
    <row r="1984" spans="2:6" s="6" customFormat="1" ht="13.5">
      <c r="B1984" s="29"/>
      <c r="C1984" s="29"/>
      <c r="D1984" s="30"/>
      <c r="E1984" s="33"/>
      <c r="F1984" s="88"/>
    </row>
    <row r="1985" spans="2:6" s="6" customFormat="1" ht="13.5">
      <c r="B1985" s="29"/>
      <c r="C1985" s="29"/>
      <c r="D1985" s="30"/>
      <c r="E1985" s="33"/>
      <c r="F1985" s="88"/>
    </row>
    <row r="1986" spans="2:6" s="6" customFormat="1" ht="13.5">
      <c r="B1986" s="29"/>
      <c r="C1986" s="29"/>
      <c r="D1986" s="30"/>
      <c r="E1986" s="33"/>
      <c r="F1986" s="88"/>
    </row>
    <row r="1987" spans="2:6" s="6" customFormat="1" ht="13.5">
      <c r="B1987" s="29"/>
      <c r="C1987" s="29"/>
      <c r="D1987" s="30"/>
      <c r="E1987" s="33"/>
      <c r="F1987" s="88"/>
    </row>
    <row r="1988" spans="2:6" s="6" customFormat="1" ht="13.5">
      <c r="B1988" s="29"/>
      <c r="C1988" s="29"/>
      <c r="D1988" s="30"/>
      <c r="E1988" s="33"/>
      <c r="F1988" s="88"/>
    </row>
    <row r="1989" spans="2:6" s="6" customFormat="1" ht="13.5">
      <c r="B1989" s="29"/>
      <c r="C1989" s="29"/>
      <c r="D1989" s="30"/>
      <c r="E1989" s="33"/>
      <c r="F1989" s="88"/>
    </row>
    <row r="1990" spans="2:6" s="6" customFormat="1" ht="13.5">
      <c r="B1990" s="29"/>
      <c r="C1990" s="29"/>
      <c r="D1990" s="30"/>
      <c r="E1990" s="33"/>
      <c r="F1990" s="88"/>
    </row>
    <row r="1991" spans="2:6" s="6" customFormat="1" ht="13.5">
      <c r="B1991" s="29"/>
      <c r="C1991" s="29"/>
      <c r="D1991" s="30"/>
      <c r="E1991" s="33"/>
      <c r="F1991" s="88"/>
    </row>
    <row r="1992" spans="2:6" s="6" customFormat="1" ht="13.5">
      <c r="B1992" s="29"/>
      <c r="C1992" s="29"/>
      <c r="D1992" s="30"/>
      <c r="E1992" s="33"/>
      <c r="F1992" s="88"/>
    </row>
    <row r="1993" spans="2:6" s="6" customFormat="1" ht="13.5">
      <c r="B1993" s="29"/>
      <c r="C1993" s="29"/>
      <c r="D1993" s="30"/>
      <c r="E1993" s="33"/>
      <c r="F1993" s="88"/>
    </row>
    <row r="1994" spans="2:6" s="6" customFormat="1" ht="13.5">
      <c r="B1994" s="29"/>
      <c r="C1994" s="29"/>
      <c r="D1994" s="30"/>
      <c r="E1994" s="33"/>
      <c r="F1994" s="88"/>
    </row>
    <row r="1995" spans="2:6" s="6" customFormat="1" ht="13.5">
      <c r="B1995" s="29"/>
      <c r="C1995" s="29"/>
      <c r="D1995" s="30"/>
      <c r="E1995" s="33"/>
      <c r="F1995" s="88"/>
    </row>
    <row r="1996" spans="2:6" s="6" customFormat="1" ht="13.5">
      <c r="B1996" s="29"/>
      <c r="C1996" s="29"/>
      <c r="D1996" s="30"/>
      <c r="E1996" s="33"/>
      <c r="F1996" s="88"/>
    </row>
    <row r="1997" spans="2:6" s="6" customFormat="1" ht="13.5">
      <c r="B1997" s="29"/>
      <c r="C1997" s="29"/>
      <c r="D1997" s="30"/>
      <c r="E1997" s="33"/>
      <c r="F1997" s="88"/>
    </row>
    <row r="1998" spans="2:6" s="6" customFormat="1" ht="13.5">
      <c r="B1998" s="29"/>
      <c r="C1998" s="29"/>
      <c r="D1998" s="30"/>
      <c r="E1998" s="33"/>
      <c r="F1998" s="88"/>
    </row>
    <row r="1999" spans="2:6" s="6" customFormat="1" ht="13.5">
      <c r="B1999" s="29"/>
      <c r="C1999" s="29"/>
      <c r="D1999" s="30"/>
      <c r="E1999" s="33"/>
      <c r="F1999" s="88"/>
    </row>
    <row r="2000" spans="2:6" s="6" customFormat="1" ht="13.5">
      <c r="B2000" s="29"/>
      <c r="C2000" s="29"/>
      <c r="D2000" s="30"/>
      <c r="E2000" s="33"/>
      <c r="F2000" s="88"/>
    </row>
    <row r="2001" spans="2:6" s="6" customFormat="1" ht="13.5">
      <c r="B2001" s="29"/>
      <c r="C2001" s="29"/>
      <c r="D2001" s="30"/>
      <c r="E2001" s="33"/>
      <c r="F2001" s="88"/>
    </row>
    <row r="2002" spans="2:6" s="6" customFormat="1" ht="13.5">
      <c r="B2002" s="29"/>
      <c r="C2002" s="29"/>
      <c r="D2002" s="30"/>
      <c r="E2002" s="33"/>
      <c r="F2002" s="88"/>
    </row>
    <row r="2003" spans="2:6" s="6" customFormat="1" ht="13.5">
      <c r="B2003" s="29"/>
      <c r="C2003" s="29"/>
      <c r="D2003" s="30"/>
      <c r="E2003" s="33"/>
      <c r="F2003" s="88"/>
    </row>
    <row r="2004" spans="2:6" s="6" customFormat="1" ht="13.5">
      <c r="B2004" s="29"/>
      <c r="C2004" s="29"/>
      <c r="D2004" s="30"/>
      <c r="E2004" s="33"/>
      <c r="F2004" s="88"/>
    </row>
    <row r="2005" spans="2:6" s="6" customFormat="1" ht="13.5">
      <c r="B2005" s="29"/>
      <c r="C2005" s="29"/>
      <c r="D2005" s="30"/>
      <c r="E2005" s="33"/>
      <c r="F2005" s="88"/>
    </row>
    <row r="2006" spans="2:6" s="6" customFormat="1" ht="13.5">
      <c r="B2006" s="29"/>
      <c r="C2006" s="29"/>
      <c r="D2006" s="30"/>
      <c r="E2006" s="33"/>
      <c r="F2006" s="88"/>
    </row>
    <row r="2007" spans="2:6" s="6" customFormat="1" ht="13.5">
      <c r="B2007" s="29"/>
      <c r="C2007" s="29"/>
      <c r="D2007" s="30"/>
      <c r="E2007" s="33"/>
      <c r="F2007" s="88"/>
    </row>
    <row r="2008" spans="2:6" s="6" customFormat="1" ht="13.5">
      <c r="B2008" s="29"/>
      <c r="C2008" s="29"/>
      <c r="D2008" s="30"/>
      <c r="E2008" s="33"/>
      <c r="F2008" s="88"/>
    </row>
    <row r="2009" spans="2:6" s="6" customFormat="1" ht="13.5">
      <c r="B2009" s="29"/>
      <c r="C2009" s="29"/>
      <c r="D2009" s="30"/>
      <c r="E2009" s="33"/>
      <c r="F2009" s="88"/>
    </row>
    <row r="2010" spans="2:6" s="6" customFormat="1" ht="13.5">
      <c r="B2010" s="29"/>
      <c r="C2010" s="29"/>
      <c r="D2010" s="30"/>
      <c r="E2010" s="33"/>
      <c r="F2010" s="88"/>
    </row>
    <row r="2011" spans="2:6" s="6" customFormat="1" ht="13.5">
      <c r="B2011" s="29"/>
      <c r="C2011" s="29"/>
      <c r="D2011" s="30"/>
      <c r="E2011" s="33"/>
      <c r="F2011" s="88"/>
    </row>
    <row r="2012" spans="2:6" s="6" customFormat="1" ht="13.5">
      <c r="B2012" s="29"/>
      <c r="C2012" s="29"/>
      <c r="D2012" s="30"/>
      <c r="E2012" s="33"/>
      <c r="F2012" s="88"/>
    </row>
    <row r="2013" spans="2:6" s="6" customFormat="1" ht="13.5">
      <c r="B2013" s="29"/>
      <c r="C2013" s="29"/>
      <c r="D2013" s="30"/>
      <c r="E2013" s="33"/>
      <c r="F2013" s="88"/>
    </row>
    <row r="2014" spans="2:6" s="6" customFormat="1" ht="13.5">
      <c r="B2014" s="29"/>
      <c r="C2014" s="29"/>
      <c r="D2014" s="30"/>
      <c r="E2014" s="33"/>
      <c r="F2014" s="88"/>
    </row>
    <row r="2015" spans="2:6" s="6" customFormat="1" ht="13.5">
      <c r="B2015" s="29"/>
      <c r="C2015" s="29"/>
      <c r="D2015" s="30"/>
      <c r="E2015" s="33"/>
      <c r="F2015" s="88"/>
    </row>
    <row r="2016" spans="2:6" s="6" customFormat="1" ht="13.5">
      <c r="B2016" s="29"/>
      <c r="C2016" s="29"/>
      <c r="D2016" s="30"/>
      <c r="E2016" s="33"/>
      <c r="F2016" s="88"/>
    </row>
    <row r="2017" spans="2:6" s="6" customFormat="1" ht="13.5">
      <c r="B2017" s="29"/>
      <c r="C2017" s="29"/>
      <c r="D2017" s="30"/>
      <c r="E2017" s="33"/>
      <c r="F2017" s="88"/>
    </row>
    <row r="2018" spans="2:6" s="6" customFormat="1" ht="13.5">
      <c r="B2018" s="29"/>
      <c r="C2018" s="29"/>
      <c r="D2018" s="30"/>
      <c r="E2018" s="33"/>
      <c r="F2018" s="88"/>
    </row>
    <row r="2019" spans="2:6" s="6" customFormat="1" ht="13.5">
      <c r="B2019" s="29"/>
      <c r="C2019" s="29"/>
      <c r="D2019" s="30"/>
      <c r="E2019" s="33"/>
      <c r="F2019" s="88"/>
    </row>
    <row r="2020" spans="2:6" s="6" customFormat="1" ht="13.5">
      <c r="B2020" s="29"/>
      <c r="C2020" s="29"/>
      <c r="D2020" s="30"/>
      <c r="E2020" s="33"/>
      <c r="F2020" s="88"/>
    </row>
    <row r="2021" spans="2:6" s="6" customFormat="1" ht="13.5">
      <c r="B2021" s="29"/>
      <c r="C2021" s="29"/>
      <c r="D2021" s="30"/>
      <c r="E2021" s="33"/>
      <c r="F2021" s="88"/>
    </row>
    <row r="2022" spans="2:6" s="6" customFormat="1" ht="13.5">
      <c r="B2022" s="29"/>
      <c r="C2022" s="29"/>
      <c r="D2022" s="30"/>
      <c r="E2022" s="33"/>
      <c r="F2022" s="88"/>
    </row>
    <row r="2023" spans="2:6" s="6" customFormat="1" ht="13.5">
      <c r="B2023" s="29"/>
      <c r="C2023" s="29"/>
      <c r="D2023" s="30"/>
      <c r="E2023" s="33"/>
      <c r="F2023" s="88"/>
    </row>
    <row r="2024" spans="2:6" s="6" customFormat="1" ht="13.5">
      <c r="B2024" s="29"/>
      <c r="C2024" s="29"/>
      <c r="D2024" s="30"/>
      <c r="E2024" s="33"/>
      <c r="F2024" s="88"/>
    </row>
    <row r="2025" spans="2:6" s="6" customFormat="1" ht="13.5">
      <c r="B2025" s="29"/>
      <c r="C2025" s="29"/>
      <c r="D2025" s="30"/>
      <c r="E2025" s="33"/>
      <c r="F2025" s="88"/>
    </row>
    <row r="2026" spans="2:6" s="6" customFormat="1" ht="13.5">
      <c r="B2026" s="29"/>
      <c r="C2026" s="29"/>
      <c r="D2026" s="30"/>
      <c r="E2026" s="33"/>
      <c r="F2026" s="88"/>
    </row>
    <row r="2027" spans="2:6" s="6" customFormat="1" ht="13.5">
      <c r="B2027" s="29"/>
      <c r="C2027" s="29"/>
      <c r="D2027" s="30"/>
      <c r="E2027" s="33"/>
      <c r="F2027" s="88"/>
    </row>
    <row r="2028" spans="2:6" s="6" customFormat="1" ht="13.5">
      <c r="B2028" s="29"/>
      <c r="C2028" s="29"/>
      <c r="D2028" s="30"/>
      <c r="E2028" s="33"/>
      <c r="F2028" s="88"/>
    </row>
    <row r="2029" spans="2:6" s="6" customFormat="1" ht="13.5">
      <c r="B2029" s="29"/>
      <c r="C2029" s="29"/>
      <c r="D2029" s="30"/>
      <c r="E2029" s="33"/>
      <c r="F2029" s="88"/>
    </row>
    <row r="2030" spans="2:6" s="6" customFormat="1" ht="13.5">
      <c r="B2030" s="29"/>
      <c r="C2030" s="29"/>
      <c r="D2030" s="30"/>
      <c r="E2030" s="33"/>
      <c r="F2030" s="88"/>
    </row>
    <row r="2031" spans="2:6" s="6" customFormat="1" ht="13.5">
      <c r="B2031" s="29"/>
      <c r="C2031" s="29"/>
      <c r="D2031" s="30"/>
      <c r="E2031" s="33"/>
      <c r="F2031" s="88"/>
    </row>
    <row r="2032" spans="2:6" s="6" customFormat="1" ht="13.5">
      <c r="B2032" s="29"/>
      <c r="C2032" s="29"/>
      <c r="D2032" s="30"/>
      <c r="E2032" s="33"/>
      <c r="F2032" s="88"/>
    </row>
    <row r="2033" spans="2:6" s="6" customFormat="1" ht="13.5">
      <c r="B2033" s="29"/>
      <c r="C2033" s="29"/>
      <c r="D2033" s="30"/>
      <c r="E2033" s="33"/>
      <c r="F2033" s="88"/>
    </row>
    <row r="2034" spans="2:6" s="6" customFormat="1" ht="13.5">
      <c r="B2034" s="29"/>
      <c r="C2034" s="29"/>
      <c r="D2034" s="30"/>
      <c r="E2034" s="33"/>
      <c r="F2034" s="88"/>
    </row>
    <row r="2035" spans="2:6" s="6" customFormat="1" ht="13.5">
      <c r="B2035" s="29"/>
      <c r="C2035" s="29"/>
      <c r="D2035" s="30"/>
      <c r="E2035" s="33"/>
      <c r="F2035" s="88"/>
    </row>
    <row r="2036" spans="2:6" s="6" customFormat="1" ht="13.5">
      <c r="B2036" s="29"/>
      <c r="C2036" s="29"/>
      <c r="D2036" s="30"/>
      <c r="E2036" s="33"/>
      <c r="F2036" s="88"/>
    </row>
    <row r="2037" spans="2:6" s="6" customFormat="1" ht="13.5">
      <c r="B2037" s="29"/>
      <c r="C2037" s="29"/>
      <c r="D2037" s="30"/>
      <c r="E2037" s="33"/>
      <c r="F2037" s="88"/>
    </row>
    <row r="2038" spans="2:6" s="6" customFormat="1" ht="13.5">
      <c r="B2038" s="29"/>
      <c r="C2038" s="29"/>
      <c r="D2038" s="30"/>
      <c r="E2038" s="33"/>
      <c r="F2038" s="88"/>
    </row>
    <row r="2039" spans="2:6" s="6" customFormat="1" ht="13.5">
      <c r="B2039" s="29"/>
      <c r="C2039" s="29"/>
      <c r="D2039" s="30"/>
      <c r="E2039" s="33"/>
      <c r="F2039" s="88"/>
    </row>
    <row r="2040" spans="2:6" s="6" customFormat="1" ht="13.5">
      <c r="B2040" s="29"/>
      <c r="C2040" s="29"/>
      <c r="D2040" s="30"/>
      <c r="E2040" s="33"/>
      <c r="F2040" s="88"/>
    </row>
    <row r="2041" spans="2:6" s="6" customFormat="1" ht="13.5">
      <c r="B2041" s="29"/>
      <c r="C2041" s="29"/>
      <c r="D2041" s="30"/>
      <c r="E2041" s="33"/>
      <c r="F2041" s="88"/>
    </row>
    <row r="2042" spans="2:6" s="6" customFormat="1" ht="13.5">
      <c r="B2042" s="29"/>
      <c r="C2042" s="29"/>
      <c r="D2042" s="30"/>
      <c r="E2042" s="33"/>
      <c r="F2042" s="88"/>
    </row>
    <row r="2043" spans="2:6" s="6" customFormat="1" ht="13.5">
      <c r="B2043" s="29"/>
      <c r="C2043" s="29"/>
      <c r="D2043" s="30"/>
      <c r="E2043" s="33"/>
      <c r="F2043" s="88"/>
    </row>
    <row r="2044" spans="2:6" s="6" customFormat="1" ht="13.5">
      <c r="B2044" s="29"/>
      <c r="C2044" s="29"/>
      <c r="D2044" s="30"/>
      <c r="E2044" s="33"/>
      <c r="F2044" s="88"/>
    </row>
    <row r="2045" spans="2:6" s="6" customFormat="1" ht="13.5">
      <c r="B2045" s="29"/>
      <c r="C2045" s="29"/>
      <c r="D2045" s="30"/>
      <c r="E2045" s="33"/>
      <c r="F2045" s="88"/>
    </row>
    <row r="2046" spans="2:6" s="6" customFormat="1" ht="13.5">
      <c r="B2046" s="29"/>
      <c r="C2046" s="29"/>
      <c r="D2046" s="30"/>
      <c r="E2046" s="33"/>
      <c r="F2046" s="88"/>
    </row>
    <row r="2047" spans="2:6" s="6" customFormat="1" ht="13.5">
      <c r="B2047" s="29"/>
      <c r="C2047" s="29"/>
      <c r="D2047" s="30"/>
      <c r="E2047" s="33"/>
      <c r="F2047" s="88"/>
    </row>
    <row r="2048" spans="2:6" s="6" customFormat="1" ht="13.5">
      <c r="B2048" s="29"/>
      <c r="C2048" s="29"/>
      <c r="D2048" s="30"/>
      <c r="E2048" s="33"/>
      <c r="F2048" s="88"/>
    </row>
    <row r="2049" spans="2:6" s="6" customFormat="1" ht="13.5">
      <c r="B2049" s="29"/>
      <c r="C2049" s="29"/>
      <c r="D2049" s="30"/>
      <c r="E2049" s="33"/>
      <c r="F2049" s="88"/>
    </row>
    <row r="2050" spans="2:6" s="6" customFormat="1" ht="13.5">
      <c r="B2050" s="29"/>
      <c r="C2050" s="29"/>
      <c r="D2050" s="30"/>
      <c r="E2050" s="33"/>
      <c r="F2050" s="88"/>
    </row>
    <row r="2051" spans="2:6" s="6" customFormat="1" ht="13.5">
      <c r="B2051" s="29"/>
      <c r="C2051" s="29"/>
      <c r="D2051" s="30"/>
      <c r="E2051" s="33"/>
      <c r="F2051" s="88"/>
    </row>
    <row r="2052" spans="2:6" s="6" customFormat="1" ht="13.5">
      <c r="B2052" s="29"/>
      <c r="C2052" s="29"/>
      <c r="D2052" s="30"/>
      <c r="E2052" s="33"/>
      <c r="F2052" s="88"/>
    </row>
    <row r="2053" spans="2:6" s="6" customFormat="1" ht="13.5">
      <c r="B2053" s="29"/>
      <c r="C2053" s="29"/>
      <c r="D2053" s="30"/>
      <c r="E2053" s="33"/>
      <c r="F2053" s="88"/>
    </row>
    <row r="2054" spans="2:6" s="6" customFormat="1" ht="13.5">
      <c r="B2054" s="29"/>
      <c r="C2054" s="29"/>
      <c r="D2054" s="30"/>
      <c r="E2054" s="33"/>
      <c r="F2054" s="88"/>
    </row>
    <row r="2055" spans="2:6" s="6" customFormat="1" ht="13.5">
      <c r="B2055" s="29"/>
      <c r="C2055" s="29"/>
      <c r="D2055" s="30"/>
      <c r="E2055" s="33"/>
      <c r="F2055" s="88"/>
    </row>
    <row r="2056" spans="2:6" s="6" customFormat="1" ht="13.5">
      <c r="B2056" s="29"/>
      <c r="C2056" s="29"/>
      <c r="D2056" s="30"/>
      <c r="E2056" s="33"/>
      <c r="F2056" s="88"/>
    </row>
    <row r="2057" spans="2:6" s="6" customFormat="1" ht="13.5">
      <c r="B2057" s="29"/>
      <c r="C2057" s="29"/>
      <c r="D2057" s="30"/>
      <c r="E2057" s="33"/>
      <c r="F2057" s="88"/>
    </row>
    <row r="2058" spans="2:6" s="6" customFormat="1" ht="13.5">
      <c r="B2058" s="29"/>
      <c r="C2058" s="29"/>
      <c r="D2058" s="30"/>
      <c r="E2058" s="33"/>
      <c r="F2058" s="88"/>
    </row>
    <row r="2059" spans="2:6" s="6" customFormat="1" ht="13.5">
      <c r="B2059" s="29"/>
      <c r="C2059" s="29"/>
      <c r="D2059" s="30"/>
      <c r="E2059" s="33"/>
      <c r="F2059" s="88"/>
    </row>
    <row r="2060" spans="2:6" s="6" customFormat="1" ht="13.5">
      <c r="B2060" s="29"/>
      <c r="C2060" s="29"/>
      <c r="D2060" s="30"/>
      <c r="E2060" s="33"/>
      <c r="F2060" s="88"/>
    </row>
    <row r="2061" spans="2:6" s="6" customFormat="1" ht="13.5">
      <c r="B2061" s="29"/>
      <c r="C2061" s="29"/>
      <c r="D2061" s="30"/>
      <c r="E2061" s="33"/>
      <c r="F2061" s="88"/>
    </row>
    <row r="2062" spans="2:6" s="6" customFormat="1" ht="13.5">
      <c r="B2062" s="29"/>
      <c r="C2062" s="29"/>
      <c r="D2062" s="30"/>
      <c r="E2062" s="33"/>
      <c r="F2062" s="88"/>
    </row>
    <row r="2063" spans="2:6" s="6" customFormat="1" ht="13.5">
      <c r="B2063" s="29"/>
      <c r="C2063" s="29"/>
      <c r="D2063" s="30"/>
      <c r="E2063" s="33"/>
      <c r="F2063" s="88"/>
    </row>
    <row r="2064" spans="2:6" s="6" customFormat="1" ht="13.5">
      <c r="B2064" s="29"/>
      <c r="C2064" s="29"/>
      <c r="D2064" s="30"/>
      <c r="E2064" s="33"/>
      <c r="F2064" s="88"/>
    </row>
    <row r="2065" spans="2:6" s="6" customFormat="1" ht="13.5">
      <c r="B2065" s="29"/>
      <c r="C2065" s="29"/>
      <c r="D2065" s="30"/>
      <c r="E2065" s="33"/>
      <c r="F2065" s="88"/>
    </row>
    <row r="2066" spans="2:6" s="6" customFormat="1" ht="13.5">
      <c r="B2066" s="29"/>
      <c r="C2066" s="29"/>
      <c r="D2066" s="30"/>
      <c r="E2066" s="33"/>
      <c r="F2066" s="88"/>
    </row>
    <row r="2067" spans="2:6" s="6" customFormat="1" ht="13.5">
      <c r="B2067" s="29"/>
      <c r="C2067" s="29"/>
      <c r="D2067" s="30"/>
      <c r="E2067" s="33"/>
      <c r="F2067" s="88"/>
    </row>
    <row r="2068" spans="2:6" s="6" customFormat="1" ht="13.5">
      <c r="B2068" s="29"/>
      <c r="C2068" s="29"/>
      <c r="D2068" s="30"/>
      <c r="E2068" s="33"/>
      <c r="F2068" s="88"/>
    </row>
    <row r="2069" spans="2:6" s="6" customFormat="1" ht="13.5">
      <c r="B2069" s="29"/>
      <c r="C2069" s="29"/>
      <c r="D2069" s="30"/>
      <c r="E2069" s="33"/>
      <c r="F2069" s="88"/>
    </row>
    <row r="2070" spans="2:6" s="6" customFormat="1" ht="13.5">
      <c r="B2070" s="29"/>
      <c r="C2070" s="29"/>
      <c r="D2070" s="30"/>
      <c r="E2070" s="33"/>
      <c r="F2070" s="88"/>
    </row>
    <row r="2071" spans="2:6" s="6" customFormat="1" ht="13.5">
      <c r="B2071" s="29"/>
      <c r="C2071" s="29"/>
      <c r="D2071" s="30"/>
      <c r="E2071" s="33"/>
      <c r="F2071" s="88"/>
    </row>
    <row r="2072" spans="2:6" s="6" customFormat="1" ht="13.5">
      <c r="B2072" s="29"/>
      <c r="C2072" s="29"/>
      <c r="D2072" s="30"/>
      <c r="E2072" s="33"/>
      <c r="F2072" s="88"/>
    </row>
    <row r="2073" spans="2:6" s="6" customFormat="1" ht="13.5">
      <c r="B2073" s="29"/>
      <c r="C2073" s="29"/>
      <c r="D2073" s="30"/>
      <c r="E2073" s="33"/>
      <c r="F2073" s="88"/>
    </row>
    <row r="2074" spans="2:6" s="6" customFormat="1" ht="13.5">
      <c r="B2074" s="29"/>
      <c r="C2074" s="29"/>
      <c r="D2074" s="30"/>
      <c r="E2074" s="33"/>
      <c r="F2074" s="88"/>
    </row>
    <row r="2075" spans="2:6" s="6" customFormat="1" ht="13.5">
      <c r="B2075" s="29"/>
      <c r="C2075" s="29"/>
      <c r="D2075" s="30"/>
      <c r="E2075" s="33"/>
      <c r="F2075" s="88"/>
    </row>
    <row r="2076" spans="2:6" s="6" customFormat="1" ht="13.5">
      <c r="B2076" s="29"/>
      <c r="C2076" s="29"/>
      <c r="D2076" s="30"/>
      <c r="E2076" s="33"/>
      <c r="F2076" s="88"/>
    </row>
    <row r="2077" spans="2:6" s="6" customFormat="1" ht="13.5">
      <c r="B2077" s="29"/>
      <c r="C2077" s="29"/>
      <c r="D2077" s="30"/>
      <c r="E2077" s="33"/>
      <c r="F2077" s="88"/>
    </row>
    <row r="2078" spans="2:6" s="6" customFormat="1" ht="13.5">
      <c r="B2078" s="29"/>
      <c r="C2078" s="29"/>
      <c r="D2078" s="30"/>
      <c r="E2078" s="33"/>
      <c r="F2078" s="88"/>
    </row>
    <row r="2079" spans="2:6" s="6" customFormat="1" ht="13.5">
      <c r="B2079" s="29"/>
      <c r="C2079" s="29"/>
      <c r="D2079" s="30"/>
      <c r="E2079" s="33"/>
      <c r="F2079" s="88"/>
    </row>
    <row r="2080" spans="2:6" s="6" customFormat="1" ht="13.5">
      <c r="B2080" s="29"/>
      <c r="C2080" s="29"/>
      <c r="D2080" s="30"/>
      <c r="E2080" s="33"/>
      <c r="F2080" s="88"/>
    </row>
    <row r="2081" spans="2:6" s="6" customFormat="1" ht="13.5">
      <c r="B2081" s="29"/>
      <c r="C2081" s="29"/>
      <c r="D2081" s="30"/>
      <c r="E2081" s="33"/>
      <c r="F2081" s="88"/>
    </row>
    <row r="2082" spans="2:6" s="6" customFormat="1" ht="13.5">
      <c r="B2082" s="29"/>
      <c r="C2082" s="29"/>
      <c r="D2082" s="30"/>
      <c r="E2082" s="33"/>
      <c r="F2082" s="88"/>
    </row>
    <row r="2083" spans="2:6" s="6" customFormat="1" ht="13.5">
      <c r="B2083" s="29"/>
      <c r="C2083" s="29"/>
      <c r="D2083" s="30"/>
      <c r="E2083" s="33"/>
      <c r="F2083" s="88"/>
    </row>
    <row r="2084" spans="2:6" s="6" customFormat="1" ht="13.5">
      <c r="B2084" s="29"/>
      <c r="C2084" s="29"/>
      <c r="D2084" s="30"/>
      <c r="E2084" s="33"/>
      <c r="F2084" s="88"/>
    </row>
    <row r="2085" spans="2:6" s="6" customFormat="1" ht="13.5">
      <c r="B2085" s="29"/>
      <c r="C2085" s="29"/>
      <c r="D2085" s="30"/>
      <c r="E2085" s="33"/>
      <c r="F2085" s="88"/>
    </row>
    <row r="2086" spans="2:6" s="6" customFormat="1" ht="13.5">
      <c r="B2086" s="29"/>
      <c r="C2086" s="29"/>
      <c r="D2086" s="30"/>
      <c r="E2086" s="33"/>
      <c r="F2086" s="88"/>
    </row>
    <row r="2087" spans="2:6" s="6" customFormat="1" ht="13.5">
      <c r="B2087" s="29"/>
      <c r="C2087" s="29"/>
      <c r="D2087" s="30"/>
      <c r="E2087" s="33"/>
      <c r="F2087" s="88"/>
    </row>
    <row r="2088" spans="2:6" s="6" customFormat="1" ht="13.5">
      <c r="B2088" s="29"/>
      <c r="C2088" s="29"/>
      <c r="D2088" s="30"/>
      <c r="E2088" s="33"/>
      <c r="F2088" s="88"/>
    </row>
    <row r="2089" spans="2:6" s="6" customFormat="1" ht="13.5">
      <c r="B2089" s="29"/>
      <c r="C2089" s="29"/>
      <c r="D2089" s="30"/>
      <c r="E2089" s="33"/>
      <c r="F2089" s="88"/>
    </row>
    <row r="2090" spans="2:6" s="6" customFormat="1" ht="13.5">
      <c r="B2090" s="29"/>
      <c r="C2090" s="29"/>
      <c r="D2090" s="30"/>
      <c r="E2090" s="33"/>
      <c r="F2090" s="88"/>
    </row>
    <row r="2091" spans="2:6" s="6" customFormat="1" ht="13.5">
      <c r="B2091" s="29"/>
      <c r="C2091" s="29"/>
      <c r="D2091" s="30"/>
      <c r="E2091" s="33"/>
      <c r="F2091" s="88"/>
    </row>
    <row r="2092" spans="2:6" s="6" customFormat="1" ht="13.5">
      <c r="B2092" s="29"/>
      <c r="C2092" s="29"/>
      <c r="D2092" s="30"/>
      <c r="E2092" s="33"/>
      <c r="F2092" s="88"/>
    </row>
    <row r="2093" spans="2:6" s="6" customFormat="1" ht="13.5">
      <c r="B2093" s="29"/>
      <c r="C2093" s="29"/>
      <c r="D2093" s="30"/>
      <c r="E2093" s="33"/>
      <c r="F2093" s="88"/>
    </row>
    <row r="2094" spans="2:6" s="6" customFormat="1" ht="13.5">
      <c r="B2094" s="29"/>
      <c r="C2094" s="29"/>
      <c r="D2094" s="30"/>
      <c r="E2094" s="33"/>
      <c r="F2094" s="88"/>
    </row>
    <row r="2095" spans="2:6" s="6" customFormat="1" ht="13.5">
      <c r="B2095" s="29"/>
      <c r="C2095" s="29"/>
      <c r="D2095" s="30"/>
      <c r="E2095" s="33"/>
      <c r="F2095" s="88"/>
    </row>
    <row r="2096" spans="2:6" s="6" customFormat="1" ht="13.5">
      <c r="B2096" s="29"/>
      <c r="C2096" s="29"/>
      <c r="D2096" s="30"/>
      <c r="E2096" s="33"/>
      <c r="F2096" s="88"/>
    </row>
    <row r="2097" spans="2:6" s="6" customFormat="1" ht="13.5">
      <c r="B2097" s="29"/>
      <c r="C2097" s="29"/>
      <c r="D2097" s="30"/>
      <c r="E2097" s="33"/>
      <c r="F2097" s="88"/>
    </row>
    <row r="2098" spans="2:6" s="6" customFormat="1" ht="13.5">
      <c r="B2098" s="29"/>
      <c r="C2098" s="29"/>
      <c r="D2098" s="30"/>
      <c r="E2098" s="33"/>
      <c r="F2098" s="88"/>
    </row>
    <row r="2099" spans="2:6" s="6" customFormat="1" ht="13.5">
      <c r="B2099" s="29"/>
      <c r="C2099" s="29"/>
      <c r="D2099" s="30"/>
      <c r="E2099" s="33"/>
      <c r="F2099" s="88"/>
    </row>
    <row r="2100" spans="2:6" s="6" customFormat="1" ht="13.5">
      <c r="B2100" s="29"/>
      <c r="C2100" s="29"/>
      <c r="D2100" s="30"/>
      <c r="E2100" s="33"/>
      <c r="F2100" s="88"/>
    </row>
    <row r="2101" spans="2:6" s="6" customFormat="1" ht="13.5">
      <c r="B2101" s="29"/>
      <c r="C2101" s="29"/>
      <c r="D2101" s="30"/>
      <c r="E2101" s="33"/>
      <c r="F2101" s="88"/>
    </row>
    <row r="2102" spans="2:6" s="6" customFormat="1" ht="13.5">
      <c r="B2102" s="29"/>
      <c r="C2102" s="29"/>
      <c r="D2102" s="30"/>
      <c r="E2102" s="33"/>
      <c r="F2102" s="88"/>
    </row>
    <row r="2103" spans="2:6" s="6" customFormat="1" ht="13.5">
      <c r="B2103" s="29"/>
      <c r="C2103" s="29"/>
      <c r="D2103" s="30"/>
      <c r="E2103" s="33"/>
      <c r="F2103" s="88"/>
    </row>
    <row r="2104" spans="2:6" s="6" customFormat="1" ht="13.5">
      <c r="B2104" s="29"/>
      <c r="C2104" s="29"/>
      <c r="D2104" s="30"/>
      <c r="E2104" s="33"/>
      <c r="F2104" s="88"/>
    </row>
    <row r="2105" spans="2:6" s="6" customFormat="1" ht="13.5">
      <c r="B2105" s="29"/>
      <c r="C2105" s="29"/>
      <c r="D2105" s="30"/>
      <c r="E2105" s="33"/>
      <c r="F2105" s="88"/>
    </row>
    <row r="2106" spans="2:6" s="6" customFormat="1" ht="13.5">
      <c r="B2106" s="29"/>
      <c r="C2106" s="29"/>
      <c r="D2106" s="30"/>
      <c r="E2106" s="33"/>
      <c r="F2106" s="88"/>
    </row>
    <row r="2107" spans="2:6" s="6" customFormat="1" ht="13.5">
      <c r="B2107" s="29"/>
      <c r="C2107" s="29"/>
      <c r="D2107" s="30"/>
      <c r="E2107" s="33"/>
      <c r="F2107" s="88"/>
    </row>
    <row r="2108" spans="2:6" s="6" customFormat="1" ht="13.5">
      <c r="B2108" s="29"/>
      <c r="C2108" s="29"/>
      <c r="D2108" s="30"/>
      <c r="E2108" s="33"/>
      <c r="F2108" s="88"/>
    </row>
    <row r="2109" spans="2:6" s="6" customFormat="1" ht="13.5">
      <c r="B2109" s="29"/>
      <c r="C2109" s="29"/>
      <c r="D2109" s="30"/>
      <c r="E2109" s="33"/>
      <c r="F2109" s="88"/>
    </row>
    <row r="2110" spans="2:6" s="6" customFormat="1" ht="13.5">
      <c r="B2110" s="29"/>
      <c r="C2110" s="29"/>
      <c r="D2110" s="30"/>
      <c r="E2110" s="33"/>
      <c r="F2110" s="88"/>
    </row>
    <row r="2111" spans="2:6" s="6" customFormat="1" ht="13.5">
      <c r="B2111" s="29"/>
      <c r="C2111" s="29"/>
      <c r="D2111" s="30"/>
      <c r="E2111" s="33"/>
      <c r="F2111" s="88"/>
    </row>
    <row r="2112" spans="2:6" s="6" customFormat="1" ht="13.5">
      <c r="B2112" s="29"/>
      <c r="C2112" s="29"/>
      <c r="D2112" s="30"/>
      <c r="E2112" s="33"/>
      <c r="F2112" s="88"/>
    </row>
    <row r="2113" spans="2:6" s="6" customFormat="1" ht="13.5">
      <c r="B2113" s="29"/>
      <c r="C2113" s="29"/>
      <c r="D2113" s="30"/>
      <c r="E2113" s="33"/>
      <c r="F2113" s="88"/>
    </row>
    <row r="2114" spans="2:6" s="6" customFormat="1" ht="13.5">
      <c r="B2114" s="29"/>
      <c r="C2114" s="29"/>
      <c r="D2114" s="30"/>
      <c r="E2114" s="33"/>
      <c r="F2114" s="88"/>
    </row>
    <row r="2115" spans="2:6" s="6" customFormat="1" ht="13.5">
      <c r="B2115" s="29"/>
      <c r="C2115" s="29"/>
      <c r="D2115" s="30"/>
      <c r="E2115" s="33"/>
      <c r="F2115" s="88"/>
    </row>
    <row r="2116" spans="2:6" s="6" customFormat="1" ht="13.5">
      <c r="B2116" s="29"/>
      <c r="C2116" s="29"/>
      <c r="D2116" s="30"/>
      <c r="E2116" s="33"/>
      <c r="F2116" s="88"/>
    </row>
    <row r="2117" spans="2:6" s="6" customFormat="1" ht="13.5">
      <c r="B2117" s="29"/>
      <c r="C2117" s="29"/>
      <c r="D2117" s="30"/>
      <c r="E2117" s="33"/>
      <c r="F2117" s="88"/>
    </row>
    <row r="2118" spans="2:6" s="6" customFormat="1" ht="13.5">
      <c r="B2118" s="29"/>
      <c r="C2118" s="29"/>
      <c r="D2118" s="30"/>
      <c r="E2118" s="33"/>
      <c r="F2118" s="88"/>
    </row>
    <row r="2119" spans="2:6" s="6" customFormat="1" ht="13.5">
      <c r="B2119" s="29"/>
      <c r="C2119" s="29"/>
      <c r="D2119" s="30"/>
      <c r="E2119" s="33"/>
      <c r="F2119" s="88"/>
    </row>
    <row r="2120" spans="2:6" s="6" customFormat="1" ht="13.5">
      <c r="B2120" s="29"/>
      <c r="C2120" s="29"/>
      <c r="D2120" s="30"/>
      <c r="E2120" s="33"/>
      <c r="F2120" s="88"/>
    </row>
    <row r="2121" spans="2:6" s="6" customFormat="1" ht="13.5">
      <c r="B2121" s="29"/>
      <c r="C2121" s="29"/>
      <c r="D2121" s="30"/>
      <c r="E2121" s="33"/>
      <c r="F2121" s="88"/>
    </row>
    <row r="2122" spans="2:6" s="6" customFormat="1" ht="13.5">
      <c r="B2122" s="29"/>
      <c r="C2122" s="29"/>
      <c r="D2122" s="30"/>
      <c r="E2122" s="33"/>
      <c r="F2122" s="88"/>
    </row>
    <row r="2123" spans="2:6" s="6" customFormat="1" ht="13.5">
      <c r="B2123" s="29"/>
      <c r="C2123" s="29"/>
      <c r="D2123" s="30"/>
      <c r="E2123" s="33"/>
      <c r="F2123" s="88"/>
    </row>
    <row r="2124" spans="2:6" s="6" customFormat="1" ht="13.5">
      <c r="B2124" s="29"/>
      <c r="C2124" s="29"/>
      <c r="D2124" s="30"/>
      <c r="E2124" s="33"/>
      <c r="F2124" s="88"/>
    </row>
    <row r="2125" spans="2:6" s="6" customFormat="1" ht="13.5">
      <c r="B2125" s="29"/>
      <c r="C2125" s="29"/>
      <c r="D2125" s="30"/>
      <c r="E2125" s="33"/>
      <c r="F2125" s="88"/>
    </row>
    <row r="2126" spans="2:6" s="6" customFormat="1" ht="13.5">
      <c r="B2126" s="29"/>
      <c r="C2126" s="29"/>
      <c r="D2126" s="30"/>
      <c r="E2126" s="33"/>
      <c r="F2126" s="88"/>
    </row>
    <row r="2127" spans="2:6" s="6" customFormat="1" ht="13.5">
      <c r="B2127" s="29"/>
      <c r="C2127" s="29"/>
      <c r="D2127" s="30"/>
      <c r="E2127" s="33"/>
      <c r="F2127" s="88"/>
    </row>
    <row r="2128" spans="2:6" s="6" customFormat="1" ht="13.5">
      <c r="B2128" s="29"/>
      <c r="C2128" s="29"/>
      <c r="D2128" s="30"/>
      <c r="E2128" s="33"/>
      <c r="F2128" s="88"/>
    </row>
    <row r="2129" spans="2:6" s="6" customFormat="1" ht="13.5">
      <c r="B2129" s="29"/>
      <c r="C2129" s="29"/>
      <c r="D2129" s="30"/>
      <c r="E2129" s="33"/>
      <c r="F2129" s="88"/>
    </row>
    <row r="2130" spans="2:6" s="6" customFormat="1" ht="13.5">
      <c r="B2130" s="29"/>
      <c r="C2130" s="29"/>
      <c r="D2130" s="30"/>
      <c r="E2130" s="33"/>
      <c r="F2130" s="88"/>
    </row>
    <row r="2131" spans="2:6" s="6" customFormat="1" ht="13.5">
      <c r="B2131" s="29"/>
      <c r="C2131" s="29"/>
      <c r="D2131" s="30"/>
      <c r="E2131" s="33"/>
      <c r="F2131" s="88"/>
    </row>
    <row r="2132" spans="2:6" s="6" customFormat="1" ht="13.5">
      <c r="B2132" s="29"/>
      <c r="C2132" s="29"/>
      <c r="D2132" s="30"/>
      <c r="E2132" s="33"/>
      <c r="F2132" s="88"/>
    </row>
    <row r="2133" spans="2:6" s="6" customFormat="1" ht="13.5">
      <c r="B2133" s="29"/>
      <c r="C2133" s="29"/>
      <c r="D2133" s="30"/>
      <c r="E2133" s="33"/>
      <c r="F2133" s="88"/>
    </row>
    <row r="2134" spans="2:6" s="6" customFormat="1" ht="13.5">
      <c r="B2134" s="29"/>
      <c r="C2134" s="29"/>
      <c r="D2134" s="30"/>
      <c r="E2134" s="33"/>
      <c r="F2134" s="88"/>
    </row>
    <row r="2135" spans="2:6" s="6" customFormat="1" ht="13.5">
      <c r="B2135" s="29"/>
      <c r="C2135" s="29"/>
      <c r="D2135" s="30"/>
      <c r="E2135" s="33"/>
      <c r="F2135" s="88"/>
    </row>
    <row r="2136" spans="2:6" s="6" customFormat="1" ht="13.5">
      <c r="B2136" s="29"/>
      <c r="C2136" s="29"/>
      <c r="D2136" s="30"/>
      <c r="E2136" s="33"/>
      <c r="F2136" s="88"/>
    </row>
    <row r="2137" spans="2:6" s="6" customFormat="1" ht="13.5">
      <c r="B2137" s="29"/>
      <c r="C2137" s="29"/>
      <c r="D2137" s="30"/>
      <c r="E2137" s="33"/>
      <c r="F2137" s="88"/>
    </row>
    <row r="2138" spans="2:6" s="6" customFormat="1" ht="13.5">
      <c r="B2138" s="29"/>
      <c r="C2138" s="29"/>
      <c r="D2138" s="30"/>
      <c r="E2138" s="33"/>
      <c r="F2138" s="88"/>
    </row>
    <row r="2139" spans="2:6" s="6" customFormat="1" ht="13.5">
      <c r="B2139" s="29"/>
      <c r="C2139" s="29"/>
      <c r="D2139" s="30"/>
      <c r="E2139" s="33"/>
      <c r="F2139" s="88"/>
    </row>
    <row r="2140" spans="2:6" s="6" customFormat="1" ht="13.5">
      <c r="B2140" s="29"/>
      <c r="C2140" s="29"/>
      <c r="D2140" s="30"/>
      <c r="E2140" s="33"/>
      <c r="F2140" s="88"/>
    </row>
    <row r="2141" spans="2:6" s="6" customFormat="1" ht="13.5">
      <c r="B2141" s="29"/>
      <c r="C2141" s="29"/>
      <c r="D2141" s="30"/>
      <c r="E2141" s="33"/>
      <c r="F2141" s="88"/>
    </row>
    <row r="2142" spans="2:6" s="6" customFormat="1" ht="13.5">
      <c r="B2142" s="29"/>
      <c r="C2142" s="29"/>
      <c r="D2142" s="30"/>
      <c r="E2142" s="33"/>
      <c r="F2142" s="88"/>
    </row>
    <row r="2143" spans="2:6" s="6" customFormat="1" ht="13.5">
      <c r="B2143" s="29"/>
      <c r="C2143" s="29"/>
      <c r="D2143" s="30"/>
      <c r="E2143" s="33"/>
      <c r="F2143" s="88"/>
    </row>
    <row r="2144" spans="2:6" s="6" customFormat="1" ht="13.5">
      <c r="B2144" s="29"/>
      <c r="C2144" s="29"/>
      <c r="D2144" s="30"/>
      <c r="E2144" s="33"/>
      <c r="F2144" s="88"/>
    </row>
    <row r="2145" spans="2:6" s="6" customFormat="1" ht="13.5">
      <c r="B2145" s="29"/>
      <c r="C2145" s="29"/>
      <c r="D2145" s="30"/>
      <c r="E2145" s="33"/>
      <c r="F2145" s="88"/>
    </row>
    <row r="2146" spans="2:6" s="6" customFormat="1" ht="13.5">
      <c r="B2146" s="29"/>
      <c r="C2146" s="29"/>
      <c r="D2146" s="30"/>
      <c r="E2146" s="33"/>
      <c r="F2146" s="88"/>
    </row>
    <row r="2147" spans="2:6" s="6" customFormat="1" ht="13.5">
      <c r="B2147" s="29"/>
      <c r="C2147" s="29"/>
      <c r="D2147" s="30"/>
      <c r="E2147" s="33"/>
      <c r="F2147" s="88"/>
    </row>
    <row r="2148" spans="2:6" s="6" customFormat="1" ht="13.5">
      <c r="B2148" s="29"/>
      <c r="C2148" s="29"/>
      <c r="D2148" s="30"/>
      <c r="E2148" s="33"/>
      <c r="F2148" s="88"/>
    </row>
    <row r="2149" spans="2:6" s="6" customFormat="1" ht="13.5">
      <c r="B2149" s="29"/>
      <c r="C2149" s="29"/>
      <c r="D2149" s="30"/>
      <c r="E2149" s="33"/>
      <c r="F2149" s="88"/>
    </row>
    <row r="2150" spans="2:6" s="6" customFormat="1" ht="13.5">
      <c r="B2150" s="29"/>
      <c r="C2150" s="29"/>
      <c r="D2150" s="30"/>
      <c r="E2150" s="33"/>
      <c r="F2150" s="88"/>
    </row>
    <row r="2151" spans="2:6" s="6" customFormat="1" ht="13.5">
      <c r="B2151" s="29"/>
      <c r="C2151" s="29"/>
      <c r="D2151" s="30"/>
      <c r="E2151" s="33"/>
      <c r="F2151" s="88"/>
    </row>
    <row r="2152" spans="2:6" s="6" customFormat="1" ht="13.5">
      <c r="B2152" s="29"/>
      <c r="C2152" s="29"/>
      <c r="D2152" s="30"/>
      <c r="E2152" s="33"/>
      <c r="F2152" s="88"/>
    </row>
    <row r="2153" spans="2:6" s="6" customFormat="1" ht="13.5">
      <c r="B2153" s="29"/>
      <c r="C2153" s="29"/>
      <c r="D2153" s="30"/>
      <c r="E2153" s="33"/>
      <c r="F2153" s="88"/>
    </row>
    <row r="2154" spans="2:6" s="6" customFormat="1" ht="13.5">
      <c r="B2154" s="29"/>
      <c r="C2154" s="29"/>
      <c r="D2154" s="30"/>
      <c r="E2154" s="33"/>
      <c r="F2154" s="88"/>
    </row>
    <row r="2155" spans="2:6" s="6" customFormat="1" ht="13.5">
      <c r="B2155" s="29"/>
      <c r="C2155" s="29"/>
      <c r="D2155" s="30"/>
      <c r="E2155" s="33"/>
      <c r="F2155" s="88"/>
    </row>
    <row r="2156" spans="2:6" s="6" customFormat="1" ht="13.5">
      <c r="B2156" s="29"/>
      <c r="C2156" s="29"/>
      <c r="D2156" s="30"/>
      <c r="E2156" s="33"/>
      <c r="F2156" s="88"/>
    </row>
    <row r="2157" spans="2:6" s="6" customFormat="1" ht="13.5">
      <c r="B2157" s="29"/>
      <c r="C2157" s="29"/>
      <c r="D2157" s="30"/>
      <c r="E2157" s="33"/>
      <c r="F2157" s="88"/>
    </row>
    <row r="2158" spans="2:6" s="6" customFormat="1" ht="13.5">
      <c r="B2158" s="29"/>
      <c r="C2158" s="29"/>
      <c r="D2158" s="30"/>
      <c r="E2158" s="33"/>
      <c r="F2158" s="88"/>
    </row>
    <row r="2159" spans="2:6" s="6" customFormat="1" ht="13.5">
      <c r="B2159" s="29"/>
      <c r="C2159" s="29"/>
      <c r="D2159" s="30"/>
      <c r="E2159" s="33"/>
      <c r="F2159" s="88"/>
    </row>
    <row r="2160" spans="2:6" s="6" customFormat="1" ht="13.5">
      <c r="B2160" s="29"/>
      <c r="C2160" s="29"/>
      <c r="D2160" s="30"/>
      <c r="E2160" s="33"/>
      <c r="F2160" s="88"/>
    </row>
    <row r="2161" spans="2:6" s="6" customFormat="1" ht="13.5">
      <c r="B2161" s="29"/>
      <c r="C2161" s="29"/>
      <c r="D2161" s="30"/>
      <c r="E2161" s="33"/>
      <c r="F2161" s="88"/>
    </row>
    <row r="2162" spans="2:6" s="6" customFormat="1" ht="13.5">
      <c r="B2162" s="29"/>
      <c r="C2162" s="29"/>
      <c r="D2162" s="30"/>
      <c r="E2162" s="33"/>
      <c r="F2162" s="88"/>
    </row>
    <row r="2163" spans="2:6" s="6" customFormat="1" ht="13.5">
      <c r="B2163" s="29"/>
      <c r="C2163" s="29"/>
      <c r="D2163" s="30"/>
      <c r="E2163" s="33"/>
      <c r="F2163" s="88"/>
    </row>
    <row r="2164" spans="2:6" s="6" customFormat="1" ht="13.5">
      <c r="B2164" s="29"/>
      <c r="C2164" s="29"/>
      <c r="D2164" s="30"/>
      <c r="E2164" s="33"/>
      <c r="F2164" s="88"/>
    </row>
    <row r="2165" spans="2:6" s="6" customFormat="1" ht="13.5">
      <c r="B2165" s="29"/>
      <c r="C2165" s="29"/>
      <c r="D2165" s="30"/>
      <c r="E2165" s="33"/>
      <c r="F2165" s="88"/>
    </row>
    <row r="2166" spans="2:6" s="6" customFormat="1" ht="13.5">
      <c r="B2166" s="29"/>
      <c r="C2166" s="29"/>
      <c r="D2166" s="30"/>
      <c r="E2166" s="33"/>
      <c r="F2166" s="88"/>
    </row>
    <row r="2167" spans="2:6" s="6" customFormat="1" ht="13.5">
      <c r="B2167" s="29"/>
      <c r="C2167" s="29"/>
      <c r="D2167" s="30"/>
      <c r="E2167" s="33"/>
      <c r="F2167" s="88"/>
    </row>
    <row r="2168" spans="2:6" s="6" customFormat="1" ht="13.5">
      <c r="B2168" s="29"/>
      <c r="C2168" s="29"/>
      <c r="D2168" s="30"/>
      <c r="E2168" s="33"/>
      <c r="F2168" s="88"/>
    </row>
    <row r="2169" spans="2:6" s="6" customFormat="1" ht="13.5">
      <c r="B2169" s="29"/>
      <c r="C2169" s="29"/>
      <c r="D2169" s="30"/>
      <c r="E2169" s="33"/>
      <c r="F2169" s="88"/>
    </row>
    <row r="2170" spans="2:6" s="6" customFormat="1" ht="13.5">
      <c r="B2170" s="29"/>
      <c r="C2170" s="29"/>
      <c r="D2170" s="30"/>
      <c r="E2170" s="33"/>
      <c r="F2170" s="88"/>
    </row>
    <row r="2171" spans="2:6" s="6" customFormat="1" ht="13.5">
      <c r="B2171" s="29"/>
      <c r="C2171" s="29"/>
      <c r="D2171" s="30"/>
      <c r="E2171" s="33"/>
      <c r="F2171" s="88"/>
    </row>
    <row r="2172" spans="2:6" s="6" customFormat="1" ht="13.5">
      <c r="B2172" s="29"/>
      <c r="C2172" s="29"/>
      <c r="D2172" s="30"/>
      <c r="E2172" s="33"/>
      <c r="F2172" s="88"/>
    </row>
    <row r="2173" spans="2:6" s="6" customFormat="1" ht="13.5">
      <c r="B2173" s="29"/>
      <c r="C2173" s="29"/>
      <c r="D2173" s="30"/>
      <c r="E2173" s="33"/>
      <c r="F2173" s="88"/>
    </row>
    <row r="2174" spans="2:6" s="6" customFormat="1" ht="13.5">
      <c r="B2174" s="29"/>
      <c r="C2174" s="29"/>
      <c r="D2174" s="30"/>
      <c r="E2174" s="33"/>
      <c r="F2174" s="88"/>
    </row>
    <row r="2175" spans="2:6" s="6" customFormat="1" ht="13.5">
      <c r="B2175" s="29"/>
      <c r="C2175" s="29"/>
      <c r="D2175" s="30"/>
      <c r="E2175" s="33"/>
      <c r="F2175" s="88"/>
    </row>
    <row r="2176" spans="2:6" s="6" customFormat="1" ht="13.5">
      <c r="B2176" s="29"/>
      <c r="C2176" s="29"/>
      <c r="D2176" s="30"/>
      <c r="E2176" s="33"/>
      <c r="F2176" s="88"/>
    </row>
    <row r="2177" spans="2:6" s="6" customFormat="1" ht="13.5">
      <c r="B2177" s="29"/>
      <c r="C2177" s="29"/>
      <c r="D2177" s="30"/>
      <c r="E2177" s="33"/>
      <c r="F2177" s="88"/>
    </row>
    <row r="2178" spans="2:6" s="6" customFormat="1" ht="13.5">
      <c r="B2178" s="29"/>
      <c r="C2178" s="29"/>
      <c r="D2178" s="30"/>
      <c r="E2178" s="33"/>
      <c r="F2178" s="88"/>
    </row>
    <row r="2179" spans="2:6" s="6" customFormat="1" ht="13.5">
      <c r="B2179" s="29"/>
      <c r="C2179" s="29"/>
      <c r="D2179" s="30"/>
      <c r="E2179" s="33"/>
      <c r="F2179" s="88"/>
    </row>
    <row r="2180" spans="2:6" s="6" customFormat="1" ht="13.5">
      <c r="B2180" s="29"/>
      <c r="C2180" s="29"/>
      <c r="D2180" s="30"/>
      <c r="E2180" s="33"/>
      <c r="F2180" s="88"/>
    </row>
    <row r="2181" spans="2:6" s="6" customFormat="1" ht="13.5">
      <c r="B2181" s="29"/>
      <c r="C2181" s="29"/>
      <c r="D2181" s="30"/>
      <c r="E2181" s="33"/>
      <c r="F2181" s="88"/>
    </row>
    <row r="2182" spans="2:6" s="6" customFormat="1" ht="13.5">
      <c r="B2182" s="29"/>
      <c r="C2182" s="29"/>
      <c r="D2182" s="30"/>
      <c r="E2182" s="33"/>
      <c r="F2182" s="88"/>
    </row>
    <row r="2183" spans="2:6" s="6" customFormat="1" ht="13.5">
      <c r="B2183" s="29"/>
      <c r="C2183" s="29"/>
      <c r="D2183" s="30"/>
      <c r="E2183" s="33"/>
      <c r="F2183" s="88"/>
    </row>
    <row r="2184" spans="2:6" s="6" customFormat="1" ht="13.5">
      <c r="B2184" s="29"/>
      <c r="C2184" s="29"/>
      <c r="D2184" s="30"/>
      <c r="E2184" s="33"/>
      <c r="F2184" s="88"/>
    </row>
    <row r="2185" spans="2:6" s="6" customFormat="1" ht="13.5">
      <c r="B2185" s="29"/>
      <c r="C2185" s="29"/>
      <c r="D2185" s="30"/>
      <c r="E2185" s="33"/>
      <c r="F2185" s="88"/>
    </row>
    <row r="2186" spans="2:6" s="6" customFormat="1" ht="13.5">
      <c r="B2186" s="29"/>
      <c r="C2186" s="29"/>
      <c r="D2186" s="30"/>
      <c r="E2186" s="33"/>
      <c r="F2186" s="88"/>
    </row>
    <row r="2187" spans="2:6" s="6" customFormat="1" ht="13.5">
      <c r="B2187" s="29"/>
      <c r="C2187" s="29"/>
      <c r="D2187" s="30"/>
      <c r="E2187" s="33"/>
      <c r="F2187" s="88"/>
    </row>
    <row r="2188" spans="2:6" s="6" customFormat="1" ht="13.5">
      <c r="B2188" s="29"/>
      <c r="C2188" s="29"/>
      <c r="D2188" s="30"/>
      <c r="E2188" s="33"/>
      <c r="F2188" s="88"/>
    </row>
    <row r="2189" spans="2:6" s="6" customFormat="1" ht="13.5">
      <c r="B2189" s="29"/>
      <c r="C2189" s="29"/>
      <c r="D2189" s="30"/>
      <c r="E2189" s="33"/>
      <c r="F2189" s="88"/>
    </row>
    <row r="2190" spans="2:6" s="6" customFormat="1" ht="13.5">
      <c r="B2190" s="29"/>
      <c r="C2190" s="29"/>
      <c r="D2190" s="30"/>
      <c r="E2190" s="33"/>
      <c r="F2190" s="88"/>
    </row>
    <row r="2191" spans="2:6" s="6" customFormat="1" ht="13.5">
      <c r="B2191" s="29"/>
      <c r="C2191" s="29"/>
      <c r="D2191" s="30"/>
      <c r="E2191" s="33"/>
      <c r="F2191" s="88"/>
    </row>
    <row r="2192" spans="2:6" s="6" customFormat="1" ht="13.5">
      <c r="B2192" s="29"/>
      <c r="C2192" s="29"/>
      <c r="D2192" s="30"/>
      <c r="E2192" s="33"/>
      <c r="F2192" s="88"/>
    </row>
    <row r="2193" spans="2:6" s="6" customFormat="1" ht="13.5">
      <c r="B2193" s="29"/>
      <c r="C2193" s="29"/>
      <c r="D2193" s="30"/>
      <c r="E2193" s="33"/>
      <c r="F2193" s="88"/>
    </row>
    <row r="2194" spans="2:6" s="6" customFormat="1" ht="13.5">
      <c r="B2194" s="29"/>
      <c r="C2194" s="29"/>
      <c r="D2194" s="30"/>
      <c r="E2194" s="33"/>
      <c r="F2194" s="88"/>
    </row>
    <row r="2195" spans="2:6" s="6" customFormat="1" ht="13.5">
      <c r="B2195" s="29"/>
      <c r="C2195" s="29"/>
      <c r="D2195" s="30"/>
      <c r="E2195" s="33"/>
      <c r="F2195" s="88"/>
    </row>
    <row r="2196" spans="2:6" s="6" customFormat="1" ht="13.5">
      <c r="B2196" s="29"/>
      <c r="C2196" s="29"/>
      <c r="D2196" s="30"/>
      <c r="E2196" s="33"/>
      <c r="F2196" s="88"/>
    </row>
    <row r="2197" spans="2:6" s="6" customFormat="1" ht="13.5">
      <c r="B2197" s="29"/>
      <c r="C2197" s="29"/>
      <c r="D2197" s="30"/>
      <c r="E2197" s="33"/>
      <c r="F2197" s="88"/>
    </row>
    <row r="2198" spans="2:6" s="6" customFormat="1" ht="13.5">
      <c r="B2198" s="29"/>
      <c r="C2198" s="29"/>
      <c r="D2198" s="30"/>
      <c r="E2198" s="33"/>
      <c r="F2198" s="88"/>
    </row>
    <row r="2199" spans="2:6" s="6" customFormat="1" ht="13.5">
      <c r="B2199" s="29"/>
      <c r="C2199" s="29"/>
      <c r="D2199" s="30"/>
      <c r="E2199" s="33"/>
      <c r="F2199" s="88"/>
    </row>
    <row r="2200" spans="2:6" s="6" customFormat="1" ht="13.5">
      <c r="B2200" s="29"/>
      <c r="C2200" s="29"/>
      <c r="D2200" s="30"/>
      <c r="E2200" s="33"/>
      <c r="F2200" s="88"/>
    </row>
    <row r="2201" spans="2:6" s="6" customFormat="1" ht="13.5">
      <c r="B2201" s="29"/>
      <c r="C2201" s="29"/>
      <c r="D2201" s="30"/>
      <c r="E2201" s="33"/>
      <c r="F2201" s="88"/>
    </row>
    <row r="2202" spans="2:6" s="6" customFormat="1" ht="13.5">
      <c r="B2202" s="29"/>
      <c r="C2202" s="29"/>
      <c r="D2202" s="30"/>
      <c r="E2202" s="33"/>
      <c r="F2202" s="88"/>
    </row>
    <row r="2203" spans="2:6" s="6" customFormat="1" ht="13.5">
      <c r="B2203" s="29"/>
      <c r="C2203" s="29"/>
      <c r="D2203" s="30"/>
      <c r="E2203" s="33"/>
      <c r="F2203" s="88"/>
    </row>
    <row r="2204" spans="2:6" s="6" customFormat="1" ht="13.5">
      <c r="B2204" s="29"/>
      <c r="C2204" s="29"/>
      <c r="D2204" s="30"/>
      <c r="E2204" s="33"/>
      <c r="F2204" s="88"/>
    </row>
    <row r="2205" spans="2:6" s="6" customFormat="1" ht="13.5">
      <c r="B2205" s="29"/>
      <c r="C2205" s="29"/>
      <c r="D2205" s="30"/>
      <c r="E2205" s="33"/>
      <c r="F2205" s="88"/>
    </row>
    <row r="2206" spans="2:6" s="6" customFormat="1" ht="13.5">
      <c r="B2206" s="29"/>
      <c r="C2206" s="29"/>
      <c r="D2206" s="30"/>
      <c r="E2206" s="33"/>
      <c r="F2206" s="88"/>
    </row>
    <row r="2207" spans="2:6" s="6" customFormat="1" ht="13.5">
      <c r="B2207" s="29"/>
      <c r="C2207" s="29"/>
      <c r="D2207" s="30"/>
      <c r="E2207" s="33"/>
      <c r="F2207" s="88"/>
    </row>
    <row r="2208" spans="2:6" s="6" customFormat="1" ht="13.5">
      <c r="B2208" s="29"/>
      <c r="C2208" s="29"/>
      <c r="D2208" s="30"/>
      <c r="E2208" s="33"/>
      <c r="F2208" s="88"/>
    </row>
    <row r="2209" spans="2:6" s="6" customFormat="1" ht="13.5">
      <c r="B2209" s="29"/>
      <c r="C2209" s="29"/>
      <c r="D2209" s="30"/>
      <c r="E2209" s="33"/>
      <c r="F2209" s="88"/>
    </row>
    <row r="2210" spans="2:6" s="6" customFormat="1" ht="13.5">
      <c r="B2210" s="29"/>
      <c r="C2210" s="29"/>
      <c r="D2210" s="30"/>
      <c r="E2210" s="33"/>
      <c r="F2210" s="88"/>
    </row>
    <row r="2211" spans="2:6" s="6" customFormat="1" ht="13.5">
      <c r="B2211" s="29"/>
      <c r="C2211" s="29"/>
      <c r="D2211" s="30"/>
      <c r="E2211" s="33"/>
      <c r="F2211" s="88"/>
    </row>
    <row r="2212" spans="2:6" s="6" customFormat="1" ht="13.5">
      <c r="B2212" s="29"/>
      <c r="C2212" s="29"/>
      <c r="D2212" s="30"/>
      <c r="E2212" s="33"/>
      <c r="F2212" s="88"/>
    </row>
    <row r="2213" spans="2:6" s="6" customFormat="1" ht="13.5">
      <c r="B2213" s="29"/>
      <c r="C2213" s="29"/>
      <c r="D2213" s="30"/>
      <c r="E2213" s="33"/>
      <c r="F2213" s="88"/>
    </row>
    <row r="2214" spans="2:6" s="6" customFormat="1" ht="13.5">
      <c r="B2214" s="29"/>
      <c r="C2214" s="29"/>
      <c r="D2214" s="30"/>
      <c r="E2214" s="33"/>
      <c r="F2214" s="88"/>
    </row>
    <row r="2215" spans="2:6" s="6" customFormat="1" ht="13.5">
      <c r="B2215" s="29"/>
      <c r="C2215" s="29"/>
      <c r="D2215" s="30"/>
      <c r="E2215" s="33"/>
      <c r="F2215" s="88"/>
    </row>
    <row r="2216" spans="2:6" s="6" customFormat="1" ht="13.5">
      <c r="B2216" s="29"/>
      <c r="C2216" s="29"/>
      <c r="D2216" s="30"/>
      <c r="E2216" s="33"/>
      <c r="F2216" s="88"/>
    </row>
    <row r="2217" spans="2:6" s="6" customFormat="1" ht="13.5">
      <c r="B2217" s="29"/>
      <c r="C2217" s="29"/>
      <c r="D2217" s="30"/>
      <c r="E2217" s="33"/>
      <c r="F2217" s="88"/>
    </row>
    <row r="2218" spans="2:6" s="6" customFormat="1" ht="13.5">
      <c r="B2218" s="29"/>
      <c r="C2218" s="29"/>
      <c r="D2218" s="30"/>
      <c r="E2218" s="33"/>
      <c r="F2218" s="88"/>
    </row>
    <row r="2219" spans="2:6" s="6" customFormat="1" ht="13.5">
      <c r="B2219" s="29"/>
      <c r="C2219" s="29"/>
      <c r="D2219" s="30"/>
      <c r="E2219" s="33"/>
      <c r="F2219" s="88"/>
    </row>
    <row r="2220" spans="2:6" s="6" customFormat="1" ht="13.5">
      <c r="B2220" s="29"/>
      <c r="C2220" s="29"/>
      <c r="D2220" s="30"/>
      <c r="E2220" s="33"/>
      <c r="F2220" s="88"/>
    </row>
    <row r="2221" spans="2:6" s="6" customFormat="1" ht="13.5">
      <c r="B2221" s="29"/>
      <c r="C2221" s="29"/>
      <c r="D2221" s="30"/>
      <c r="E2221" s="33"/>
      <c r="F2221" s="88"/>
    </row>
    <row r="2222" spans="2:6" s="6" customFormat="1" ht="13.5">
      <c r="B2222" s="29"/>
      <c r="C2222" s="29"/>
      <c r="D2222" s="30"/>
      <c r="E2222" s="33"/>
      <c r="F2222" s="88"/>
    </row>
    <row r="2223" spans="2:6" s="6" customFormat="1" ht="13.5">
      <c r="B2223" s="29"/>
      <c r="C2223" s="29"/>
      <c r="D2223" s="30"/>
      <c r="E2223" s="33"/>
      <c r="F2223" s="88"/>
    </row>
    <row r="2224" spans="2:6" s="6" customFormat="1" ht="13.5">
      <c r="B2224" s="29"/>
      <c r="C2224" s="29"/>
      <c r="D2224" s="30"/>
      <c r="E2224" s="33"/>
      <c r="F2224" s="88"/>
    </row>
    <row r="2225" spans="2:6" s="6" customFormat="1" ht="13.5">
      <c r="B2225" s="29"/>
      <c r="C2225" s="29"/>
      <c r="D2225" s="30"/>
      <c r="E2225" s="33"/>
      <c r="F2225" s="88"/>
    </row>
    <row r="2226" spans="2:6" s="6" customFormat="1" ht="13.5">
      <c r="B2226" s="29"/>
      <c r="C2226" s="29"/>
      <c r="D2226" s="30"/>
      <c r="E2226" s="33"/>
      <c r="F2226" s="88"/>
    </row>
    <row r="2227" spans="2:6" s="6" customFormat="1" ht="13.5">
      <c r="B2227" s="29"/>
      <c r="C2227" s="29"/>
      <c r="D2227" s="30"/>
      <c r="E2227" s="33"/>
      <c r="F2227" s="88"/>
    </row>
    <row r="2228" spans="2:6" s="6" customFormat="1" ht="13.5">
      <c r="B2228" s="29"/>
      <c r="C2228" s="29"/>
      <c r="D2228" s="30"/>
      <c r="E2228" s="33"/>
      <c r="F2228" s="88"/>
    </row>
    <row r="2229" spans="2:6" s="6" customFormat="1" ht="13.5">
      <c r="B2229" s="29"/>
      <c r="C2229" s="29"/>
      <c r="D2229" s="30"/>
      <c r="E2229" s="33"/>
      <c r="F2229" s="88"/>
    </row>
    <row r="2230" spans="2:6" s="6" customFormat="1" ht="13.5">
      <c r="B2230" s="29"/>
      <c r="C2230" s="29"/>
      <c r="D2230" s="30"/>
      <c r="E2230" s="33"/>
      <c r="F2230" s="88"/>
    </row>
    <row r="2231" spans="2:6" s="6" customFormat="1" ht="13.5">
      <c r="B2231" s="29"/>
      <c r="C2231" s="29"/>
      <c r="D2231" s="30"/>
      <c r="E2231" s="33"/>
      <c r="F2231" s="88"/>
    </row>
    <row r="2232" spans="2:6" s="6" customFormat="1" ht="13.5">
      <c r="B2232" s="29"/>
      <c r="C2232" s="29"/>
      <c r="D2232" s="30"/>
      <c r="E2232" s="33"/>
      <c r="F2232" s="88"/>
    </row>
    <row r="2233" spans="2:6" s="6" customFormat="1" ht="13.5">
      <c r="B2233" s="29"/>
      <c r="C2233" s="29"/>
      <c r="D2233" s="30"/>
      <c r="E2233" s="33"/>
      <c r="F2233" s="88"/>
    </row>
    <row r="2234" spans="2:6" s="6" customFormat="1" ht="13.5">
      <c r="B2234" s="29"/>
      <c r="C2234" s="29"/>
      <c r="D2234" s="30"/>
      <c r="E2234" s="33"/>
      <c r="F2234" s="88"/>
    </row>
    <row r="2235" spans="2:6" s="6" customFormat="1" ht="13.5">
      <c r="B2235" s="29"/>
      <c r="C2235" s="29"/>
      <c r="D2235" s="30"/>
      <c r="E2235" s="33"/>
      <c r="F2235" s="88"/>
    </row>
    <row r="2236" spans="2:6" s="6" customFormat="1" ht="13.5">
      <c r="B2236" s="29"/>
      <c r="C2236" s="29"/>
      <c r="D2236" s="30"/>
      <c r="E2236" s="33"/>
      <c r="F2236" s="88"/>
    </row>
    <row r="2237" spans="2:6" s="6" customFormat="1" ht="13.5">
      <c r="B2237" s="29"/>
      <c r="C2237" s="29"/>
      <c r="D2237" s="30"/>
      <c r="E2237" s="33"/>
      <c r="F2237" s="88"/>
    </row>
    <row r="2238" spans="2:6" s="6" customFormat="1" ht="13.5">
      <c r="B2238" s="29"/>
      <c r="C2238" s="29"/>
      <c r="D2238" s="30"/>
      <c r="E2238" s="33"/>
      <c r="F2238" s="88"/>
    </row>
    <row r="2239" spans="2:6" s="6" customFormat="1" ht="13.5">
      <c r="B2239" s="29"/>
      <c r="C2239" s="29"/>
      <c r="D2239" s="30"/>
      <c r="E2239" s="33"/>
      <c r="F2239" s="88"/>
    </row>
    <row r="2240" spans="2:6" s="6" customFormat="1" ht="13.5">
      <c r="B2240" s="29"/>
      <c r="C2240" s="29"/>
      <c r="D2240" s="30"/>
      <c r="E2240" s="33"/>
      <c r="F2240" s="88"/>
    </row>
    <row r="2241" spans="2:6" s="6" customFormat="1" ht="13.5">
      <c r="B2241" s="29"/>
      <c r="C2241" s="29"/>
      <c r="D2241" s="30"/>
      <c r="E2241" s="33"/>
      <c r="F2241" s="88"/>
    </row>
    <row r="2242" spans="2:6" s="6" customFormat="1" ht="13.5">
      <c r="B2242" s="29"/>
      <c r="C2242" s="29"/>
      <c r="D2242" s="30"/>
      <c r="E2242" s="33"/>
      <c r="F2242" s="88"/>
    </row>
    <row r="2243" spans="2:6" s="6" customFormat="1" ht="13.5">
      <c r="B2243" s="29"/>
      <c r="C2243" s="29"/>
      <c r="D2243" s="30"/>
      <c r="E2243" s="33"/>
      <c r="F2243" s="88"/>
    </row>
    <row r="2244" spans="2:6" s="6" customFormat="1" ht="13.5">
      <c r="B2244" s="29"/>
      <c r="C2244" s="29"/>
      <c r="D2244" s="30"/>
      <c r="E2244" s="33"/>
      <c r="F2244" s="88"/>
    </row>
    <row r="2245" spans="2:6" s="6" customFormat="1" ht="13.5">
      <c r="B2245" s="29"/>
      <c r="C2245" s="29"/>
      <c r="D2245" s="30"/>
      <c r="E2245" s="33"/>
      <c r="F2245" s="88"/>
    </row>
    <row r="2246" spans="2:6" s="6" customFormat="1" ht="13.5">
      <c r="B2246" s="29"/>
      <c r="C2246" s="29"/>
      <c r="D2246" s="30"/>
      <c r="E2246" s="33"/>
      <c r="F2246" s="88"/>
    </row>
    <row r="2247" spans="2:6" s="6" customFormat="1" ht="13.5">
      <c r="B2247" s="29"/>
      <c r="C2247" s="29"/>
      <c r="D2247" s="30"/>
      <c r="E2247" s="33"/>
      <c r="F2247" s="88"/>
    </row>
    <row r="2248" spans="2:6" s="6" customFormat="1" ht="13.5">
      <c r="B2248" s="29"/>
      <c r="C2248" s="29"/>
      <c r="D2248" s="30"/>
      <c r="E2248" s="33"/>
      <c r="F2248" s="88"/>
    </row>
    <row r="2249" spans="2:6" s="6" customFormat="1" ht="13.5">
      <c r="B2249" s="29"/>
      <c r="C2249" s="29"/>
      <c r="D2249" s="30"/>
      <c r="E2249" s="33"/>
      <c r="F2249" s="88"/>
    </row>
    <row r="2250" spans="2:6" s="6" customFormat="1" ht="13.5">
      <c r="B2250" s="29"/>
      <c r="C2250" s="29"/>
      <c r="D2250" s="30"/>
      <c r="E2250" s="33"/>
      <c r="F2250" s="88"/>
    </row>
    <row r="2251" spans="2:6" s="6" customFormat="1" ht="13.5">
      <c r="B2251" s="29"/>
      <c r="C2251" s="29"/>
      <c r="D2251" s="30"/>
      <c r="E2251" s="33"/>
      <c r="F2251" s="88"/>
    </row>
    <row r="2252" spans="2:6" s="6" customFormat="1" ht="13.5">
      <c r="B2252" s="29"/>
      <c r="C2252" s="29"/>
      <c r="D2252" s="30"/>
      <c r="E2252" s="33"/>
      <c r="F2252" s="88"/>
    </row>
    <row r="2253" spans="2:6" s="6" customFormat="1" ht="13.5">
      <c r="B2253" s="29"/>
      <c r="C2253" s="29"/>
      <c r="D2253" s="30"/>
      <c r="E2253" s="33"/>
      <c r="F2253" s="88"/>
    </row>
    <row r="2254" spans="2:6" s="6" customFormat="1" ht="13.5">
      <c r="B2254" s="29"/>
      <c r="C2254" s="29"/>
      <c r="D2254" s="30"/>
      <c r="E2254" s="33"/>
      <c r="F2254" s="88"/>
    </row>
    <row r="2255" spans="2:6" s="6" customFormat="1" ht="13.5">
      <c r="B2255" s="29"/>
      <c r="C2255" s="29"/>
      <c r="D2255" s="30"/>
      <c r="E2255" s="33"/>
      <c r="F2255" s="88"/>
    </row>
    <row r="2256" spans="2:6" s="6" customFormat="1" ht="13.5">
      <c r="B2256" s="29"/>
      <c r="C2256" s="29"/>
      <c r="D2256" s="30"/>
      <c r="E2256" s="33"/>
      <c r="F2256" s="88"/>
    </row>
    <row r="2257" spans="2:6" s="6" customFormat="1" ht="13.5">
      <c r="B2257" s="29"/>
      <c r="C2257" s="29"/>
      <c r="D2257" s="30"/>
      <c r="E2257" s="33"/>
      <c r="F2257" s="88"/>
    </row>
    <row r="2258" spans="2:6" s="6" customFormat="1" ht="13.5">
      <c r="B2258" s="29"/>
      <c r="C2258" s="29"/>
      <c r="D2258" s="30"/>
      <c r="E2258" s="33"/>
      <c r="F2258" s="88"/>
    </row>
    <row r="2259" spans="2:6" s="6" customFormat="1" ht="13.5">
      <c r="B2259" s="29"/>
      <c r="C2259" s="29"/>
      <c r="D2259" s="30"/>
      <c r="E2259" s="33"/>
      <c r="F2259" s="88"/>
    </row>
    <row r="2260" spans="2:6" s="6" customFormat="1" ht="13.5">
      <c r="B2260" s="29"/>
      <c r="C2260" s="29"/>
      <c r="D2260" s="30"/>
      <c r="E2260" s="33"/>
      <c r="F2260" s="88"/>
    </row>
    <row r="2261" spans="2:6" s="6" customFormat="1" ht="13.5">
      <c r="B2261" s="29"/>
      <c r="C2261" s="29"/>
      <c r="D2261" s="30"/>
      <c r="E2261" s="33"/>
      <c r="F2261" s="88"/>
    </row>
    <row r="2262" spans="2:6" s="6" customFormat="1" ht="13.5">
      <c r="B2262" s="29"/>
      <c r="C2262" s="29"/>
      <c r="D2262" s="30"/>
      <c r="E2262" s="33"/>
      <c r="F2262" s="88"/>
    </row>
    <row r="2263" spans="2:6" s="6" customFormat="1" ht="13.5">
      <c r="B2263" s="29"/>
      <c r="C2263" s="29"/>
      <c r="D2263" s="30"/>
      <c r="E2263" s="33"/>
      <c r="F2263" s="88"/>
    </row>
    <row r="2264" spans="2:6" s="6" customFormat="1" ht="13.5">
      <c r="B2264" s="29"/>
      <c r="C2264" s="29"/>
      <c r="D2264" s="30"/>
      <c r="E2264" s="33"/>
      <c r="F2264" s="88"/>
    </row>
    <row r="2265" spans="2:6" s="6" customFormat="1" ht="13.5">
      <c r="B2265" s="29"/>
      <c r="C2265" s="29"/>
      <c r="D2265" s="30"/>
      <c r="E2265" s="33"/>
      <c r="F2265" s="88"/>
    </row>
    <row r="2266" spans="2:6" s="6" customFormat="1" ht="13.5">
      <c r="B2266" s="29"/>
      <c r="C2266" s="29"/>
      <c r="D2266" s="30"/>
      <c r="E2266" s="33"/>
      <c r="F2266" s="88"/>
    </row>
    <row r="2267" spans="2:6" s="6" customFormat="1" ht="13.5">
      <c r="B2267" s="29"/>
      <c r="C2267" s="29"/>
      <c r="D2267" s="30"/>
      <c r="E2267" s="33"/>
      <c r="F2267" s="88"/>
    </row>
    <row r="2268" spans="2:6" s="6" customFormat="1" ht="13.5">
      <c r="B2268" s="29"/>
      <c r="C2268" s="29"/>
      <c r="D2268" s="30"/>
      <c r="E2268" s="33"/>
      <c r="F2268" s="88"/>
    </row>
    <row r="2269" spans="2:6" s="6" customFormat="1" ht="13.5">
      <c r="B2269" s="29"/>
      <c r="C2269" s="29"/>
      <c r="D2269" s="30"/>
      <c r="E2269" s="33"/>
      <c r="F2269" s="88"/>
    </row>
    <row r="2270" spans="2:6" s="6" customFormat="1" ht="13.5">
      <c r="B2270" s="29"/>
      <c r="C2270" s="29"/>
      <c r="D2270" s="30"/>
      <c r="E2270" s="33"/>
      <c r="F2270" s="88"/>
    </row>
    <row r="2271" spans="2:6" s="6" customFormat="1" ht="13.5">
      <c r="B2271" s="29"/>
      <c r="C2271" s="29"/>
      <c r="D2271" s="30"/>
      <c r="E2271" s="33"/>
      <c r="F2271" s="88"/>
    </row>
    <row r="2272" spans="2:6" s="6" customFormat="1" ht="13.5">
      <c r="B2272" s="29"/>
      <c r="C2272" s="29"/>
      <c r="D2272" s="30"/>
      <c r="E2272" s="33"/>
      <c r="F2272" s="88"/>
    </row>
    <row r="2273" spans="2:6" s="6" customFormat="1" ht="13.5">
      <c r="B2273" s="29"/>
      <c r="C2273" s="29"/>
      <c r="D2273" s="30"/>
      <c r="E2273" s="33"/>
      <c r="F2273" s="88"/>
    </row>
    <row r="2274" spans="2:6" s="6" customFormat="1" ht="13.5">
      <c r="B2274" s="29"/>
      <c r="C2274" s="29"/>
      <c r="D2274" s="30"/>
      <c r="E2274" s="33"/>
      <c r="F2274" s="88"/>
    </row>
    <row r="2275" spans="2:6" s="6" customFormat="1" ht="13.5">
      <c r="B2275" s="29"/>
      <c r="C2275" s="29"/>
      <c r="D2275" s="30"/>
      <c r="E2275" s="33"/>
      <c r="F2275" s="88"/>
    </row>
    <row r="2276" spans="2:6" s="6" customFormat="1" ht="13.5">
      <c r="B2276" s="29"/>
      <c r="C2276" s="29"/>
      <c r="D2276" s="30"/>
      <c r="E2276" s="33"/>
      <c r="F2276" s="88"/>
    </row>
    <row r="2277" spans="2:6" s="6" customFormat="1" ht="13.5">
      <c r="B2277" s="29"/>
      <c r="C2277" s="29"/>
      <c r="D2277" s="30"/>
      <c r="E2277" s="33"/>
      <c r="F2277" s="88"/>
    </row>
    <row r="2278" spans="2:6" s="6" customFormat="1" ht="13.5">
      <c r="B2278" s="29"/>
      <c r="C2278" s="29"/>
      <c r="D2278" s="30"/>
      <c r="E2278" s="33"/>
      <c r="F2278" s="88"/>
    </row>
    <row r="2279" spans="2:6" s="6" customFormat="1" ht="13.5">
      <c r="B2279" s="29"/>
      <c r="C2279" s="29"/>
      <c r="D2279" s="30"/>
      <c r="E2279" s="33"/>
      <c r="F2279" s="88"/>
    </row>
    <row r="2280" spans="2:6" s="6" customFormat="1" ht="13.5">
      <c r="B2280" s="29"/>
      <c r="C2280" s="29"/>
      <c r="D2280" s="30"/>
      <c r="E2280" s="33"/>
      <c r="F2280" s="88"/>
    </row>
    <row r="2281" spans="2:6" s="6" customFormat="1" ht="13.5">
      <c r="B2281" s="29"/>
      <c r="C2281" s="29"/>
      <c r="D2281" s="30"/>
      <c r="E2281" s="33"/>
      <c r="F2281" s="88"/>
    </row>
    <row r="2282" spans="2:6" s="6" customFormat="1" ht="13.5">
      <c r="B2282" s="29"/>
      <c r="C2282" s="29"/>
      <c r="D2282" s="30"/>
      <c r="E2282" s="33"/>
      <c r="F2282" s="88"/>
    </row>
    <row r="2283" spans="2:6" s="6" customFormat="1" ht="13.5">
      <c r="B2283" s="29"/>
      <c r="C2283" s="29"/>
      <c r="D2283" s="30"/>
      <c r="E2283" s="33"/>
      <c r="F2283" s="88"/>
    </row>
    <row r="2284" spans="2:6" s="6" customFormat="1" ht="13.5">
      <c r="B2284" s="29"/>
      <c r="C2284" s="29"/>
      <c r="D2284" s="30"/>
      <c r="E2284" s="33"/>
      <c r="F2284" s="88"/>
    </row>
    <row r="2285" spans="2:6" s="6" customFormat="1" ht="13.5">
      <c r="B2285" s="29"/>
      <c r="C2285" s="29"/>
      <c r="D2285" s="30"/>
      <c r="E2285" s="33"/>
      <c r="F2285" s="88"/>
    </row>
    <row r="2286" spans="2:6" s="6" customFormat="1" ht="13.5">
      <c r="B2286" s="29"/>
      <c r="C2286" s="29"/>
      <c r="D2286" s="30"/>
      <c r="E2286" s="33"/>
      <c r="F2286" s="88"/>
    </row>
    <row r="2287" spans="2:6" s="6" customFormat="1" ht="13.5">
      <c r="B2287" s="29"/>
      <c r="C2287" s="29"/>
      <c r="D2287" s="30"/>
      <c r="E2287" s="33"/>
      <c r="F2287" s="88"/>
    </row>
    <row r="2288" spans="2:6" s="6" customFormat="1" ht="13.5">
      <c r="B2288" s="29"/>
      <c r="C2288" s="29"/>
      <c r="D2288" s="30"/>
      <c r="E2288" s="33"/>
      <c r="F2288" s="88"/>
    </row>
    <row r="2289" spans="2:6" s="6" customFormat="1" ht="13.5">
      <c r="B2289" s="29"/>
      <c r="C2289" s="29"/>
      <c r="D2289" s="30"/>
      <c r="E2289" s="33"/>
      <c r="F2289" s="88"/>
    </row>
    <row r="2290" spans="2:6" s="6" customFormat="1" ht="13.5">
      <c r="B2290" s="29"/>
      <c r="C2290" s="29"/>
      <c r="D2290" s="30"/>
      <c r="E2290" s="33"/>
      <c r="F2290" s="88"/>
    </row>
    <row r="2291" spans="2:6" s="6" customFormat="1" ht="13.5">
      <c r="B2291" s="29"/>
      <c r="C2291" s="29"/>
      <c r="D2291" s="30"/>
      <c r="E2291" s="33"/>
      <c r="F2291" s="88"/>
    </row>
    <row r="2292" spans="2:6" s="6" customFormat="1" ht="13.5">
      <c r="B2292" s="29"/>
      <c r="C2292" s="29"/>
      <c r="D2292" s="30"/>
      <c r="E2292" s="33"/>
      <c r="F2292" s="88"/>
    </row>
    <row r="2293" spans="2:6" s="6" customFormat="1" ht="13.5">
      <c r="B2293" s="29"/>
      <c r="C2293" s="29"/>
      <c r="D2293" s="30"/>
      <c r="E2293" s="33"/>
      <c r="F2293" s="88"/>
    </row>
    <row r="2294" spans="2:6" s="6" customFormat="1" ht="13.5">
      <c r="B2294" s="29"/>
      <c r="C2294" s="29"/>
      <c r="D2294" s="30"/>
      <c r="E2294" s="33"/>
      <c r="F2294" s="88"/>
    </row>
    <row r="2295" spans="2:6" s="6" customFormat="1" ht="13.5">
      <c r="B2295" s="29"/>
      <c r="C2295" s="29"/>
      <c r="D2295" s="30"/>
      <c r="E2295" s="33"/>
      <c r="F2295" s="88"/>
    </row>
    <row r="2296" spans="2:6" s="6" customFormat="1" ht="13.5">
      <c r="B2296" s="29"/>
      <c r="C2296" s="29"/>
      <c r="D2296" s="30"/>
      <c r="E2296" s="33"/>
      <c r="F2296" s="88"/>
    </row>
    <row r="2297" spans="2:6" s="6" customFormat="1" ht="13.5">
      <c r="B2297" s="29"/>
      <c r="C2297" s="29"/>
      <c r="D2297" s="30"/>
      <c r="E2297" s="33"/>
      <c r="F2297" s="88"/>
    </row>
    <row r="2298" spans="2:6" s="6" customFormat="1" ht="13.5">
      <c r="B2298" s="29"/>
      <c r="C2298" s="29"/>
      <c r="D2298" s="30"/>
      <c r="E2298" s="33"/>
      <c r="F2298" s="88"/>
    </row>
    <row r="2299" spans="2:6" s="6" customFormat="1" ht="13.5">
      <c r="B2299" s="29"/>
      <c r="C2299" s="29"/>
      <c r="D2299" s="30"/>
      <c r="E2299" s="33"/>
      <c r="F2299" s="88"/>
    </row>
    <row r="2300" spans="2:6" s="6" customFormat="1" ht="13.5">
      <c r="B2300" s="29"/>
      <c r="C2300" s="29"/>
      <c r="D2300" s="30"/>
      <c r="E2300" s="33"/>
      <c r="F2300" s="88"/>
    </row>
    <row r="2301" spans="2:6" s="6" customFormat="1" ht="13.5">
      <c r="B2301" s="29"/>
      <c r="C2301" s="29"/>
      <c r="D2301" s="30"/>
      <c r="E2301" s="33"/>
      <c r="F2301" s="88"/>
    </row>
    <row r="2302" spans="2:6" s="6" customFormat="1" ht="13.5">
      <c r="B2302" s="29"/>
      <c r="C2302" s="29"/>
      <c r="D2302" s="30"/>
      <c r="E2302" s="33"/>
      <c r="F2302" s="88"/>
    </row>
    <row r="2303" spans="2:6" s="6" customFormat="1" ht="13.5">
      <c r="B2303" s="29"/>
      <c r="C2303" s="29"/>
      <c r="D2303" s="30"/>
      <c r="E2303" s="33"/>
      <c r="F2303" s="88"/>
    </row>
    <row r="2304" spans="2:6" s="6" customFormat="1" ht="13.5">
      <c r="B2304" s="29"/>
      <c r="C2304" s="29"/>
      <c r="D2304" s="30"/>
      <c r="E2304" s="33"/>
      <c r="F2304" s="88"/>
    </row>
    <row r="2305" spans="2:6" s="6" customFormat="1" ht="13.5">
      <c r="B2305" s="29"/>
      <c r="C2305" s="29"/>
      <c r="D2305" s="30"/>
      <c r="E2305" s="33"/>
      <c r="F2305" s="88"/>
    </row>
    <row r="2306" spans="2:6" s="6" customFormat="1" ht="13.5">
      <c r="B2306" s="29"/>
      <c r="C2306" s="29"/>
      <c r="D2306" s="30"/>
      <c r="E2306" s="33"/>
      <c r="F2306" s="88"/>
    </row>
    <row r="2307" spans="2:6" s="6" customFormat="1" ht="13.5">
      <c r="B2307" s="29"/>
      <c r="C2307" s="29"/>
      <c r="D2307" s="30"/>
      <c r="E2307" s="33"/>
      <c r="F2307" s="88"/>
    </row>
    <row r="2308" spans="2:6" s="6" customFormat="1" ht="13.5">
      <c r="B2308" s="29"/>
      <c r="C2308" s="29"/>
      <c r="D2308" s="30"/>
      <c r="E2308" s="33"/>
      <c r="F2308" s="88"/>
    </row>
    <row r="2309" spans="2:6" s="6" customFormat="1" ht="13.5">
      <c r="B2309" s="29"/>
      <c r="C2309" s="29"/>
      <c r="D2309" s="30"/>
      <c r="E2309" s="33"/>
      <c r="F2309" s="88"/>
    </row>
    <row r="2310" spans="2:6" s="6" customFormat="1" ht="13.5">
      <c r="B2310" s="29"/>
      <c r="C2310" s="29"/>
      <c r="D2310" s="30"/>
      <c r="E2310" s="33"/>
      <c r="F2310" s="88"/>
    </row>
    <row r="2311" spans="2:6" s="6" customFormat="1" ht="13.5">
      <c r="B2311" s="29"/>
      <c r="C2311" s="29"/>
      <c r="D2311" s="30"/>
      <c r="E2311" s="33"/>
      <c r="F2311" s="88"/>
    </row>
    <row r="2312" spans="2:6" s="6" customFormat="1" ht="13.5">
      <c r="B2312" s="29"/>
      <c r="C2312" s="29"/>
      <c r="D2312" s="30"/>
      <c r="E2312" s="33"/>
      <c r="F2312" s="88"/>
    </row>
    <row r="2313" spans="2:6" s="6" customFormat="1" ht="13.5">
      <c r="B2313" s="29"/>
      <c r="C2313" s="29"/>
      <c r="D2313" s="30"/>
      <c r="E2313" s="33"/>
      <c r="F2313" s="88"/>
    </row>
    <row r="2314" spans="2:6" s="6" customFormat="1" ht="13.5">
      <c r="B2314" s="29"/>
      <c r="C2314" s="29"/>
      <c r="D2314" s="30"/>
      <c r="E2314" s="33"/>
      <c r="F2314" s="88"/>
    </row>
    <row r="2315" spans="2:6" s="6" customFormat="1" ht="13.5">
      <c r="B2315" s="29"/>
      <c r="C2315" s="29"/>
      <c r="D2315" s="30"/>
      <c r="E2315" s="33"/>
      <c r="F2315" s="88"/>
    </row>
    <row r="2316" spans="2:6" s="6" customFormat="1" ht="13.5">
      <c r="B2316" s="29"/>
      <c r="C2316" s="29"/>
      <c r="D2316" s="30"/>
      <c r="E2316" s="33"/>
      <c r="F2316" s="88"/>
    </row>
    <row r="2317" spans="2:6" s="6" customFormat="1" ht="13.5">
      <c r="B2317" s="29"/>
      <c r="C2317" s="29"/>
      <c r="D2317" s="30"/>
      <c r="E2317" s="33"/>
      <c r="F2317" s="88"/>
    </row>
    <row r="2318" spans="2:6" s="6" customFormat="1" ht="13.5">
      <c r="B2318" s="29"/>
      <c r="C2318" s="29"/>
      <c r="D2318" s="30"/>
      <c r="E2318" s="33"/>
      <c r="F2318" s="88"/>
    </row>
    <row r="2319" spans="2:6" s="6" customFormat="1" ht="13.5">
      <c r="B2319" s="29"/>
      <c r="C2319" s="29"/>
      <c r="D2319" s="30"/>
      <c r="E2319" s="33"/>
      <c r="F2319" s="88"/>
    </row>
    <row r="2320" spans="2:6" s="6" customFormat="1" ht="13.5">
      <c r="B2320" s="29"/>
      <c r="C2320" s="29"/>
      <c r="D2320" s="30"/>
      <c r="E2320" s="33"/>
      <c r="F2320" s="88"/>
    </row>
    <row r="2321" spans="2:6" s="6" customFormat="1" ht="13.5">
      <c r="B2321" s="29"/>
      <c r="C2321" s="29"/>
      <c r="D2321" s="30"/>
      <c r="E2321" s="33"/>
      <c r="F2321" s="88"/>
    </row>
    <row r="2322" spans="2:6" s="6" customFormat="1" ht="13.5">
      <c r="B2322" s="29"/>
      <c r="C2322" s="29"/>
      <c r="D2322" s="30"/>
      <c r="E2322" s="33"/>
      <c r="F2322" s="88"/>
    </row>
    <row r="2323" spans="2:6" s="6" customFormat="1" ht="13.5">
      <c r="B2323" s="29"/>
      <c r="C2323" s="29"/>
      <c r="D2323" s="30"/>
      <c r="E2323" s="33"/>
      <c r="F2323" s="88"/>
    </row>
    <row r="2324" spans="2:6" s="6" customFormat="1" ht="13.5">
      <c r="B2324" s="29"/>
      <c r="C2324" s="29"/>
      <c r="D2324" s="30"/>
      <c r="E2324" s="33"/>
      <c r="F2324" s="88"/>
    </row>
    <row r="2325" spans="2:6" s="6" customFormat="1" ht="13.5">
      <c r="B2325" s="29"/>
      <c r="C2325" s="29"/>
      <c r="D2325" s="30"/>
      <c r="E2325" s="33"/>
      <c r="F2325" s="88"/>
    </row>
    <row r="2326" spans="2:6" s="6" customFormat="1" ht="13.5">
      <c r="B2326" s="29"/>
      <c r="C2326" s="29"/>
      <c r="D2326" s="30"/>
      <c r="E2326" s="33"/>
      <c r="F2326" s="88"/>
    </row>
    <row r="2327" spans="2:6" s="6" customFormat="1" ht="13.5">
      <c r="B2327" s="29"/>
      <c r="C2327" s="29"/>
      <c r="D2327" s="30"/>
      <c r="E2327" s="33"/>
      <c r="F2327" s="88"/>
    </row>
    <row r="2328" spans="2:6" s="6" customFormat="1" ht="13.5">
      <c r="B2328" s="29"/>
      <c r="C2328" s="29"/>
      <c r="D2328" s="30"/>
      <c r="E2328" s="33"/>
      <c r="F2328" s="88"/>
    </row>
    <row r="2329" spans="2:6" s="6" customFormat="1" ht="13.5">
      <c r="B2329" s="29"/>
      <c r="C2329" s="29"/>
      <c r="D2329" s="30"/>
      <c r="E2329" s="33"/>
      <c r="F2329" s="88"/>
    </row>
    <row r="2330" spans="2:6" s="6" customFormat="1" ht="13.5">
      <c r="B2330" s="29"/>
      <c r="C2330" s="29"/>
      <c r="D2330" s="30"/>
      <c r="E2330" s="33"/>
      <c r="F2330" s="88"/>
    </row>
    <row r="2331" spans="2:6" s="6" customFormat="1" ht="13.5">
      <c r="B2331" s="29"/>
      <c r="C2331" s="29"/>
      <c r="D2331" s="30"/>
      <c r="E2331" s="33"/>
      <c r="F2331" s="88"/>
    </row>
    <row r="2332" spans="2:6" s="6" customFormat="1" ht="13.5">
      <c r="B2332" s="29"/>
      <c r="C2332" s="29"/>
      <c r="D2332" s="30"/>
      <c r="E2332" s="33"/>
      <c r="F2332" s="88"/>
    </row>
    <row r="2333" spans="2:6" s="6" customFormat="1" ht="13.5">
      <c r="B2333" s="29"/>
      <c r="C2333" s="29"/>
      <c r="D2333" s="30"/>
      <c r="E2333" s="33"/>
      <c r="F2333" s="88"/>
    </row>
    <row r="2334" spans="2:6" s="6" customFormat="1" ht="13.5">
      <c r="B2334" s="29"/>
      <c r="C2334" s="29"/>
      <c r="D2334" s="30"/>
      <c r="E2334" s="33"/>
      <c r="F2334" s="88"/>
    </row>
    <row r="2335" spans="2:6" s="6" customFormat="1" ht="13.5">
      <c r="B2335" s="29"/>
      <c r="C2335" s="29"/>
      <c r="D2335" s="30"/>
      <c r="E2335" s="33"/>
      <c r="F2335" s="88"/>
    </row>
    <row r="2336" spans="2:6" s="6" customFormat="1" ht="13.5">
      <c r="B2336" s="29"/>
      <c r="C2336" s="29"/>
      <c r="D2336" s="30"/>
      <c r="E2336" s="33"/>
      <c r="F2336" s="88"/>
    </row>
    <row r="2337" spans="2:6" s="6" customFormat="1" ht="13.5">
      <c r="B2337" s="29"/>
      <c r="C2337" s="29"/>
      <c r="D2337" s="30"/>
      <c r="E2337" s="33"/>
      <c r="F2337" s="88"/>
    </row>
    <row r="2338" spans="2:6" s="6" customFormat="1" ht="13.5">
      <c r="B2338" s="29"/>
      <c r="C2338" s="29"/>
      <c r="D2338" s="30"/>
      <c r="E2338" s="33"/>
      <c r="F2338" s="88"/>
    </row>
    <row r="2339" spans="2:6" s="6" customFormat="1" ht="13.5">
      <c r="B2339" s="29"/>
      <c r="C2339" s="29"/>
      <c r="D2339" s="30"/>
      <c r="E2339" s="33"/>
      <c r="F2339" s="88"/>
    </row>
    <row r="2340" spans="2:6" s="6" customFormat="1" ht="13.5">
      <c r="B2340" s="29"/>
      <c r="C2340" s="29"/>
      <c r="D2340" s="30"/>
      <c r="E2340" s="33"/>
      <c r="F2340" s="88"/>
    </row>
    <row r="2341" spans="2:6" s="6" customFormat="1" ht="13.5">
      <c r="B2341" s="29"/>
      <c r="C2341" s="29"/>
      <c r="D2341" s="30"/>
      <c r="E2341" s="33"/>
      <c r="F2341" s="88"/>
    </row>
    <row r="2342" spans="2:6" s="6" customFormat="1" ht="13.5">
      <c r="B2342" s="29"/>
      <c r="C2342" s="29"/>
      <c r="D2342" s="30"/>
      <c r="E2342" s="33"/>
      <c r="F2342" s="88"/>
    </row>
    <row r="2343" spans="2:6" s="6" customFormat="1" ht="13.5">
      <c r="B2343" s="29"/>
      <c r="C2343" s="29"/>
      <c r="D2343" s="30"/>
      <c r="E2343" s="33"/>
      <c r="F2343" s="88"/>
    </row>
    <row r="2344" spans="2:6" s="6" customFormat="1" ht="13.5">
      <c r="B2344" s="29"/>
      <c r="C2344" s="29"/>
      <c r="D2344" s="30"/>
      <c r="E2344" s="33"/>
      <c r="F2344" s="88"/>
    </row>
    <row r="2345" spans="2:6" s="6" customFormat="1" ht="13.5">
      <c r="B2345" s="29"/>
      <c r="C2345" s="29"/>
      <c r="D2345" s="30"/>
      <c r="E2345" s="33"/>
      <c r="F2345" s="88"/>
    </row>
    <row r="2346" spans="2:6" s="6" customFormat="1" ht="13.5">
      <c r="B2346" s="29"/>
      <c r="C2346" s="29"/>
      <c r="D2346" s="30"/>
      <c r="E2346" s="33"/>
      <c r="F2346" s="88"/>
    </row>
    <row r="2347" spans="2:6" s="6" customFormat="1" ht="13.5">
      <c r="B2347" s="29"/>
      <c r="C2347" s="29"/>
      <c r="D2347" s="30"/>
      <c r="E2347" s="33"/>
      <c r="F2347" s="88"/>
    </row>
    <row r="2348" spans="2:6" s="6" customFormat="1" ht="13.5">
      <c r="B2348" s="29"/>
      <c r="C2348" s="29"/>
      <c r="D2348" s="30"/>
      <c r="E2348" s="33"/>
      <c r="F2348" s="88"/>
    </row>
    <row r="2349" spans="2:6" s="6" customFormat="1" ht="13.5">
      <c r="B2349" s="29"/>
      <c r="C2349" s="29"/>
      <c r="D2349" s="30"/>
      <c r="E2349" s="33"/>
      <c r="F2349" s="88"/>
    </row>
    <row r="2350" spans="2:6" s="6" customFormat="1" ht="13.5">
      <c r="B2350" s="29"/>
      <c r="C2350" s="29"/>
      <c r="D2350" s="30"/>
      <c r="E2350" s="33"/>
      <c r="F2350" s="88"/>
    </row>
    <row r="2351" spans="2:6" s="6" customFormat="1" ht="13.5">
      <c r="B2351" s="29"/>
      <c r="C2351" s="29"/>
      <c r="D2351" s="30"/>
      <c r="E2351" s="33"/>
      <c r="F2351" s="88"/>
    </row>
    <row r="2352" spans="2:6" s="6" customFormat="1" ht="13.5">
      <c r="B2352" s="29"/>
      <c r="C2352" s="29"/>
      <c r="D2352" s="30"/>
      <c r="E2352" s="33"/>
      <c r="F2352" s="88"/>
    </row>
    <row r="2353" spans="2:6" s="6" customFormat="1" ht="13.5">
      <c r="B2353" s="29"/>
      <c r="C2353" s="29"/>
      <c r="D2353" s="30"/>
      <c r="E2353" s="33"/>
      <c r="F2353" s="88"/>
    </row>
    <row r="2354" spans="2:6" s="6" customFormat="1" ht="13.5">
      <c r="B2354" s="29"/>
      <c r="C2354" s="29"/>
      <c r="D2354" s="30"/>
      <c r="E2354" s="33"/>
      <c r="F2354" s="88"/>
    </row>
    <row r="2355" spans="2:6" s="6" customFormat="1" ht="13.5">
      <c r="B2355" s="29"/>
      <c r="C2355" s="29"/>
      <c r="D2355" s="30"/>
      <c r="E2355" s="33"/>
      <c r="F2355" s="88"/>
    </row>
    <row r="2356" spans="2:6" s="6" customFormat="1" ht="13.5">
      <c r="B2356" s="29"/>
      <c r="C2356" s="29"/>
      <c r="D2356" s="30"/>
      <c r="E2356" s="33"/>
      <c r="F2356" s="88"/>
    </row>
    <row r="2357" spans="2:6" s="6" customFormat="1" ht="13.5">
      <c r="B2357" s="29"/>
      <c r="C2357" s="29"/>
      <c r="D2357" s="30"/>
      <c r="E2357" s="33"/>
      <c r="F2357" s="88"/>
    </row>
    <row r="2358" spans="2:6" s="6" customFormat="1" ht="13.5">
      <c r="B2358" s="29"/>
      <c r="C2358" s="29"/>
      <c r="D2358" s="30"/>
      <c r="E2358" s="33"/>
      <c r="F2358" s="88"/>
    </row>
    <row r="2359" spans="2:6" s="6" customFormat="1" ht="13.5">
      <c r="B2359" s="29"/>
      <c r="C2359" s="29"/>
      <c r="D2359" s="30"/>
      <c r="E2359" s="33"/>
      <c r="F2359" s="88"/>
    </row>
    <row r="2360" spans="2:6" s="6" customFormat="1" ht="13.5">
      <c r="B2360" s="29"/>
      <c r="C2360" s="29"/>
      <c r="D2360" s="30"/>
      <c r="E2360" s="33"/>
      <c r="F2360" s="88"/>
    </row>
    <row r="2361" spans="2:6" s="6" customFormat="1" ht="13.5">
      <c r="B2361" s="29"/>
      <c r="C2361" s="29"/>
      <c r="D2361" s="30"/>
      <c r="E2361" s="33"/>
      <c r="F2361" s="88"/>
    </row>
    <row r="2362" spans="2:6" s="6" customFormat="1" ht="13.5">
      <c r="B2362" s="29"/>
      <c r="C2362" s="29"/>
      <c r="D2362" s="30"/>
      <c r="E2362" s="33"/>
      <c r="F2362" s="88"/>
    </row>
    <row r="2363" spans="2:6" s="6" customFormat="1" ht="13.5">
      <c r="B2363" s="29"/>
      <c r="C2363" s="29"/>
      <c r="D2363" s="30"/>
      <c r="E2363" s="33"/>
      <c r="F2363" s="88"/>
    </row>
    <row r="2364" spans="2:6" s="6" customFormat="1" ht="13.5">
      <c r="B2364" s="29"/>
      <c r="C2364" s="29"/>
      <c r="D2364" s="30"/>
      <c r="E2364" s="33"/>
      <c r="F2364" s="88"/>
    </row>
    <row r="2365" spans="2:6" s="6" customFormat="1" ht="13.5">
      <c r="B2365" s="29"/>
      <c r="C2365" s="29"/>
      <c r="D2365" s="30"/>
      <c r="E2365" s="33"/>
      <c r="F2365" s="88"/>
    </row>
    <row r="2366" spans="2:6" s="6" customFormat="1" ht="13.5">
      <c r="B2366" s="29"/>
      <c r="C2366" s="29"/>
      <c r="D2366" s="30"/>
      <c r="E2366" s="33"/>
      <c r="F2366" s="88"/>
    </row>
    <row r="2367" spans="2:6" s="6" customFormat="1" ht="13.5">
      <c r="B2367" s="29"/>
      <c r="C2367" s="29"/>
      <c r="D2367" s="30"/>
      <c r="E2367" s="33"/>
      <c r="F2367" s="88"/>
    </row>
    <row r="2368" spans="2:6" s="6" customFormat="1" ht="13.5">
      <c r="B2368" s="29"/>
      <c r="C2368" s="29"/>
      <c r="D2368" s="30"/>
      <c r="E2368" s="33"/>
      <c r="F2368" s="88"/>
    </row>
    <row r="2369" spans="2:6" s="6" customFormat="1" ht="13.5">
      <c r="B2369" s="29"/>
      <c r="C2369" s="29"/>
      <c r="D2369" s="30"/>
      <c r="E2369" s="33"/>
      <c r="F2369" s="88"/>
    </row>
    <row r="2370" spans="2:6" s="6" customFormat="1" ht="13.5">
      <c r="B2370" s="29"/>
      <c r="C2370" s="29"/>
      <c r="D2370" s="30"/>
      <c r="E2370" s="33"/>
      <c r="F2370" s="88"/>
    </row>
    <row r="2371" spans="2:6" s="6" customFormat="1" ht="13.5">
      <c r="B2371" s="29"/>
      <c r="C2371" s="29"/>
      <c r="D2371" s="30"/>
      <c r="E2371" s="33"/>
      <c r="F2371" s="88"/>
    </row>
    <row r="2372" spans="2:6" s="6" customFormat="1" ht="13.5">
      <c r="B2372" s="29"/>
      <c r="C2372" s="29"/>
      <c r="D2372" s="30"/>
      <c r="E2372" s="33"/>
      <c r="F2372" s="88"/>
    </row>
    <row r="2373" spans="2:6" s="6" customFormat="1" ht="13.5">
      <c r="B2373" s="29"/>
      <c r="C2373" s="29"/>
      <c r="D2373" s="30"/>
      <c r="E2373" s="33"/>
      <c r="F2373" s="88"/>
    </row>
    <row r="2374" spans="2:6" s="6" customFormat="1" ht="13.5">
      <c r="B2374" s="29"/>
      <c r="C2374" s="29"/>
      <c r="D2374" s="30"/>
      <c r="E2374" s="33"/>
      <c r="F2374" s="88"/>
    </row>
    <row r="2375" spans="2:6" s="6" customFormat="1" ht="13.5">
      <c r="B2375" s="29"/>
      <c r="C2375" s="29"/>
      <c r="D2375" s="30"/>
      <c r="E2375" s="33"/>
      <c r="F2375" s="88"/>
    </row>
    <row r="2376" spans="2:6" s="6" customFormat="1" ht="13.5">
      <c r="B2376" s="29"/>
      <c r="C2376" s="29"/>
      <c r="D2376" s="30"/>
      <c r="E2376" s="33"/>
      <c r="F2376" s="88"/>
    </row>
    <row r="2377" spans="2:6" s="6" customFormat="1" ht="13.5">
      <c r="B2377" s="29"/>
      <c r="C2377" s="29"/>
      <c r="D2377" s="30"/>
      <c r="E2377" s="33"/>
      <c r="F2377" s="88"/>
    </row>
    <row r="2378" spans="2:6" s="6" customFormat="1" ht="13.5">
      <c r="B2378" s="29"/>
      <c r="C2378" s="29"/>
      <c r="D2378" s="30"/>
      <c r="E2378" s="33"/>
      <c r="F2378" s="88"/>
    </row>
    <row r="2379" spans="2:6" s="6" customFormat="1" ht="13.5">
      <c r="B2379" s="29"/>
      <c r="C2379" s="29"/>
      <c r="D2379" s="30"/>
      <c r="E2379" s="33"/>
      <c r="F2379" s="88"/>
    </row>
    <row r="2380" spans="2:6" s="6" customFormat="1" ht="13.5">
      <c r="B2380" s="29"/>
      <c r="C2380" s="29"/>
      <c r="D2380" s="30"/>
      <c r="E2380" s="33"/>
      <c r="F2380" s="88"/>
    </row>
    <row r="2381" spans="2:6" s="6" customFormat="1" ht="13.5">
      <c r="B2381" s="29"/>
      <c r="C2381" s="29"/>
      <c r="D2381" s="30"/>
      <c r="E2381" s="33"/>
      <c r="F2381" s="88"/>
    </row>
    <row r="2382" spans="2:6" s="6" customFormat="1" ht="13.5">
      <c r="B2382" s="29"/>
      <c r="C2382" s="29"/>
      <c r="D2382" s="30"/>
      <c r="E2382" s="33"/>
      <c r="F2382" s="88"/>
    </row>
    <row r="2383" spans="2:6" s="6" customFormat="1" ht="13.5">
      <c r="B2383" s="29"/>
      <c r="C2383" s="29"/>
      <c r="D2383" s="30"/>
      <c r="E2383" s="33"/>
      <c r="F2383" s="88"/>
    </row>
    <row r="2384" spans="2:6" s="6" customFormat="1" ht="13.5">
      <c r="B2384" s="29"/>
      <c r="C2384" s="29"/>
      <c r="D2384" s="30"/>
      <c r="E2384" s="33"/>
      <c r="F2384" s="88"/>
    </row>
    <row r="2385" spans="2:6" s="6" customFormat="1" ht="13.5">
      <c r="B2385" s="29"/>
      <c r="C2385" s="29"/>
      <c r="D2385" s="30"/>
      <c r="E2385" s="33"/>
      <c r="F2385" s="88"/>
    </row>
    <row r="2386" spans="2:6" s="6" customFormat="1" ht="13.5">
      <c r="B2386" s="29"/>
      <c r="C2386" s="29"/>
      <c r="D2386" s="30"/>
      <c r="E2386" s="33"/>
      <c r="F2386" s="88"/>
    </row>
    <row r="2387" spans="2:6" s="6" customFormat="1" ht="13.5">
      <c r="B2387" s="29"/>
      <c r="C2387" s="29"/>
      <c r="D2387" s="30"/>
      <c r="E2387" s="33"/>
      <c r="F2387" s="88"/>
    </row>
    <row r="2388" spans="2:6" s="6" customFormat="1" ht="13.5">
      <c r="B2388" s="29"/>
      <c r="C2388" s="29"/>
      <c r="D2388" s="30"/>
      <c r="E2388" s="33"/>
      <c r="F2388" s="88"/>
    </row>
    <row r="2389" spans="2:6" s="6" customFormat="1" ht="13.5">
      <c r="B2389" s="29"/>
      <c r="C2389" s="29"/>
      <c r="D2389" s="30"/>
      <c r="E2389" s="33"/>
      <c r="F2389" s="88"/>
    </row>
    <row r="2390" spans="2:6" s="6" customFormat="1" ht="13.5">
      <c r="B2390" s="29"/>
      <c r="C2390" s="29"/>
      <c r="D2390" s="30"/>
      <c r="E2390" s="33"/>
      <c r="F2390" s="88"/>
    </row>
    <row r="2391" spans="2:6" s="6" customFormat="1" ht="13.5">
      <c r="B2391" s="29"/>
      <c r="C2391" s="29"/>
      <c r="D2391" s="30"/>
      <c r="E2391" s="33"/>
      <c r="F2391" s="88"/>
    </row>
    <row r="2392" spans="2:6" s="6" customFormat="1" ht="13.5">
      <c r="B2392" s="29"/>
      <c r="C2392" s="29"/>
      <c r="D2392" s="30"/>
      <c r="E2392" s="33"/>
      <c r="F2392" s="88"/>
    </row>
    <row r="2393" spans="2:6" s="6" customFormat="1" ht="13.5">
      <c r="B2393" s="29"/>
      <c r="C2393" s="29"/>
      <c r="D2393" s="30"/>
      <c r="E2393" s="33"/>
      <c r="F2393" s="88"/>
    </row>
    <row r="2394" spans="2:6" s="6" customFormat="1" ht="13.5">
      <c r="B2394" s="29"/>
      <c r="C2394" s="29"/>
      <c r="D2394" s="30"/>
      <c r="E2394" s="33"/>
      <c r="F2394" s="88"/>
    </row>
    <row r="2395" spans="2:6" s="6" customFormat="1" ht="13.5">
      <c r="B2395" s="29"/>
      <c r="C2395" s="29"/>
      <c r="D2395" s="30"/>
      <c r="E2395" s="33"/>
      <c r="F2395" s="88"/>
    </row>
    <row r="2396" spans="2:6" s="6" customFormat="1" ht="13.5">
      <c r="B2396" s="29"/>
      <c r="C2396" s="29"/>
      <c r="D2396" s="30"/>
      <c r="E2396" s="33"/>
      <c r="F2396" s="88"/>
    </row>
    <row r="2397" spans="2:6" s="6" customFormat="1" ht="13.5">
      <c r="B2397" s="29"/>
      <c r="C2397" s="29"/>
      <c r="D2397" s="30"/>
      <c r="E2397" s="33"/>
      <c r="F2397" s="88"/>
    </row>
    <row r="2398" spans="2:6" s="6" customFormat="1" ht="13.5">
      <c r="B2398" s="29"/>
      <c r="C2398" s="29"/>
      <c r="D2398" s="30"/>
      <c r="E2398" s="33"/>
      <c r="F2398" s="88"/>
    </row>
    <row r="2399" spans="2:6" s="6" customFormat="1" ht="13.5">
      <c r="B2399" s="29"/>
      <c r="C2399" s="29"/>
      <c r="D2399" s="30"/>
      <c r="E2399" s="33"/>
      <c r="F2399" s="88"/>
    </row>
    <row r="2400" spans="2:6" s="6" customFormat="1" ht="13.5">
      <c r="B2400" s="29"/>
      <c r="C2400" s="29"/>
      <c r="D2400" s="30"/>
      <c r="E2400" s="33"/>
      <c r="F2400" s="88"/>
    </row>
    <row r="2401" spans="2:6" s="6" customFormat="1" ht="13.5">
      <c r="B2401" s="29"/>
      <c r="C2401" s="29"/>
      <c r="D2401" s="30"/>
      <c r="E2401" s="33"/>
      <c r="F2401" s="88"/>
    </row>
    <row r="2402" spans="2:6" s="6" customFormat="1" ht="13.5">
      <c r="B2402" s="29"/>
      <c r="C2402" s="29"/>
      <c r="D2402" s="30"/>
      <c r="E2402" s="33"/>
      <c r="F2402" s="88"/>
    </row>
    <row r="2403" spans="2:6" s="6" customFormat="1" ht="13.5">
      <c r="B2403" s="29"/>
      <c r="C2403" s="29"/>
      <c r="D2403" s="30"/>
      <c r="E2403" s="33"/>
      <c r="F2403" s="88"/>
    </row>
    <row r="2404" spans="2:6" s="6" customFormat="1" ht="13.5">
      <c r="B2404" s="29"/>
      <c r="C2404" s="29"/>
      <c r="D2404" s="30"/>
      <c r="E2404" s="33"/>
      <c r="F2404" s="88"/>
    </row>
    <row r="2405" spans="2:6" s="6" customFormat="1" ht="13.5">
      <c r="B2405" s="29"/>
      <c r="C2405" s="29"/>
      <c r="D2405" s="30"/>
      <c r="E2405" s="33"/>
      <c r="F2405" s="88"/>
    </row>
    <row r="2406" spans="2:6" s="6" customFormat="1" ht="13.5">
      <c r="B2406" s="29"/>
      <c r="C2406" s="29"/>
      <c r="D2406" s="30"/>
      <c r="E2406" s="33"/>
      <c r="F2406" s="88"/>
    </row>
    <row r="2407" spans="2:6" s="6" customFormat="1" ht="13.5">
      <c r="B2407" s="29"/>
      <c r="C2407" s="29"/>
      <c r="D2407" s="30"/>
      <c r="E2407" s="33"/>
      <c r="F2407" s="88"/>
    </row>
    <row r="2408" spans="2:6" s="6" customFormat="1" ht="13.5">
      <c r="B2408" s="29"/>
      <c r="C2408" s="29"/>
      <c r="D2408" s="30"/>
      <c r="E2408" s="33"/>
      <c r="F2408" s="88"/>
    </row>
    <row r="2409" spans="2:6" s="6" customFormat="1" ht="13.5">
      <c r="B2409" s="29"/>
      <c r="C2409" s="29"/>
      <c r="D2409" s="30"/>
      <c r="E2409" s="33"/>
      <c r="F2409" s="88"/>
    </row>
    <row r="2410" spans="2:6" s="6" customFormat="1" ht="13.5">
      <c r="B2410" s="29"/>
      <c r="C2410" s="29"/>
      <c r="D2410" s="30"/>
      <c r="E2410" s="33"/>
      <c r="F2410" s="88"/>
    </row>
    <row r="2411" spans="2:6" s="6" customFormat="1" ht="13.5">
      <c r="B2411" s="29"/>
      <c r="C2411" s="29"/>
      <c r="D2411" s="30"/>
      <c r="E2411" s="33"/>
      <c r="F2411" s="88"/>
    </row>
    <row r="2412" spans="2:6" s="6" customFormat="1" ht="13.5">
      <c r="B2412" s="29"/>
      <c r="C2412" s="29"/>
      <c r="D2412" s="30"/>
      <c r="E2412" s="33"/>
      <c r="F2412" s="88"/>
    </row>
    <row r="2413" spans="2:6" s="6" customFormat="1" ht="13.5">
      <c r="B2413" s="29"/>
      <c r="C2413" s="29"/>
      <c r="D2413" s="30"/>
      <c r="E2413" s="33"/>
      <c r="F2413" s="88"/>
    </row>
    <row r="2414" spans="2:6" s="6" customFormat="1" ht="13.5">
      <c r="B2414" s="29"/>
      <c r="C2414" s="29"/>
      <c r="D2414" s="30"/>
      <c r="E2414" s="33"/>
      <c r="F2414" s="88"/>
    </row>
    <row r="2415" spans="2:6" s="6" customFormat="1" ht="13.5">
      <c r="B2415" s="29"/>
      <c r="C2415" s="29"/>
      <c r="D2415" s="30"/>
      <c r="E2415" s="33"/>
      <c r="F2415" s="88"/>
    </row>
    <row r="2416" spans="2:6" s="6" customFormat="1" ht="13.5">
      <c r="B2416" s="29"/>
      <c r="C2416" s="29"/>
      <c r="D2416" s="30"/>
      <c r="E2416" s="33"/>
      <c r="F2416" s="88"/>
    </row>
    <row r="2417" spans="2:6" s="6" customFormat="1" ht="13.5">
      <c r="B2417" s="29"/>
      <c r="C2417" s="29"/>
      <c r="D2417" s="30"/>
      <c r="E2417" s="33"/>
      <c r="F2417" s="88"/>
    </row>
    <row r="2418" spans="2:6" s="6" customFormat="1" ht="13.5">
      <c r="B2418" s="29"/>
      <c r="C2418" s="29"/>
      <c r="D2418" s="30"/>
      <c r="E2418" s="33"/>
      <c r="F2418" s="88"/>
    </row>
    <row r="2419" spans="2:6" s="6" customFormat="1" ht="13.5">
      <c r="B2419" s="29"/>
      <c r="C2419" s="29"/>
      <c r="D2419" s="30"/>
      <c r="E2419" s="33"/>
      <c r="F2419" s="88"/>
    </row>
    <row r="2420" spans="2:6" s="6" customFormat="1" ht="13.5">
      <c r="B2420" s="29"/>
      <c r="C2420" s="29"/>
      <c r="D2420" s="30"/>
      <c r="E2420" s="33"/>
      <c r="F2420" s="88"/>
    </row>
    <row r="2421" spans="2:6" s="6" customFormat="1" ht="13.5">
      <c r="B2421" s="29"/>
      <c r="C2421" s="29"/>
      <c r="D2421" s="30"/>
      <c r="E2421" s="33"/>
      <c r="F2421" s="88"/>
    </row>
    <row r="2422" spans="2:6" s="6" customFormat="1" ht="13.5">
      <c r="B2422" s="29"/>
      <c r="C2422" s="29"/>
      <c r="D2422" s="30"/>
      <c r="E2422" s="33"/>
      <c r="F2422" s="88"/>
    </row>
    <row r="2423" spans="2:6" s="6" customFormat="1" ht="13.5">
      <c r="B2423" s="29"/>
      <c r="C2423" s="29"/>
      <c r="D2423" s="30"/>
      <c r="E2423" s="33"/>
      <c r="F2423" s="88"/>
    </row>
    <row r="2424" spans="2:6" s="6" customFormat="1" ht="13.5">
      <c r="B2424" s="29"/>
      <c r="C2424" s="29"/>
      <c r="D2424" s="30"/>
      <c r="E2424" s="33"/>
      <c r="F2424" s="88"/>
    </row>
    <row r="2425" spans="2:6" s="6" customFormat="1" ht="13.5">
      <c r="B2425" s="29"/>
      <c r="C2425" s="29"/>
      <c r="D2425" s="30"/>
      <c r="E2425" s="33"/>
      <c r="F2425" s="88"/>
    </row>
    <row r="2426" spans="2:6" s="6" customFormat="1" ht="13.5">
      <c r="B2426" s="29"/>
      <c r="C2426" s="29"/>
      <c r="D2426" s="30"/>
      <c r="E2426" s="33"/>
      <c r="F2426" s="88"/>
    </row>
    <row r="2427" spans="2:6" s="6" customFormat="1" ht="13.5">
      <c r="B2427" s="29"/>
      <c r="C2427" s="29"/>
      <c r="D2427" s="30"/>
      <c r="E2427" s="33"/>
      <c r="F2427" s="88"/>
    </row>
    <row r="2428" spans="2:6" s="6" customFormat="1" ht="13.5">
      <c r="B2428" s="29"/>
      <c r="C2428" s="29"/>
      <c r="D2428" s="30"/>
      <c r="E2428" s="33"/>
      <c r="F2428" s="88"/>
    </row>
    <row r="2429" spans="2:6" s="6" customFormat="1" ht="13.5">
      <c r="B2429" s="29"/>
      <c r="C2429" s="29"/>
      <c r="D2429" s="30"/>
      <c r="E2429" s="33"/>
      <c r="F2429" s="88"/>
    </row>
    <row r="2430" spans="2:6" s="6" customFormat="1" ht="13.5">
      <c r="B2430" s="29"/>
      <c r="C2430" s="29"/>
      <c r="D2430" s="30"/>
      <c r="E2430" s="33"/>
      <c r="F2430" s="88"/>
    </row>
    <row r="2431" spans="2:6" s="6" customFormat="1" ht="13.5">
      <c r="B2431" s="29"/>
      <c r="C2431" s="29"/>
      <c r="D2431" s="30"/>
      <c r="E2431" s="33"/>
      <c r="F2431" s="88"/>
    </row>
    <row r="2432" spans="2:6" s="6" customFormat="1" ht="13.5">
      <c r="B2432" s="29"/>
      <c r="C2432" s="29"/>
      <c r="D2432" s="30"/>
      <c r="E2432" s="33"/>
      <c r="F2432" s="88"/>
    </row>
    <row r="2433" spans="2:6" s="6" customFormat="1" ht="13.5">
      <c r="B2433" s="29"/>
      <c r="C2433" s="29"/>
      <c r="D2433" s="30"/>
      <c r="E2433" s="33"/>
      <c r="F2433" s="88"/>
    </row>
    <row r="2434" spans="2:6" s="6" customFormat="1" ht="13.5">
      <c r="B2434" s="29"/>
      <c r="C2434" s="29"/>
      <c r="D2434" s="30"/>
      <c r="E2434" s="33"/>
      <c r="F2434" s="88"/>
    </row>
    <row r="2435" spans="2:6" s="6" customFormat="1" ht="13.5">
      <c r="B2435" s="29"/>
      <c r="C2435" s="29"/>
      <c r="D2435" s="30"/>
      <c r="E2435" s="33"/>
      <c r="F2435" s="88"/>
    </row>
    <row r="2436" spans="2:6" s="6" customFormat="1" ht="13.5">
      <c r="B2436" s="29"/>
      <c r="C2436" s="29"/>
      <c r="D2436" s="30"/>
      <c r="E2436" s="33"/>
      <c r="F2436" s="88"/>
    </row>
    <row r="2437" spans="2:6" s="6" customFormat="1" ht="13.5">
      <c r="B2437" s="29"/>
      <c r="C2437" s="29"/>
      <c r="D2437" s="30"/>
      <c r="E2437" s="33"/>
      <c r="F2437" s="88"/>
    </row>
    <row r="2438" spans="2:6" s="6" customFormat="1" ht="13.5">
      <c r="B2438" s="29"/>
      <c r="C2438" s="29"/>
      <c r="D2438" s="30"/>
      <c r="E2438" s="33"/>
      <c r="F2438" s="88"/>
    </row>
    <row r="2439" spans="2:6" s="6" customFormat="1" ht="13.5">
      <c r="B2439" s="29"/>
      <c r="C2439" s="29"/>
      <c r="D2439" s="30"/>
      <c r="E2439" s="33"/>
      <c r="F2439" s="88"/>
    </row>
    <row r="2440" spans="2:6" s="6" customFormat="1" ht="13.5">
      <c r="B2440" s="29"/>
      <c r="C2440" s="29"/>
      <c r="D2440" s="30"/>
      <c r="E2440" s="33"/>
      <c r="F2440" s="88"/>
    </row>
    <row r="2441" spans="2:6" s="6" customFormat="1" ht="13.5">
      <c r="B2441" s="29"/>
      <c r="C2441" s="29"/>
      <c r="D2441" s="30"/>
      <c r="E2441" s="33"/>
      <c r="F2441" s="88"/>
    </row>
    <row r="2442" spans="2:6" s="6" customFormat="1" ht="13.5">
      <c r="B2442" s="29"/>
      <c r="C2442" s="29"/>
      <c r="D2442" s="30"/>
      <c r="E2442" s="33"/>
      <c r="F2442" s="88"/>
    </row>
    <row r="2443" spans="2:6" s="6" customFormat="1" ht="13.5">
      <c r="B2443" s="29"/>
      <c r="C2443" s="29"/>
      <c r="D2443" s="30"/>
      <c r="E2443" s="33"/>
      <c r="F2443" s="88"/>
    </row>
    <row r="2444" spans="2:6" s="6" customFormat="1" ht="13.5">
      <c r="B2444" s="29"/>
      <c r="C2444" s="29"/>
      <c r="D2444" s="30"/>
      <c r="E2444" s="33"/>
      <c r="F2444" s="88"/>
    </row>
    <row r="2445" spans="2:6" s="6" customFormat="1" ht="13.5">
      <c r="B2445" s="29"/>
      <c r="C2445" s="29"/>
      <c r="D2445" s="30"/>
      <c r="E2445" s="33"/>
      <c r="F2445" s="88"/>
    </row>
    <row r="2446" spans="2:6" s="6" customFormat="1" ht="13.5">
      <c r="B2446" s="29"/>
      <c r="C2446" s="29"/>
      <c r="D2446" s="30"/>
      <c r="E2446" s="33"/>
      <c r="F2446" s="88"/>
    </row>
    <row r="2447" spans="2:6" s="6" customFormat="1" ht="13.5">
      <c r="B2447" s="29"/>
      <c r="C2447" s="29"/>
      <c r="D2447" s="30"/>
      <c r="E2447" s="33"/>
      <c r="F2447" s="88"/>
    </row>
    <row r="2448" spans="2:6" s="6" customFormat="1" ht="13.5">
      <c r="B2448" s="29"/>
      <c r="C2448" s="29"/>
      <c r="D2448" s="30"/>
      <c r="E2448" s="33"/>
      <c r="F2448" s="88"/>
    </row>
    <row r="2449" spans="2:6" s="6" customFormat="1" ht="13.5">
      <c r="B2449" s="29"/>
      <c r="C2449" s="29"/>
      <c r="D2449" s="30"/>
      <c r="E2449" s="33"/>
      <c r="F2449" s="88"/>
    </row>
    <row r="2450" spans="2:6" s="6" customFormat="1" ht="13.5">
      <c r="B2450" s="29"/>
      <c r="C2450" s="29"/>
      <c r="D2450" s="30"/>
      <c r="E2450" s="33"/>
      <c r="F2450" s="88"/>
    </row>
    <row r="2451" spans="2:6" s="6" customFormat="1" ht="13.5">
      <c r="B2451" s="29"/>
      <c r="C2451" s="29"/>
      <c r="D2451" s="30"/>
      <c r="E2451" s="33"/>
      <c r="F2451" s="88"/>
    </row>
    <row r="2452" spans="2:6" s="6" customFormat="1" ht="13.5">
      <c r="B2452" s="29"/>
      <c r="C2452" s="29"/>
      <c r="D2452" s="30"/>
      <c r="E2452" s="33"/>
      <c r="F2452" s="88"/>
    </row>
    <row r="2453" spans="2:6" s="6" customFormat="1" ht="13.5">
      <c r="B2453" s="29"/>
      <c r="C2453" s="29"/>
      <c r="D2453" s="30"/>
      <c r="E2453" s="33"/>
      <c r="F2453" s="88"/>
    </row>
    <row r="2454" spans="2:6" s="6" customFormat="1" ht="13.5">
      <c r="B2454" s="29"/>
      <c r="C2454" s="29"/>
      <c r="D2454" s="30"/>
      <c r="E2454" s="33"/>
      <c r="F2454" s="88"/>
    </row>
    <row r="2455" spans="2:6" s="6" customFormat="1" ht="13.5">
      <c r="B2455" s="29"/>
      <c r="C2455" s="29"/>
      <c r="D2455" s="30"/>
      <c r="E2455" s="33"/>
      <c r="F2455" s="88"/>
    </row>
    <row r="2456" spans="2:6" s="6" customFormat="1" ht="13.5">
      <c r="B2456" s="29"/>
      <c r="C2456" s="29"/>
      <c r="D2456" s="30"/>
      <c r="E2456" s="33"/>
      <c r="F2456" s="88"/>
    </row>
    <row r="2457" spans="2:6" s="6" customFormat="1" ht="13.5">
      <c r="B2457" s="29"/>
      <c r="C2457" s="29"/>
      <c r="D2457" s="30"/>
      <c r="E2457" s="33"/>
      <c r="F2457" s="88"/>
    </row>
    <row r="2458" spans="2:6" s="6" customFormat="1" ht="13.5">
      <c r="B2458" s="29"/>
      <c r="C2458" s="29"/>
      <c r="D2458" s="30"/>
      <c r="E2458" s="33"/>
      <c r="F2458" s="88"/>
    </row>
    <row r="2459" spans="2:6" s="6" customFormat="1" ht="13.5">
      <c r="B2459" s="29"/>
      <c r="C2459" s="29"/>
      <c r="D2459" s="30"/>
      <c r="E2459" s="33"/>
      <c r="F2459" s="88"/>
    </row>
    <row r="2460" spans="2:6" s="6" customFormat="1" ht="13.5">
      <c r="B2460" s="29"/>
      <c r="C2460" s="29"/>
      <c r="D2460" s="30"/>
      <c r="E2460" s="33"/>
      <c r="F2460" s="88"/>
    </row>
    <row r="2461" spans="2:6" s="6" customFormat="1" ht="13.5">
      <c r="B2461" s="29"/>
      <c r="C2461" s="29"/>
      <c r="D2461" s="30"/>
      <c r="E2461" s="33"/>
      <c r="F2461" s="88"/>
    </row>
    <row r="2462" spans="2:6" s="6" customFormat="1" ht="13.5">
      <c r="B2462" s="29"/>
      <c r="C2462" s="29"/>
      <c r="D2462" s="30"/>
      <c r="E2462" s="33"/>
      <c r="F2462" s="88"/>
    </row>
    <row r="2463" spans="2:6" s="6" customFormat="1" ht="13.5">
      <c r="B2463" s="29"/>
      <c r="C2463" s="29"/>
      <c r="D2463" s="30"/>
      <c r="E2463" s="33"/>
      <c r="F2463" s="88"/>
    </row>
    <row r="2464" spans="2:6" s="6" customFormat="1" ht="13.5">
      <c r="B2464" s="29"/>
      <c r="C2464" s="29"/>
      <c r="D2464" s="30"/>
      <c r="E2464" s="33"/>
      <c r="F2464" s="88"/>
    </row>
    <row r="2465" spans="2:6" s="6" customFormat="1" ht="13.5">
      <c r="B2465" s="29"/>
      <c r="C2465" s="29"/>
      <c r="D2465" s="30"/>
      <c r="E2465" s="33"/>
      <c r="F2465" s="88"/>
    </row>
    <row r="2466" spans="2:6" s="6" customFormat="1" ht="13.5">
      <c r="B2466" s="29"/>
      <c r="C2466" s="29"/>
      <c r="D2466" s="30"/>
      <c r="E2466" s="33"/>
      <c r="F2466" s="88"/>
    </row>
    <row r="2467" spans="2:6" s="6" customFormat="1" ht="13.5">
      <c r="B2467" s="29"/>
      <c r="C2467" s="29"/>
      <c r="D2467" s="30"/>
      <c r="E2467" s="33"/>
      <c r="F2467" s="88"/>
    </row>
    <row r="2468" spans="2:6" s="6" customFormat="1" ht="13.5">
      <c r="B2468" s="29"/>
      <c r="C2468" s="29"/>
      <c r="D2468" s="30"/>
      <c r="E2468" s="33"/>
      <c r="F2468" s="88"/>
    </row>
    <row r="2469" spans="2:6" s="6" customFormat="1" ht="13.5">
      <c r="B2469" s="29"/>
      <c r="C2469" s="29"/>
      <c r="D2469" s="30"/>
      <c r="E2469" s="33"/>
      <c r="F2469" s="88"/>
    </row>
    <row r="2470" spans="2:6" s="6" customFormat="1" ht="13.5">
      <c r="B2470" s="29"/>
      <c r="C2470" s="29"/>
      <c r="D2470" s="30"/>
      <c r="E2470" s="33"/>
      <c r="F2470" s="88"/>
    </row>
    <row r="2471" spans="2:6" s="6" customFormat="1" ht="13.5">
      <c r="B2471" s="29"/>
      <c r="C2471" s="29"/>
      <c r="D2471" s="30"/>
      <c r="E2471" s="33"/>
      <c r="F2471" s="88"/>
    </row>
    <row r="2472" spans="2:6" s="6" customFormat="1" ht="13.5">
      <c r="B2472" s="29"/>
      <c r="C2472" s="29"/>
      <c r="D2472" s="30"/>
      <c r="E2472" s="33"/>
      <c r="F2472" s="88"/>
    </row>
    <row r="2473" spans="2:6" s="6" customFormat="1" ht="13.5">
      <c r="B2473" s="29"/>
      <c r="C2473" s="29"/>
      <c r="D2473" s="30"/>
      <c r="E2473" s="33"/>
      <c r="F2473" s="88"/>
    </row>
    <row r="2474" spans="2:6" s="6" customFormat="1" ht="13.5">
      <c r="B2474" s="29"/>
      <c r="C2474" s="29"/>
      <c r="D2474" s="30"/>
      <c r="E2474" s="33"/>
      <c r="F2474" s="88"/>
    </row>
    <row r="2475" spans="2:6" s="6" customFormat="1" ht="13.5">
      <c r="B2475" s="29"/>
      <c r="C2475" s="29"/>
      <c r="D2475" s="30"/>
      <c r="E2475" s="33"/>
      <c r="F2475" s="88"/>
    </row>
    <row r="2476" spans="2:6" s="6" customFormat="1" ht="13.5">
      <c r="B2476" s="29"/>
      <c r="C2476" s="29"/>
      <c r="D2476" s="30"/>
      <c r="E2476" s="33"/>
      <c r="F2476" s="88"/>
    </row>
    <row r="2477" spans="2:6" s="6" customFormat="1" ht="13.5">
      <c r="B2477" s="29"/>
      <c r="C2477" s="29"/>
      <c r="D2477" s="30"/>
      <c r="E2477" s="33"/>
      <c r="F2477" s="88"/>
    </row>
    <row r="2478" spans="2:6" s="6" customFormat="1" ht="13.5">
      <c r="B2478" s="29"/>
      <c r="C2478" s="29"/>
      <c r="D2478" s="30"/>
      <c r="E2478" s="33"/>
      <c r="F2478" s="88"/>
    </row>
    <row r="2479" spans="2:6" s="6" customFormat="1" ht="13.5">
      <c r="B2479" s="29"/>
      <c r="C2479" s="29"/>
      <c r="D2479" s="30"/>
      <c r="E2479" s="33"/>
      <c r="F2479" s="88"/>
    </row>
    <row r="2480" spans="2:6" s="6" customFormat="1" ht="13.5">
      <c r="B2480" s="29"/>
      <c r="C2480" s="29"/>
      <c r="D2480" s="30"/>
      <c r="E2480" s="33"/>
      <c r="F2480" s="88"/>
    </row>
    <row r="2481" spans="2:6" s="6" customFormat="1" ht="13.5">
      <c r="B2481" s="29"/>
      <c r="C2481" s="29"/>
      <c r="D2481" s="30"/>
      <c r="E2481" s="33"/>
      <c r="F2481" s="88"/>
    </row>
    <row r="2482" spans="2:6" s="6" customFormat="1" ht="13.5">
      <c r="B2482" s="29"/>
      <c r="C2482" s="29"/>
      <c r="D2482" s="30"/>
      <c r="E2482" s="33"/>
      <c r="F2482" s="88"/>
    </row>
    <row r="2483" spans="2:6" s="6" customFormat="1" ht="13.5">
      <c r="B2483" s="29"/>
      <c r="C2483" s="29"/>
      <c r="D2483" s="30"/>
      <c r="E2483" s="33"/>
      <c r="F2483" s="88"/>
    </row>
    <row r="2484" spans="2:6" s="6" customFormat="1" ht="13.5">
      <c r="B2484" s="29"/>
      <c r="C2484" s="29"/>
      <c r="D2484" s="30"/>
      <c r="E2484" s="33"/>
      <c r="F2484" s="88"/>
    </row>
    <row r="2485" spans="2:6" s="6" customFormat="1" ht="13.5">
      <c r="B2485" s="29"/>
      <c r="C2485" s="29"/>
      <c r="D2485" s="30"/>
      <c r="E2485" s="33"/>
      <c r="F2485" s="88"/>
    </row>
    <row r="2486" spans="2:6" s="6" customFormat="1" ht="13.5">
      <c r="B2486" s="29"/>
      <c r="C2486" s="29"/>
      <c r="D2486" s="30"/>
      <c r="E2486" s="33"/>
      <c r="F2486" s="88"/>
    </row>
    <row r="2487" spans="2:6" s="6" customFormat="1" ht="13.5">
      <c r="B2487" s="29"/>
      <c r="C2487" s="29"/>
      <c r="D2487" s="30"/>
      <c r="E2487" s="33"/>
      <c r="F2487" s="88"/>
    </row>
    <row r="2488" spans="2:6" s="6" customFormat="1" ht="13.5">
      <c r="B2488" s="29"/>
      <c r="C2488" s="29"/>
      <c r="D2488" s="30"/>
      <c r="E2488" s="33"/>
      <c r="F2488" s="88"/>
    </row>
    <row r="2489" spans="2:6" s="6" customFormat="1" ht="13.5">
      <c r="B2489" s="29"/>
      <c r="C2489" s="29"/>
      <c r="D2489" s="30"/>
      <c r="E2489" s="33"/>
      <c r="F2489" s="88"/>
    </row>
    <row r="2490" spans="2:6" s="6" customFormat="1" ht="13.5">
      <c r="B2490" s="29"/>
      <c r="C2490" s="29"/>
      <c r="D2490" s="30"/>
      <c r="E2490" s="33"/>
      <c r="F2490" s="88"/>
    </row>
    <row r="2491" spans="2:6" s="6" customFormat="1" ht="13.5">
      <c r="B2491" s="29"/>
      <c r="C2491" s="29"/>
      <c r="D2491" s="30"/>
      <c r="E2491" s="33"/>
      <c r="F2491" s="88"/>
    </row>
    <row r="2492" spans="2:6" s="6" customFormat="1" ht="13.5">
      <c r="B2492" s="29"/>
      <c r="C2492" s="29"/>
      <c r="D2492" s="30"/>
      <c r="E2492" s="33"/>
      <c r="F2492" s="88"/>
    </row>
    <row r="2493" spans="2:6" s="6" customFormat="1" ht="13.5">
      <c r="B2493" s="29"/>
      <c r="C2493" s="29"/>
      <c r="D2493" s="30"/>
      <c r="E2493" s="33"/>
      <c r="F2493" s="88"/>
    </row>
    <row r="2494" spans="2:6" s="6" customFormat="1" ht="13.5">
      <c r="B2494" s="29"/>
      <c r="C2494" s="29"/>
      <c r="D2494" s="30"/>
      <c r="E2494" s="33"/>
      <c r="F2494" s="88"/>
    </row>
    <row r="2495" spans="2:6" s="6" customFormat="1" ht="13.5">
      <c r="B2495" s="29"/>
      <c r="C2495" s="29"/>
      <c r="D2495" s="30"/>
      <c r="E2495" s="33"/>
      <c r="F2495" s="88"/>
    </row>
    <row r="2496" spans="2:6" s="6" customFormat="1" ht="13.5">
      <c r="B2496" s="29"/>
      <c r="C2496" s="29"/>
      <c r="D2496" s="30"/>
      <c r="E2496" s="33"/>
      <c r="F2496" s="88"/>
    </row>
    <row r="2497" spans="2:6" s="6" customFormat="1" ht="13.5">
      <c r="B2497" s="29"/>
      <c r="C2497" s="29"/>
      <c r="D2497" s="30"/>
      <c r="E2497" s="33"/>
      <c r="F2497" s="88"/>
    </row>
    <row r="2498" spans="2:6" s="6" customFormat="1" ht="13.5">
      <c r="B2498" s="29"/>
      <c r="C2498" s="29"/>
      <c r="D2498" s="30"/>
      <c r="E2498" s="33"/>
      <c r="F2498" s="88"/>
    </row>
    <row r="2499" spans="2:6" s="6" customFormat="1" ht="13.5">
      <c r="B2499" s="29"/>
      <c r="C2499" s="29"/>
      <c r="D2499" s="30"/>
      <c r="E2499" s="33"/>
      <c r="F2499" s="88"/>
    </row>
    <row r="2500" spans="2:6" s="6" customFormat="1" ht="13.5">
      <c r="B2500" s="29"/>
      <c r="C2500" s="29"/>
      <c r="D2500" s="30"/>
      <c r="E2500" s="33"/>
      <c r="F2500" s="88"/>
    </row>
    <row r="2501" spans="2:6" s="6" customFormat="1" ht="13.5">
      <c r="B2501" s="29"/>
      <c r="C2501" s="29"/>
      <c r="D2501" s="30"/>
      <c r="E2501" s="33"/>
      <c r="F2501" s="88"/>
    </row>
    <row r="2502" spans="2:6" s="6" customFormat="1" ht="13.5">
      <c r="B2502" s="29"/>
      <c r="C2502" s="29"/>
      <c r="D2502" s="30"/>
      <c r="E2502" s="33"/>
      <c r="F2502" s="88"/>
    </row>
    <row r="2503" spans="2:6" s="6" customFormat="1" ht="13.5">
      <c r="B2503" s="29"/>
      <c r="C2503" s="29"/>
      <c r="D2503" s="30"/>
      <c r="E2503" s="33"/>
      <c r="F2503" s="88"/>
    </row>
    <row r="2504" spans="2:6" s="6" customFormat="1" ht="13.5">
      <c r="B2504" s="29"/>
      <c r="C2504" s="29"/>
      <c r="D2504" s="30"/>
      <c r="E2504" s="33"/>
      <c r="F2504" s="88"/>
    </row>
    <row r="2505" spans="2:6" s="6" customFormat="1" ht="13.5">
      <c r="B2505" s="29"/>
      <c r="C2505" s="29"/>
      <c r="D2505" s="30"/>
      <c r="E2505" s="33"/>
      <c r="F2505" s="88"/>
    </row>
    <row r="2506" spans="2:6" s="6" customFormat="1" ht="13.5">
      <c r="B2506" s="29"/>
      <c r="C2506" s="29"/>
      <c r="D2506" s="30"/>
      <c r="E2506" s="33"/>
      <c r="F2506" s="88"/>
    </row>
    <row r="2507" spans="2:6" s="6" customFormat="1" ht="13.5">
      <c r="B2507" s="29"/>
      <c r="C2507" s="29"/>
      <c r="D2507" s="30"/>
      <c r="E2507" s="33"/>
      <c r="F2507" s="88"/>
    </row>
    <row r="2508" spans="2:6" s="6" customFormat="1" ht="13.5">
      <c r="B2508" s="29"/>
      <c r="C2508" s="29"/>
      <c r="D2508" s="30"/>
      <c r="E2508" s="33"/>
      <c r="F2508" s="88"/>
    </row>
    <row r="2509" spans="2:6" s="6" customFormat="1" ht="13.5">
      <c r="B2509" s="29"/>
      <c r="C2509" s="29"/>
      <c r="D2509" s="30"/>
      <c r="E2509" s="33"/>
      <c r="F2509" s="88"/>
    </row>
    <row r="2510" spans="2:6" s="6" customFormat="1" ht="13.5">
      <c r="B2510" s="29"/>
      <c r="C2510" s="29"/>
      <c r="D2510" s="30"/>
      <c r="E2510" s="33"/>
      <c r="F2510" s="88"/>
    </row>
    <row r="2511" spans="2:6" s="6" customFormat="1" ht="13.5">
      <c r="B2511" s="29"/>
      <c r="C2511" s="29"/>
      <c r="D2511" s="30"/>
      <c r="E2511" s="33"/>
      <c r="F2511" s="88"/>
    </row>
    <row r="2512" spans="2:6" s="6" customFormat="1" ht="13.5">
      <c r="B2512" s="29"/>
      <c r="C2512" s="29"/>
      <c r="D2512" s="30"/>
      <c r="E2512" s="33"/>
      <c r="F2512" s="88"/>
    </row>
    <row r="2513" spans="2:6" s="6" customFormat="1" ht="13.5">
      <c r="B2513" s="29"/>
      <c r="C2513" s="29"/>
      <c r="D2513" s="30"/>
      <c r="E2513" s="33"/>
      <c r="F2513" s="88"/>
    </row>
    <row r="2514" spans="2:6" s="6" customFormat="1" ht="13.5">
      <c r="B2514" s="29"/>
      <c r="C2514" s="29"/>
      <c r="D2514" s="30"/>
      <c r="E2514" s="33"/>
      <c r="F2514" s="88"/>
    </row>
    <row r="2515" spans="2:6" s="6" customFormat="1" ht="13.5">
      <c r="B2515" s="29"/>
      <c r="C2515" s="29"/>
      <c r="D2515" s="30"/>
      <c r="E2515" s="33"/>
      <c r="F2515" s="88"/>
    </row>
    <row r="2516" spans="2:6" s="6" customFormat="1" ht="13.5">
      <c r="B2516" s="29"/>
      <c r="C2516" s="29"/>
      <c r="D2516" s="30"/>
      <c r="E2516" s="33"/>
      <c r="F2516" s="88"/>
    </row>
    <row r="2517" spans="2:6" s="6" customFormat="1" ht="13.5">
      <c r="B2517" s="29"/>
      <c r="C2517" s="29"/>
      <c r="D2517" s="30"/>
      <c r="E2517" s="33"/>
      <c r="F2517" s="88"/>
    </row>
    <row r="2518" spans="2:6" s="6" customFormat="1" ht="13.5">
      <c r="B2518" s="29"/>
      <c r="C2518" s="29"/>
      <c r="D2518" s="30"/>
      <c r="E2518" s="33"/>
      <c r="F2518" s="88"/>
    </row>
    <row r="2519" spans="2:6" s="6" customFormat="1" ht="13.5">
      <c r="B2519" s="29"/>
      <c r="C2519" s="29"/>
      <c r="D2519" s="30"/>
      <c r="E2519" s="33"/>
      <c r="F2519" s="88"/>
    </row>
    <row r="2520" spans="2:6" s="6" customFormat="1" ht="13.5">
      <c r="B2520" s="29"/>
      <c r="C2520" s="29"/>
      <c r="D2520" s="30"/>
      <c r="E2520" s="33"/>
      <c r="F2520" s="88"/>
    </row>
    <row r="2521" spans="2:6" s="6" customFormat="1" ht="13.5">
      <c r="B2521" s="29"/>
      <c r="C2521" s="29"/>
      <c r="D2521" s="30"/>
      <c r="E2521" s="33"/>
      <c r="F2521" s="88"/>
    </row>
    <row r="2522" spans="2:6" s="6" customFormat="1" ht="13.5">
      <c r="B2522" s="29"/>
      <c r="C2522" s="29"/>
      <c r="D2522" s="30"/>
      <c r="E2522" s="33"/>
      <c r="F2522" s="88"/>
    </row>
    <row r="2523" spans="2:6" s="6" customFormat="1" ht="13.5">
      <c r="B2523" s="29"/>
      <c r="C2523" s="29"/>
      <c r="D2523" s="30"/>
      <c r="E2523" s="33"/>
      <c r="F2523" s="88"/>
    </row>
    <row r="2524" spans="2:6" s="6" customFormat="1" ht="13.5">
      <c r="B2524" s="29"/>
      <c r="C2524" s="29"/>
      <c r="D2524" s="30"/>
      <c r="E2524" s="33"/>
      <c r="F2524" s="88"/>
    </row>
    <row r="2525" spans="2:6" s="6" customFormat="1" ht="13.5">
      <c r="B2525" s="29"/>
      <c r="C2525" s="29"/>
      <c r="D2525" s="30"/>
      <c r="E2525" s="33"/>
      <c r="F2525" s="88"/>
    </row>
    <row r="2526" spans="2:6" s="6" customFormat="1" ht="13.5">
      <c r="B2526" s="29"/>
      <c r="C2526" s="29"/>
      <c r="D2526" s="30"/>
      <c r="E2526" s="33"/>
      <c r="F2526" s="88"/>
    </row>
    <row r="2527" spans="2:6" s="6" customFormat="1" ht="13.5">
      <c r="B2527" s="29"/>
      <c r="C2527" s="29"/>
      <c r="D2527" s="30"/>
      <c r="E2527" s="33"/>
      <c r="F2527" s="88"/>
    </row>
    <row r="2528" spans="2:6" s="6" customFormat="1" ht="13.5">
      <c r="B2528" s="29"/>
      <c r="C2528" s="29"/>
      <c r="D2528" s="30"/>
      <c r="E2528" s="33"/>
      <c r="F2528" s="88"/>
    </row>
    <row r="2529" spans="2:6" s="6" customFormat="1" ht="13.5">
      <c r="B2529" s="29"/>
      <c r="C2529" s="29"/>
      <c r="D2529" s="30"/>
      <c r="E2529" s="33"/>
      <c r="F2529" s="88"/>
    </row>
    <row r="2530" spans="2:6" s="6" customFormat="1" ht="13.5">
      <c r="B2530" s="29"/>
      <c r="C2530" s="29"/>
      <c r="D2530" s="30"/>
      <c r="E2530" s="33"/>
      <c r="F2530" s="88"/>
    </row>
    <row r="2531" spans="2:6" s="6" customFormat="1" ht="13.5">
      <c r="B2531" s="29"/>
      <c r="C2531" s="29"/>
      <c r="D2531" s="30"/>
      <c r="E2531" s="33"/>
      <c r="F2531" s="88"/>
    </row>
    <row r="2532" spans="2:6" s="6" customFormat="1" ht="13.5">
      <c r="B2532" s="29"/>
      <c r="C2532" s="29"/>
      <c r="D2532" s="30"/>
      <c r="E2532" s="33"/>
      <c r="F2532" s="88"/>
    </row>
    <row r="2533" spans="2:6" s="6" customFormat="1" ht="13.5">
      <c r="B2533" s="29"/>
      <c r="C2533" s="29"/>
      <c r="D2533" s="30"/>
      <c r="E2533" s="33"/>
      <c r="F2533" s="88"/>
    </row>
    <row r="2534" spans="2:6" s="6" customFormat="1" ht="13.5">
      <c r="B2534" s="29"/>
      <c r="C2534" s="29"/>
      <c r="D2534" s="30"/>
      <c r="E2534" s="33"/>
      <c r="F2534" s="88"/>
    </row>
    <row r="2535" spans="2:6" s="6" customFormat="1" ht="13.5">
      <c r="B2535" s="29"/>
      <c r="C2535" s="29"/>
      <c r="D2535" s="30"/>
      <c r="E2535" s="33"/>
      <c r="F2535" s="88"/>
    </row>
    <row r="2536" spans="2:6" s="6" customFormat="1" ht="13.5">
      <c r="B2536" s="29"/>
      <c r="C2536" s="29"/>
      <c r="D2536" s="30"/>
      <c r="E2536" s="33"/>
      <c r="F2536" s="88"/>
    </row>
    <row r="2537" spans="2:6" s="6" customFormat="1" ht="13.5">
      <c r="B2537" s="29"/>
      <c r="C2537" s="29"/>
      <c r="D2537" s="30"/>
      <c r="E2537" s="33"/>
      <c r="F2537" s="88"/>
    </row>
    <row r="2538" spans="2:6" s="6" customFormat="1" ht="13.5">
      <c r="B2538" s="29"/>
      <c r="C2538" s="29"/>
      <c r="D2538" s="30"/>
      <c r="E2538" s="33"/>
      <c r="F2538" s="88"/>
    </row>
    <row r="2539" spans="2:6" s="6" customFormat="1" ht="13.5">
      <c r="B2539" s="29"/>
      <c r="C2539" s="29"/>
      <c r="D2539" s="30"/>
      <c r="E2539" s="33"/>
      <c r="F2539" s="88"/>
    </row>
    <row r="2540" spans="2:6" s="6" customFormat="1" ht="13.5">
      <c r="B2540" s="29"/>
      <c r="C2540" s="29"/>
      <c r="D2540" s="30"/>
      <c r="E2540" s="33"/>
      <c r="F2540" s="88"/>
    </row>
    <row r="2541" spans="2:6" s="6" customFormat="1" ht="13.5">
      <c r="B2541" s="29"/>
      <c r="C2541" s="29"/>
      <c r="D2541" s="30"/>
      <c r="E2541" s="33"/>
      <c r="F2541" s="88"/>
    </row>
    <row r="2542" spans="2:6" s="6" customFormat="1" ht="13.5">
      <c r="B2542" s="29"/>
      <c r="C2542" s="29"/>
      <c r="D2542" s="30"/>
      <c r="E2542" s="33"/>
      <c r="F2542" s="88"/>
    </row>
    <row r="2543" spans="2:6" s="6" customFormat="1" ht="13.5">
      <c r="B2543" s="29"/>
      <c r="C2543" s="29"/>
      <c r="D2543" s="30"/>
      <c r="E2543" s="33"/>
      <c r="F2543" s="88"/>
    </row>
    <row r="2544" spans="2:6" s="6" customFormat="1" ht="13.5">
      <c r="B2544" s="29"/>
      <c r="C2544" s="29"/>
      <c r="D2544" s="30"/>
      <c r="E2544" s="33"/>
      <c r="F2544" s="88"/>
    </row>
    <row r="2545" spans="2:6" s="6" customFormat="1" ht="13.5">
      <c r="B2545" s="29"/>
      <c r="C2545" s="29"/>
      <c r="D2545" s="30"/>
      <c r="E2545" s="33"/>
      <c r="F2545" s="88"/>
    </row>
    <row r="2546" spans="2:6" s="6" customFormat="1" ht="13.5">
      <c r="B2546" s="29"/>
      <c r="C2546" s="29"/>
      <c r="D2546" s="30"/>
      <c r="E2546" s="33"/>
      <c r="F2546" s="88"/>
    </row>
    <row r="2547" spans="2:6" s="6" customFormat="1" ht="13.5">
      <c r="B2547" s="29"/>
      <c r="C2547" s="29"/>
      <c r="D2547" s="30"/>
      <c r="E2547" s="33"/>
      <c r="F2547" s="88"/>
    </row>
    <row r="2548" spans="2:6" s="6" customFormat="1" ht="13.5">
      <c r="B2548" s="29"/>
      <c r="C2548" s="29"/>
      <c r="D2548" s="30"/>
      <c r="E2548" s="33"/>
      <c r="F2548" s="88"/>
    </row>
    <row r="2549" spans="2:6" s="6" customFormat="1" ht="13.5">
      <c r="B2549" s="29"/>
      <c r="C2549" s="29"/>
      <c r="D2549" s="30"/>
      <c r="E2549" s="33"/>
      <c r="F2549" s="88"/>
    </row>
    <row r="2550" spans="2:6" s="6" customFormat="1" ht="13.5">
      <c r="B2550" s="29"/>
      <c r="C2550" s="29"/>
      <c r="D2550" s="30"/>
      <c r="E2550" s="33"/>
      <c r="F2550" s="88"/>
    </row>
    <row r="2551" spans="2:6" s="6" customFormat="1" ht="13.5">
      <c r="B2551" s="29"/>
      <c r="C2551" s="29"/>
      <c r="D2551" s="30"/>
      <c r="E2551" s="33"/>
      <c r="F2551" s="88"/>
    </row>
    <row r="2552" spans="2:6" s="6" customFormat="1" ht="13.5">
      <c r="B2552" s="29"/>
      <c r="C2552" s="29"/>
      <c r="D2552" s="30"/>
      <c r="E2552" s="33"/>
      <c r="F2552" s="88"/>
    </row>
    <row r="2553" spans="2:6" s="6" customFormat="1" ht="13.5">
      <c r="B2553" s="29"/>
      <c r="C2553" s="29"/>
      <c r="D2553" s="30"/>
      <c r="E2553" s="33"/>
      <c r="F2553" s="88"/>
    </row>
    <row r="2554" spans="2:6" s="6" customFormat="1" ht="13.5">
      <c r="B2554" s="29"/>
      <c r="C2554" s="29"/>
      <c r="D2554" s="30"/>
      <c r="E2554" s="33"/>
      <c r="F2554" s="88"/>
    </row>
    <row r="2555" spans="2:6" s="6" customFormat="1" ht="13.5">
      <c r="B2555" s="29"/>
      <c r="C2555" s="29"/>
      <c r="D2555" s="30"/>
      <c r="E2555" s="33"/>
      <c r="F2555" s="88"/>
    </row>
    <row r="2556" spans="2:6" s="6" customFormat="1" ht="13.5">
      <c r="B2556" s="29"/>
      <c r="C2556" s="29"/>
      <c r="D2556" s="30"/>
      <c r="E2556" s="33"/>
      <c r="F2556" s="88"/>
    </row>
    <row r="2557" spans="2:6" s="6" customFormat="1" ht="13.5">
      <c r="B2557" s="29"/>
      <c r="C2557" s="29"/>
      <c r="D2557" s="30"/>
      <c r="E2557" s="33"/>
      <c r="F2557" s="88"/>
    </row>
    <row r="2558" spans="2:6" s="6" customFormat="1" ht="13.5">
      <c r="B2558" s="29"/>
      <c r="C2558" s="29"/>
      <c r="D2558" s="30"/>
      <c r="E2558" s="33"/>
      <c r="F2558" s="88"/>
    </row>
    <row r="2559" spans="2:6" s="6" customFormat="1" ht="13.5">
      <c r="B2559" s="29"/>
      <c r="C2559" s="29"/>
      <c r="D2559" s="30"/>
      <c r="E2559" s="33"/>
      <c r="F2559" s="88"/>
    </row>
    <row r="2560" spans="2:6" s="6" customFormat="1" ht="13.5">
      <c r="B2560" s="29"/>
      <c r="C2560" s="29"/>
      <c r="D2560" s="30"/>
      <c r="E2560" s="33"/>
      <c r="F2560" s="88"/>
    </row>
    <row r="2561" spans="2:6" s="6" customFormat="1" ht="13.5">
      <c r="B2561" s="29"/>
      <c r="C2561" s="29"/>
      <c r="D2561" s="30"/>
      <c r="E2561" s="33"/>
      <c r="F2561" s="88"/>
    </row>
    <row r="2562" spans="2:6" s="6" customFormat="1" ht="13.5">
      <c r="B2562" s="29"/>
      <c r="C2562" s="29"/>
      <c r="D2562" s="30"/>
      <c r="E2562" s="33"/>
      <c r="F2562" s="88"/>
    </row>
    <row r="2563" spans="2:6" s="6" customFormat="1" ht="13.5">
      <c r="B2563" s="29"/>
      <c r="C2563" s="29"/>
      <c r="D2563" s="30"/>
      <c r="E2563" s="33"/>
      <c r="F2563" s="88"/>
    </row>
    <row r="2564" spans="2:6" s="6" customFormat="1" ht="13.5">
      <c r="B2564" s="29"/>
      <c r="C2564" s="29"/>
      <c r="D2564" s="30"/>
      <c r="E2564" s="33"/>
      <c r="F2564" s="88"/>
    </row>
    <row r="2565" spans="2:6" s="6" customFormat="1" ht="13.5">
      <c r="B2565" s="29"/>
      <c r="C2565" s="29"/>
      <c r="D2565" s="30"/>
      <c r="E2565" s="33"/>
      <c r="F2565" s="88"/>
    </row>
    <row r="2566" spans="2:6" s="6" customFormat="1" ht="13.5">
      <c r="B2566" s="29"/>
      <c r="C2566" s="29"/>
      <c r="D2566" s="30"/>
      <c r="E2566" s="33"/>
      <c r="F2566" s="88"/>
    </row>
    <row r="2567" spans="2:6" s="6" customFormat="1" ht="13.5">
      <c r="B2567" s="29"/>
      <c r="C2567" s="29"/>
      <c r="D2567" s="30"/>
      <c r="E2567" s="33"/>
      <c r="F2567" s="88"/>
    </row>
    <row r="2568" spans="2:6" s="6" customFormat="1" ht="13.5">
      <c r="B2568" s="29"/>
      <c r="C2568" s="29"/>
      <c r="D2568" s="30"/>
      <c r="E2568" s="33"/>
      <c r="F2568" s="88"/>
    </row>
    <row r="2569" spans="2:6" s="6" customFormat="1" ht="13.5">
      <c r="B2569" s="29"/>
      <c r="C2569" s="29"/>
      <c r="D2569" s="30"/>
      <c r="E2569" s="33"/>
      <c r="F2569" s="88"/>
    </row>
    <row r="2570" spans="2:6" s="6" customFormat="1" ht="13.5">
      <c r="B2570" s="29"/>
      <c r="C2570" s="29"/>
      <c r="D2570" s="30"/>
      <c r="E2570" s="33"/>
      <c r="F2570" s="88"/>
    </row>
    <row r="2571" spans="2:6" s="6" customFormat="1" ht="13.5">
      <c r="B2571" s="29"/>
      <c r="C2571" s="29"/>
      <c r="D2571" s="30"/>
      <c r="E2571" s="33"/>
      <c r="F2571" s="88"/>
    </row>
    <row r="2572" spans="2:6" s="6" customFormat="1" ht="13.5">
      <c r="B2572" s="29"/>
      <c r="C2572" s="29"/>
      <c r="D2572" s="30"/>
      <c r="E2572" s="33"/>
      <c r="F2572" s="88"/>
    </row>
    <row r="2573" spans="2:6" s="6" customFormat="1" ht="13.5">
      <c r="B2573" s="29"/>
      <c r="C2573" s="29"/>
      <c r="D2573" s="30"/>
      <c r="E2573" s="33"/>
      <c r="F2573" s="88"/>
    </row>
    <row r="2574" spans="2:6" s="6" customFormat="1" ht="13.5">
      <c r="B2574" s="29"/>
      <c r="C2574" s="29"/>
      <c r="D2574" s="30"/>
      <c r="E2574" s="33"/>
      <c r="F2574" s="88"/>
    </row>
    <row r="2575" spans="2:6" s="6" customFormat="1" ht="13.5">
      <c r="B2575" s="29"/>
      <c r="C2575" s="29"/>
      <c r="D2575" s="30"/>
      <c r="E2575" s="33"/>
      <c r="F2575" s="88"/>
    </row>
    <row r="2576" spans="2:6" s="6" customFormat="1" ht="13.5">
      <c r="B2576" s="29"/>
      <c r="C2576" s="29"/>
      <c r="D2576" s="30"/>
      <c r="E2576" s="33"/>
      <c r="F2576" s="88"/>
    </row>
    <row r="2577" spans="2:6" s="6" customFormat="1" ht="13.5">
      <c r="B2577" s="29"/>
      <c r="C2577" s="29"/>
      <c r="D2577" s="30"/>
      <c r="E2577" s="33"/>
      <c r="F2577" s="88"/>
    </row>
    <row r="2578" spans="2:6" s="6" customFormat="1" ht="13.5">
      <c r="B2578" s="29"/>
      <c r="C2578" s="29"/>
      <c r="D2578" s="30"/>
      <c r="E2578" s="33"/>
      <c r="F2578" s="88"/>
    </row>
    <row r="2579" spans="2:6" s="6" customFormat="1" ht="13.5">
      <c r="B2579" s="29"/>
      <c r="C2579" s="29"/>
      <c r="D2579" s="30"/>
      <c r="E2579" s="33"/>
      <c r="F2579" s="88"/>
    </row>
    <row r="2580" spans="2:6" s="6" customFormat="1" ht="13.5">
      <c r="B2580" s="29"/>
      <c r="C2580" s="29"/>
      <c r="D2580" s="30"/>
      <c r="E2580" s="33"/>
      <c r="F2580" s="88"/>
    </row>
    <row r="2581" spans="2:6" s="6" customFormat="1" ht="13.5">
      <c r="B2581" s="29"/>
      <c r="C2581" s="29"/>
      <c r="D2581" s="30"/>
      <c r="E2581" s="33"/>
      <c r="F2581" s="88"/>
    </row>
    <row r="2582" spans="2:6" s="6" customFormat="1" ht="13.5">
      <c r="B2582" s="29"/>
      <c r="C2582" s="29"/>
      <c r="D2582" s="30"/>
      <c r="E2582" s="33"/>
      <c r="F2582" s="88"/>
    </row>
    <row r="2583" spans="2:6" s="6" customFormat="1" ht="13.5">
      <c r="B2583" s="29"/>
      <c r="C2583" s="29"/>
      <c r="D2583" s="30"/>
      <c r="E2583" s="33"/>
      <c r="F2583" s="88"/>
    </row>
    <row r="2584" spans="2:6" s="6" customFormat="1" ht="13.5">
      <c r="B2584" s="29"/>
      <c r="C2584" s="29"/>
      <c r="D2584" s="30"/>
      <c r="E2584" s="33"/>
      <c r="F2584" s="88"/>
    </row>
    <row r="2585" spans="2:6" s="6" customFormat="1" ht="13.5">
      <c r="B2585" s="29"/>
      <c r="C2585" s="29"/>
      <c r="D2585" s="30"/>
      <c r="E2585" s="33"/>
      <c r="F2585" s="88"/>
    </row>
    <row r="2586" spans="2:6" s="6" customFormat="1" ht="13.5">
      <c r="B2586" s="29"/>
      <c r="C2586" s="29"/>
      <c r="D2586" s="30"/>
      <c r="E2586" s="33"/>
      <c r="F2586" s="88"/>
    </row>
    <row r="2587" spans="2:6" s="6" customFormat="1" ht="13.5">
      <c r="B2587" s="29"/>
      <c r="C2587" s="29"/>
      <c r="D2587" s="30"/>
      <c r="E2587" s="33"/>
      <c r="F2587" s="88"/>
    </row>
    <row r="2588" spans="2:6" s="6" customFormat="1" ht="13.5">
      <c r="B2588" s="29"/>
      <c r="C2588" s="29"/>
      <c r="D2588" s="30"/>
      <c r="E2588" s="33"/>
      <c r="F2588" s="88"/>
    </row>
    <row r="2589" spans="2:6" s="6" customFormat="1" ht="13.5">
      <c r="B2589" s="29"/>
      <c r="C2589" s="29"/>
      <c r="D2589" s="30"/>
      <c r="E2589" s="33"/>
      <c r="F2589" s="88"/>
    </row>
    <row r="2590" spans="2:6" s="6" customFormat="1" ht="13.5">
      <c r="B2590" s="29"/>
      <c r="C2590" s="29"/>
      <c r="D2590" s="30"/>
      <c r="E2590" s="33"/>
      <c r="F2590" s="88"/>
    </row>
    <row r="2591" spans="2:6" s="6" customFormat="1" ht="13.5">
      <c r="B2591" s="29"/>
      <c r="C2591" s="29"/>
      <c r="D2591" s="30"/>
      <c r="E2591" s="33"/>
      <c r="F2591" s="88"/>
    </row>
    <row r="2592" spans="2:6" s="6" customFormat="1" ht="13.5">
      <c r="B2592" s="29"/>
      <c r="C2592" s="29"/>
      <c r="D2592" s="30"/>
      <c r="E2592" s="33"/>
      <c r="F2592" s="88"/>
    </row>
    <row r="2593" spans="2:6" s="6" customFormat="1" ht="13.5">
      <c r="B2593" s="29"/>
      <c r="C2593" s="29"/>
      <c r="D2593" s="30"/>
      <c r="E2593" s="33"/>
      <c r="F2593" s="88"/>
    </row>
    <row r="2594" spans="2:6" s="6" customFormat="1" ht="13.5">
      <c r="B2594" s="29"/>
      <c r="C2594" s="29"/>
      <c r="D2594" s="30"/>
      <c r="E2594" s="33"/>
      <c r="F2594" s="88"/>
    </row>
    <row r="2595" spans="2:6" s="6" customFormat="1" ht="13.5">
      <c r="B2595" s="29"/>
      <c r="C2595" s="29"/>
      <c r="D2595" s="30"/>
      <c r="E2595" s="33"/>
      <c r="F2595" s="88"/>
    </row>
    <row r="2596" spans="2:6" s="6" customFormat="1" ht="13.5">
      <c r="B2596" s="29"/>
      <c r="C2596" s="29"/>
      <c r="D2596" s="30"/>
      <c r="E2596" s="33"/>
      <c r="F2596" s="88"/>
    </row>
    <row r="2597" spans="2:6" s="6" customFormat="1" ht="13.5">
      <c r="B2597" s="29"/>
      <c r="C2597" s="29"/>
      <c r="D2597" s="30"/>
      <c r="E2597" s="33"/>
      <c r="F2597" s="88"/>
    </row>
    <row r="2598" spans="2:6" s="6" customFormat="1" ht="13.5">
      <c r="B2598" s="29"/>
      <c r="C2598" s="29"/>
      <c r="D2598" s="30"/>
      <c r="E2598" s="33"/>
      <c r="F2598" s="88"/>
    </row>
    <row r="2599" spans="2:6" s="6" customFormat="1" ht="13.5">
      <c r="B2599" s="29"/>
      <c r="C2599" s="29"/>
      <c r="D2599" s="30"/>
      <c r="E2599" s="33"/>
      <c r="F2599" s="88"/>
    </row>
    <row r="2600" spans="2:6" s="6" customFormat="1" ht="13.5">
      <c r="B2600" s="29"/>
      <c r="C2600" s="29"/>
      <c r="D2600" s="30"/>
      <c r="E2600" s="33"/>
      <c r="F2600" s="88"/>
    </row>
    <row r="2601" spans="2:6" s="6" customFormat="1" ht="13.5">
      <c r="B2601" s="29"/>
      <c r="C2601" s="29"/>
      <c r="D2601" s="30"/>
      <c r="E2601" s="33"/>
      <c r="F2601" s="88"/>
    </row>
    <row r="2602" spans="2:6" s="6" customFormat="1" ht="13.5">
      <c r="B2602" s="29"/>
      <c r="C2602" s="29"/>
      <c r="D2602" s="30"/>
      <c r="E2602" s="33"/>
      <c r="F2602" s="88"/>
    </row>
    <row r="2603" spans="2:6" s="6" customFormat="1" ht="13.5">
      <c r="B2603" s="29"/>
      <c r="C2603" s="29"/>
      <c r="D2603" s="30"/>
      <c r="E2603" s="33"/>
      <c r="F2603" s="88"/>
    </row>
    <row r="2604" spans="2:6" s="6" customFormat="1" ht="13.5">
      <c r="B2604" s="29"/>
      <c r="C2604" s="29"/>
      <c r="D2604" s="30"/>
      <c r="E2604" s="33"/>
      <c r="F2604" s="88"/>
    </row>
    <row r="2605" spans="2:6" s="6" customFormat="1" ht="13.5">
      <c r="B2605" s="29"/>
      <c r="C2605" s="29"/>
      <c r="D2605" s="30"/>
      <c r="E2605" s="33"/>
      <c r="F2605" s="88"/>
    </row>
    <row r="2606" spans="2:6" s="6" customFormat="1" ht="13.5">
      <c r="B2606" s="29"/>
      <c r="C2606" s="29"/>
      <c r="D2606" s="30"/>
      <c r="E2606" s="33"/>
      <c r="F2606" s="88"/>
    </row>
    <row r="2607" spans="2:6" s="6" customFormat="1" ht="13.5">
      <c r="B2607" s="29"/>
      <c r="C2607" s="29"/>
      <c r="D2607" s="30"/>
      <c r="E2607" s="33"/>
      <c r="F2607" s="88"/>
    </row>
    <row r="2608" spans="2:6" s="6" customFormat="1" ht="13.5">
      <c r="B2608" s="29"/>
      <c r="C2608" s="29"/>
      <c r="D2608" s="30"/>
      <c r="E2608" s="33"/>
      <c r="F2608" s="88"/>
    </row>
    <row r="2609" spans="2:6" s="6" customFormat="1" ht="13.5">
      <c r="B2609" s="29"/>
      <c r="C2609" s="29"/>
      <c r="D2609" s="30"/>
      <c r="E2609" s="33"/>
      <c r="F2609" s="88"/>
    </row>
    <row r="2610" spans="2:6" s="6" customFormat="1" ht="13.5">
      <c r="B2610" s="29"/>
      <c r="C2610" s="29"/>
      <c r="D2610" s="30"/>
      <c r="E2610" s="33"/>
      <c r="F2610" s="88"/>
    </row>
    <row r="2611" spans="2:6" s="6" customFormat="1" ht="13.5">
      <c r="B2611" s="29"/>
      <c r="C2611" s="29"/>
      <c r="D2611" s="30"/>
      <c r="E2611" s="33"/>
      <c r="F2611" s="88"/>
    </row>
    <row r="2612" spans="2:6" s="6" customFormat="1" ht="13.5">
      <c r="B2612" s="29"/>
      <c r="C2612" s="29"/>
      <c r="D2612" s="30"/>
      <c r="E2612" s="33"/>
      <c r="F2612" s="88"/>
    </row>
    <row r="2613" spans="2:6" s="6" customFormat="1" ht="13.5">
      <c r="B2613" s="29"/>
      <c r="C2613" s="29"/>
      <c r="D2613" s="30"/>
      <c r="E2613" s="33"/>
      <c r="F2613" s="88"/>
    </row>
    <row r="2614" spans="2:6" s="6" customFormat="1" ht="13.5">
      <c r="B2614" s="29"/>
      <c r="C2614" s="29"/>
      <c r="D2614" s="30"/>
      <c r="E2614" s="33"/>
      <c r="F2614" s="88"/>
    </row>
    <row r="2615" spans="2:6" s="6" customFormat="1" ht="13.5">
      <c r="B2615" s="29"/>
      <c r="C2615" s="29"/>
      <c r="D2615" s="30"/>
      <c r="E2615" s="33"/>
      <c r="F2615" s="88"/>
    </row>
    <row r="2616" spans="2:6" s="6" customFormat="1" ht="13.5">
      <c r="B2616" s="29"/>
      <c r="C2616" s="29"/>
      <c r="D2616" s="30"/>
      <c r="E2616" s="33"/>
      <c r="F2616" s="88"/>
    </row>
    <row r="2617" spans="2:6" s="6" customFormat="1" ht="13.5">
      <c r="B2617" s="29"/>
      <c r="C2617" s="29"/>
      <c r="D2617" s="30"/>
      <c r="E2617" s="33"/>
      <c r="F2617" s="88"/>
    </row>
    <row r="2618" spans="2:6" s="6" customFormat="1" ht="13.5">
      <c r="B2618" s="29"/>
      <c r="C2618" s="29"/>
      <c r="D2618" s="30"/>
      <c r="E2618" s="33"/>
      <c r="F2618" s="88"/>
    </row>
    <row r="2619" spans="2:6" s="6" customFormat="1" ht="13.5">
      <c r="B2619" s="29"/>
      <c r="C2619" s="29"/>
      <c r="D2619" s="30"/>
      <c r="E2619" s="33"/>
      <c r="F2619" s="88"/>
    </row>
    <row r="2620" spans="2:6" s="6" customFormat="1" ht="13.5">
      <c r="B2620" s="29"/>
      <c r="C2620" s="29"/>
      <c r="D2620" s="30"/>
      <c r="E2620" s="33"/>
      <c r="F2620" s="88"/>
    </row>
    <row r="2621" spans="2:6" s="6" customFormat="1" ht="13.5">
      <c r="B2621" s="29"/>
      <c r="C2621" s="29"/>
      <c r="D2621" s="30"/>
      <c r="E2621" s="33"/>
      <c r="F2621" s="88"/>
    </row>
    <row r="2622" spans="2:6" s="6" customFormat="1" ht="13.5">
      <c r="B2622" s="29"/>
      <c r="C2622" s="29"/>
      <c r="D2622" s="30"/>
      <c r="E2622" s="33"/>
      <c r="F2622" s="88"/>
    </row>
    <row r="2623" spans="2:6" s="6" customFormat="1" ht="13.5">
      <c r="B2623" s="29"/>
      <c r="C2623" s="29"/>
      <c r="D2623" s="30"/>
      <c r="E2623" s="33"/>
      <c r="F2623" s="88"/>
    </row>
    <row r="2624" spans="2:6" s="6" customFormat="1" ht="13.5">
      <c r="B2624" s="29"/>
      <c r="C2624" s="29"/>
      <c r="D2624" s="30"/>
      <c r="E2624" s="33"/>
      <c r="F2624" s="88"/>
    </row>
    <row r="2625" spans="2:6" s="6" customFormat="1" ht="13.5">
      <c r="B2625" s="29"/>
      <c r="C2625" s="29"/>
      <c r="D2625" s="30"/>
      <c r="E2625" s="33"/>
      <c r="F2625" s="88"/>
    </row>
    <row r="2626" spans="2:6" s="6" customFormat="1" ht="13.5">
      <c r="B2626" s="29"/>
      <c r="C2626" s="29"/>
      <c r="D2626" s="30"/>
      <c r="E2626" s="33"/>
      <c r="F2626" s="88"/>
    </row>
    <row r="2627" spans="2:6" s="6" customFormat="1" ht="13.5">
      <c r="B2627" s="29"/>
      <c r="C2627" s="29"/>
      <c r="D2627" s="30"/>
      <c r="E2627" s="33"/>
      <c r="F2627" s="88"/>
    </row>
    <row r="2628" spans="2:6" s="6" customFormat="1" ht="13.5">
      <c r="B2628" s="29"/>
      <c r="C2628" s="29"/>
      <c r="D2628" s="30"/>
      <c r="E2628" s="33"/>
      <c r="F2628" s="88"/>
    </row>
    <row r="2629" spans="2:6" s="6" customFormat="1" ht="13.5">
      <c r="B2629" s="29"/>
      <c r="C2629" s="29"/>
      <c r="D2629" s="30"/>
      <c r="E2629" s="33"/>
      <c r="F2629" s="88"/>
    </row>
    <row r="2630" spans="2:6" s="6" customFormat="1" ht="13.5">
      <c r="B2630" s="29"/>
      <c r="C2630" s="29"/>
      <c r="D2630" s="30"/>
      <c r="E2630" s="33"/>
      <c r="F2630" s="88"/>
    </row>
    <row r="2631" spans="2:6" s="6" customFormat="1" ht="13.5">
      <c r="B2631" s="29"/>
      <c r="C2631" s="29"/>
      <c r="D2631" s="30"/>
      <c r="E2631" s="33"/>
      <c r="F2631" s="88"/>
    </row>
    <row r="2632" spans="2:6" s="6" customFormat="1" ht="13.5">
      <c r="B2632" s="29"/>
      <c r="C2632" s="29"/>
      <c r="D2632" s="30"/>
      <c r="E2632" s="33"/>
      <c r="F2632" s="88"/>
    </row>
    <row r="2633" spans="2:6" s="6" customFormat="1" ht="13.5">
      <c r="B2633" s="29"/>
      <c r="C2633" s="29"/>
      <c r="D2633" s="30"/>
      <c r="E2633" s="33"/>
      <c r="F2633" s="88"/>
    </row>
    <row r="2634" spans="2:6" s="6" customFormat="1" ht="13.5">
      <c r="B2634" s="29"/>
      <c r="C2634" s="29"/>
      <c r="D2634" s="30"/>
      <c r="E2634" s="33"/>
      <c r="F2634" s="88"/>
    </row>
    <row r="2635" spans="2:6" s="6" customFormat="1" ht="13.5">
      <c r="B2635" s="29"/>
      <c r="C2635" s="29"/>
      <c r="D2635" s="30"/>
      <c r="E2635" s="33"/>
      <c r="F2635" s="88"/>
    </row>
    <row r="2636" spans="2:6" s="6" customFormat="1" ht="13.5">
      <c r="B2636" s="29"/>
      <c r="C2636" s="29"/>
      <c r="D2636" s="30"/>
      <c r="E2636" s="33"/>
      <c r="F2636" s="88"/>
    </row>
    <row r="2637" spans="2:6" s="6" customFormat="1" ht="13.5">
      <c r="B2637" s="29"/>
      <c r="C2637" s="29"/>
      <c r="D2637" s="30"/>
      <c r="E2637" s="33"/>
      <c r="F2637" s="88"/>
    </row>
    <row r="2638" spans="2:6" s="6" customFormat="1" ht="13.5">
      <c r="B2638" s="29"/>
      <c r="C2638" s="29"/>
      <c r="D2638" s="30"/>
      <c r="E2638" s="33"/>
      <c r="F2638" s="88"/>
    </row>
    <row r="2639" spans="2:6" s="6" customFormat="1" ht="13.5">
      <c r="B2639" s="29"/>
      <c r="C2639" s="29"/>
      <c r="D2639" s="30"/>
      <c r="E2639" s="33"/>
      <c r="F2639" s="88"/>
    </row>
    <row r="2640" spans="2:6" s="6" customFormat="1" ht="13.5">
      <c r="B2640" s="29"/>
      <c r="C2640" s="29"/>
      <c r="D2640" s="30"/>
      <c r="E2640" s="33"/>
      <c r="F2640" s="88"/>
    </row>
    <row r="2641" spans="2:6" s="6" customFormat="1" ht="13.5">
      <c r="B2641" s="29"/>
      <c r="C2641" s="29"/>
      <c r="D2641" s="30"/>
      <c r="E2641" s="33"/>
      <c r="F2641" s="88"/>
    </row>
    <row r="2642" spans="2:6" s="6" customFormat="1" ht="13.5">
      <c r="B2642" s="29"/>
      <c r="C2642" s="29"/>
      <c r="D2642" s="30"/>
      <c r="E2642" s="33"/>
      <c r="F2642" s="88"/>
    </row>
    <row r="2643" spans="2:6" s="6" customFormat="1" ht="13.5">
      <c r="B2643" s="29"/>
      <c r="C2643" s="29"/>
      <c r="D2643" s="30"/>
      <c r="E2643" s="33"/>
      <c r="F2643" s="88"/>
    </row>
    <row r="2644" spans="2:6" s="6" customFormat="1" ht="13.5">
      <c r="B2644" s="29"/>
      <c r="C2644" s="29"/>
      <c r="D2644" s="30"/>
      <c r="E2644" s="33"/>
      <c r="F2644" s="88"/>
    </row>
    <row r="2645" spans="2:6" s="6" customFormat="1" ht="13.5">
      <c r="B2645" s="29"/>
      <c r="C2645" s="29"/>
      <c r="D2645" s="30"/>
      <c r="E2645" s="33"/>
      <c r="F2645" s="88"/>
    </row>
    <row r="2646" spans="2:6" s="6" customFormat="1" ht="13.5">
      <c r="B2646" s="29"/>
      <c r="C2646" s="29"/>
      <c r="D2646" s="30"/>
      <c r="E2646" s="33"/>
      <c r="F2646" s="88"/>
    </row>
    <row r="2647" spans="2:6" s="6" customFormat="1" ht="13.5">
      <c r="B2647" s="29"/>
      <c r="C2647" s="29"/>
      <c r="D2647" s="30"/>
      <c r="E2647" s="33"/>
      <c r="F2647" s="88"/>
    </row>
    <row r="2648" spans="2:6" s="6" customFormat="1" ht="13.5">
      <c r="B2648" s="29"/>
      <c r="C2648" s="29"/>
      <c r="D2648" s="30"/>
      <c r="E2648" s="33"/>
      <c r="F2648" s="88"/>
    </row>
    <row r="2649" spans="2:6" s="6" customFormat="1" ht="13.5">
      <c r="B2649" s="29"/>
      <c r="C2649" s="29"/>
      <c r="D2649" s="30"/>
      <c r="E2649" s="33"/>
      <c r="F2649" s="88"/>
    </row>
    <row r="2650" spans="2:6" s="6" customFormat="1" ht="13.5">
      <c r="B2650" s="29"/>
      <c r="C2650" s="29"/>
      <c r="D2650" s="30"/>
      <c r="E2650" s="33"/>
      <c r="F2650" s="88"/>
    </row>
    <row r="2651" spans="2:6" s="6" customFormat="1" ht="13.5">
      <c r="B2651" s="29"/>
      <c r="C2651" s="29"/>
      <c r="D2651" s="30"/>
      <c r="E2651" s="33"/>
      <c r="F2651" s="88"/>
    </row>
    <row r="2652" spans="2:6" s="6" customFormat="1" ht="13.5">
      <c r="B2652" s="29"/>
      <c r="C2652" s="29"/>
      <c r="D2652" s="30"/>
      <c r="E2652" s="33"/>
      <c r="F2652" s="88"/>
    </row>
    <row r="2653" spans="2:6" s="6" customFormat="1" ht="13.5">
      <c r="B2653" s="29"/>
      <c r="C2653" s="29"/>
      <c r="D2653" s="30"/>
      <c r="E2653" s="33"/>
      <c r="F2653" s="88"/>
    </row>
    <row r="2654" spans="2:6" s="6" customFormat="1" ht="13.5">
      <c r="B2654" s="29"/>
      <c r="C2654" s="29"/>
      <c r="D2654" s="30"/>
      <c r="E2654" s="33"/>
      <c r="F2654" s="88"/>
    </row>
    <row r="2655" spans="2:6" s="6" customFormat="1" ht="13.5">
      <c r="B2655" s="29"/>
      <c r="C2655" s="29"/>
      <c r="D2655" s="30"/>
      <c r="E2655" s="33"/>
      <c r="F2655" s="88"/>
    </row>
    <row r="2656" spans="2:6" s="6" customFormat="1" ht="13.5">
      <c r="B2656" s="29"/>
      <c r="C2656" s="29"/>
      <c r="D2656" s="30"/>
      <c r="E2656" s="33"/>
      <c r="F2656" s="88"/>
    </row>
    <row r="2657" spans="2:6" s="6" customFormat="1" ht="13.5">
      <c r="B2657" s="29"/>
      <c r="C2657" s="29"/>
      <c r="D2657" s="30"/>
      <c r="E2657" s="33"/>
      <c r="F2657" s="88"/>
    </row>
    <row r="2658" spans="2:6" s="6" customFormat="1" ht="13.5">
      <c r="B2658" s="29"/>
      <c r="C2658" s="29"/>
      <c r="D2658" s="30"/>
      <c r="E2658" s="33"/>
      <c r="F2658" s="88"/>
    </row>
    <row r="2659" spans="2:6" s="6" customFormat="1" ht="13.5">
      <c r="B2659" s="29"/>
      <c r="C2659" s="29"/>
      <c r="D2659" s="30"/>
      <c r="E2659" s="33"/>
      <c r="F2659" s="88"/>
    </row>
    <row r="2660" spans="2:6" s="6" customFormat="1" ht="13.5">
      <c r="B2660" s="29"/>
      <c r="C2660" s="29"/>
      <c r="D2660" s="30"/>
      <c r="E2660" s="33"/>
      <c r="F2660" s="88"/>
    </row>
    <row r="2661" spans="2:6" s="6" customFormat="1" ht="13.5">
      <c r="B2661" s="29"/>
      <c r="C2661" s="29"/>
      <c r="D2661" s="30"/>
      <c r="E2661" s="33"/>
      <c r="F2661" s="88"/>
    </row>
    <row r="2662" spans="2:6" s="6" customFormat="1" ht="13.5">
      <c r="B2662" s="29"/>
      <c r="C2662" s="29"/>
      <c r="D2662" s="30"/>
      <c r="E2662" s="33"/>
      <c r="F2662" s="88"/>
    </row>
    <row r="2663" spans="2:6" s="6" customFormat="1" ht="13.5">
      <c r="B2663" s="29"/>
      <c r="C2663" s="29"/>
      <c r="D2663" s="30"/>
      <c r="E2663" s="33"/>
      <c r="F2663" s="88"/>
    </row>
    <row r="2664" spans="2:6" s="6" customFormat="1" ht="13.5">
      <c r="B2664" s="29"/>
      <c r="C2664" s="29"/>
      <c r="D2664" s="30"/>
      <c r="E2664" s="33"/>
      <c r="F2664" s="88"/>
    </row>
    <row r="2665" spans="2:6" s="6" customFormat="1" ht="13.5">
      <c r="B2665" s="29"/>
      <c r="C2665" s="29"/>
      <c r="D2665" s="30"/>
      <c r="E2665" s="33"/>
      <c r="F2665" s="88"/>
    </row>
    <row r="2666" spans="2:6" s="6" customFormat="1" ht="13.5">
      <c r="B2666" s="29"/>
      <c r="C2666" s="29"/>
      <c r="D2666" s="30"/>
      <c r="E2666" s="33"/>
      <c r="F2666" s="88"/>
    </row>
    <row r="2667" spans="2:6" s="6" customFormat="1" ht="13.5">
      <c r="B2667" s="29"/>
      <c r="C2667" s="29"/>
      <c r="D2667" s="30"/>
      <c r="E2667" s="33"/>
      <c r="F2667" s="88"/>
    </row>
    <row r="2668" spans="2:6" s="6" customFormat="1" ht="13.5">
      <c r="B2668" s="29"/>
      <c r="C2668" s="29"/>
      <c r="D2668" s="30"/>
      <c r="E2668" s="33"/>
      <c r="F2668" s="88"/>
    </row>
    <row r="2669" spans="2:6" s="6" customFormat="1" ht="13.5">
      <c r="B2669" s="29"/>
      <c r="C2669" s="29"/>
      <c r="D2669" s="30"/>
      <c r="E2669" s="33"/>
      <c r="F2669" s="88"/>
    </row>
    <row r="2670" spans="2:6" s="6" customFormat="1" ht="13.5">
      <c r="B2670" s="29"/>
      <c r="C2670" s="29"/>
      <c r="D2670" s="30"/>
      <c r="E2670" s="33"/>
      <c r="F2670" s="88"/>
    </row>
    <row r="2671" spans="2:6" s="6" customFormat="1" ht="13.5">
      <c r="B2671" s="29"/>
      <c r="C2671" s="29"/>
      <c r="D2671" s="30"/>
      <c r="E2671" s="33"/>
      <c r="F2671" s="88"/>
    </row>
    <row r="2672" spans="2:6" s="6" customFormat="1" ht="13.5">
      <c r="B2672" s="29"/>
      <c r="C2672" s="29"/>
      <c r="D2672" s="30"/>
      <c r="E2672" s="33"/>
      <c r="F2672" s="88"/>
    </row>
    <row r="2673" spans="2:6" s="6" customFormat="1" ht="13.5">
      <c r="B2673" s="29"/>
      <c r="C2673" s="29"/>
      <c r="D2673" s="30"/>
      <c r="E2673" s="33"/>
      <c r="F2673" s="88"/>
    </row>
    <row r="2674" spans="2:6" s="6" customFormat="1" ht="13.5">
      <c r="B2674" s="29"/>
      <c r="C2674" s="29"/>
      <c r="D2674" s="30"/>
      <c r="E2674" s="33"/>
      <c r="F2674" s="88"/>
    </row>
    <row r="2675" spans="2:6" s="6" customFormat="1" ht="13.5">
      <c r="B2675" s="29"/>
      <c r="C2675" s="29"/>
      <c r="D2675" s="30"/>
      <c r="E2675" s="33"/>
      <c r="F2675" s="88"/>
    </row>
    <row r="2676" spans="2:6" s="6" customFormat="1" ht="13.5">
      <c r="B2676" s="29"/>
      <c r="C2676" s="29"/>
      <c r="D2676" s="30"/>
      <c r="E2676" s="33"/>
      <c r="F2676" s="88"/>
    </row>
    <row r="2677" spans="2:6" s="6" customFormat="1" ht="13.5">
      <c r="B2677" s="29"/>
      <c r="C2677" s="29"/>
      <c r="D2677" s="30"/>
      <c r="E2677" s="33"/>
      <c r="F2677" s="88"/>
    </row>
    <row r="2678" spans="2:6" s="6" customFormat="1" ht="13.5">
      <c r="B2678" s="29"/>
      <c r="C2678" s="29"/>
      <c r="D2678" s="30"/>
      <c r="E2678" s="33"/>
      <c r="F2678" s="88"/>
    </row>
    <row r="2679" spans="2:6" s="6" customFormat="1" ht="13.5">
      <c r="B2679" s="29"/>
      <c r="C2679" s="29"/>
      <c r="D2679" s="30"/>
      <c r="E2679" s="33"/>
      <c r="F2679" s="88"/>
    </row>
    <row r="2680" spans="2:6" s="6" customFormat="1" ht="13.5">
      <c r="B2680" s="29"/>
      <c r="C2680" s="29"/>
      <c r="D2680" s="30"/>
      <c r="E2680" s="33"/>
      <c r="F2680" s="88"/>
    </row>
    <row r="2681" spans="2:6" s="6" customFormat="1" ht="13.5">
      <c r="B2681" s="29"/>
      <c r="C2681" s="29"/>
      <c r="D2681" s="30"/>
      <c r="E2681" s="33"/>
      <c r="F2681" s="88"/>
    </row>
    <row r="2682" spans="2:6" s="6" customFormat="1" ht="13.5">
      <c r="B2682" s="29"/>
      <c r="C2682" s="29"/>
      <c r="D2682" s="30"/>
      <c r="E2682" s="33"/>
      <c r="F2682" s="88"/>
    </row>
    <row r="2683" spans="2:6" s="6" customFormat="1" ht="13.5">
      <c r="B2683" s="29"/>
      <c r="C2683" s="29"/>
      <c r="D2683" s="30"/>
      <c r="E2683" s="33"/>
      <c r="F2683" s="88"/>
    </row>
    <row r="2684" spans="2:6" s="6" customFormat="1" ht="13.5">
      <c r="B2684" s="29"/>
      <c r="C2684" s="29"/>
      <c r="D2684" s="30"/>
      <c r="E2684" s="33"/>
      <c r="F2684" s="88"/>
    </row>
    <row r="2685" spans="2:6" s="6" customFormat="1" ht="13.5">
      <c r="B2685" s="29"/>
      <c r="C2685" s="29"/>
      <c r="D2685" s="30"/>
      <c r="E2685" s="33"/>
      <c r="F2685" s="88"/>
    </row>
    <row r="2686" spans="2:6" s="6" customFormat="1" ht="13.5">
      <c r="B2686" s="29"/>
      <c r="C2686" s="29"/>
      <c r="D2686" s="30"/>
      <c r="E2686" s="33"/>
      <c r="F2686" s="88"/>
    </row>
    <row r="2687" spans="2:6" s="6" customFormat="1" ht="13.5">
      <c r="B2687" s="29"/>
      <c r="C2687" s="29"/>
      <c r="D2687" s="30"/>
      <c r="E2687" s="33"/>
      <c r="F2687" s="88"/>
    </row>
    <row r="2688" spans="2:6" s="6" customFormat="1" ht="13.5">
      <c r="B2688" s="29"/>
      <c r="C2688" s="29"/>
      <c r="D2688" s="30"/>
      <c r="E2688" s="33"/>
      <c r="F2688" s="88"/>
    </row>
    <row r="2689" spans="2:6" s="6" customFormat="1" ht="13.5">
      <c r="B2689" s="29"/>
      <c r="C2689" s="29"/>
      <c r="D2689" s="30"/>
      <c r="E2689" s="33"/>
      <c r="F2689" s="88"/>
    </row>
    <row r="2690" spans="2:6" s="6" customFormat="1" ht="13.5">
      <c r="B2690" s="29"/>
      <c r="C2690" s="29"/>
      <c r="D2690" s="30"/>
      <c r="E2690" s="33"/>
      <c r="F2690" s="88"/>
    </row>
    <row r="2691" spans="2:6" s="6" customFormat="1" ht="13.5">
      <c r="B2691" s="29"/>
      <c r="C2691" s="29"/>
      <c r="D2691" s="30"/>
      <c r="E2691" s="33"/>
      <c r="F2691" s="88"/>
    </row>
    <row r="2692" spans="2:6" s="6" customFormat="1" ht="13.5">
      <c r="B2692" s="29"/>
      <c r="C2692" s="29"/>
      <c r="D2692" s="30"/>
      <c r="E2692" s="33"/>
      <c r="F2692" s="88"/>
    </row>
    <row r="2693" spans="2:6" s="6" customFormat="1" ht="13.5">
      <c r="B2693" s="29"/>
      <c r="C2693" s="29"/>
      <c r="D2693" s="30"/>
      <c r="E2693" s="33"/>
      <c r="F2693" s="88"/>
    </row>
    <row r="2694" spans="2:6" s="6" customFormat="1" ht="13.5">
      <c r="B2694" s="29"/>
      <c r="C2694" s="29"/>
      <c r="D2694" s="30"/>
      <c r="E2694" s="33"/>
      <c r="F2694" s="88"/>
    </row>
    <row r="2695" spans="2:6" s="6" customFormat="1" ht="13.5">
      <c r="B2695" s="29"/>
      <c r="C2695" s="29"/>
      <c r="D2695" s="30"/>
      <c r="E2695" s="33"/>
      <c r="F2695" s="88"/>
    </row>
    <row r="2696" spans="2:6" s="6" customFormat="1" ht="13.5">
      <c r="B2696" s="29"/>
      <c r="C2696" s="29"/>
      <c r="D2696" s="30"/>
      <c r="E2696" s="33"/>
      <c r="F2696" s="88"/>
    </row>
    <row r="2697" spans="2:6" s="6" customFormat="1" ht="13.5">
      <c r="B2697" s="29"/>
      <c r="C2697" s="29"/>
      <c r="D2697" s="30"/>
      <c r="E2697" s="33"/>
      <c r="F2697" s="88"/>
    </row>
    <row r="2698" spans="2:6" s="6" customFormat="1" ht="13.5">
      <c r="B2698" s="29"/>
      <c r="C2698" s="29"/>
      <c r="D2698" s="30"/>
      <c r="E2698" s="33"/>
      <c r="F2698" s="88"/>
    </row>
    <row r="2699" spans="2:6" s="6" customFormat="1" ht="13.5">
      <c r="B2699" s="29"/>
      <c r="C2699" s="29"/>
      <c r="D2699" s="30"/>
      <c r="E2699" s="33"/>
      <c r="F2699" s="88"/>
    </row>
    <row r="2700" spans="2:6" s="6" customFormat="1" ht="13.5">
      <c r="B2700" s="29"/>
      <c r="C2700" s="29"/>
      <c r="D2700" s="30"/>
      <c r="E2700" s="33"/>
      <c r="F2700" s="88"/>
    </row>
    <row r="2701" spans="2:6" s="6" customFormat="1" ht="13.5">
      <c r="B2701" s="29"/>
      <c r="C2701" s="29"/>
      <c r="D2701" s="30"/>
      <c r="E2701" s="33"/>
      <c r="F2701" s="88"/>
    </row>
    <row r="2702" spans="2:6" s="6" customFormat="1" ht="13.5">
      <c r="B2702" s="29"/>
      <c r="C2702" s="29"/>
      <c r="D2702" s="30"/>
      <c r="E2702" s="33"/>
      <c r="F2702" s="88"/>
    </row>
    <row r="2703" spans="2:6" s="6" customFormat="1" ht="13.5">
      <c r="B2703" s="29"/>
      <c r="C2703" s="29"/>
      <c r="D2703" s="30"/>
      <c r="E2703" s="33"/>
      <c r="F2703" s="88"/>
    </row>
    <row r="2704" spans="2:6" s="6" customFormat="1" ht="13.5">
      <c r="B2704" s="29"/>
      <c r="C2704" s="29"/>
      <c r="D2704" s="30"/>
      <c r="E2704" s="33"/>
      <c r="F2704" s="88"/>
    </row>
    <row r="2705" spans="2:6" s="6" customFormat="1" ht="13.5">
      <c r="B2705" s="29"/>
      <c r="C2705" s="29"/>
      <c r="D2705" s="30"/>
      <c r="E2705" s="33"/>
      <c r="F2705" s="88"/>
    </row>
    <row r="2706" spans="2:6" s="6" customFormat="1" ht="13.5">
      <c r="B2706" s="29"/>
      <c r="C2706" s="29"/>
      <c r="D2706" s="30"/>
      <c r="E2706" s="33"/>
      <c r="F2706" s="88"/>
    </row>
    <row r="2707" spans="2:6" s="6" customFormat="1" ht="13.5">
      <c r="B2707" s="29"/>
      <c r="C2707" s="29"/>
      <c r="D2707" s="30"/>
      <c r="E2707" s="33"/>
      <c r="F2707" s="88"/>
    </row>
    <row r="2708" spans="2:6" s="6" customFormat="1" ht="13.5">
      <c r="B2708" s="29"/>
      <c r="C2708" s="29"/>
      <c r="D2708" s="30"/>
      <c r="E2708" s="33"/>
      <c r="F2708" s="88"/>
    </row>
    <row r="2709" spans="2:6" s="6" customFormat="1" ht="13.5">
      <c r="B2709" s="29"/>
      <c r="C2709" s="29"/>
      <c r="D2709" s="30"/>
      <c r="E2709" s="33"/>
      <c r="F2709" s="88"/>
    </row>
    <row r="2710" spans="2:6" s="6" customFormat="1" ht="13.5">
      <c r="B2710" s="29"/>
      <c r="C2710" s="29"/>
      <c r="D2710" s="30"/>
      <c r="E2710" s="33"/>
      <c r="F2710" s="88"/>
    </row>
    <row r="2711" spans="2:6" s="6" customFormat="1" ht="13.5">
      <c r="B2711" s="29"/>
      <c r="C2711" s="29"/>
      <c r="D2711" s="30"/>
      <c r="E2711" s="33"/>
      <c r="F2711" s="88"/>
    </row>
    <row r="2712" spans="2:6" s="6" customFormat="1" ht="13.5">
      <c r="B2712" s="29"/>
      <c r="C2712" s="29"/>
      <c r="D2712" s="30"/>
      <c r="E2712" s="33"/>
      <c r="F2712" s="88"/>
    </row>
    <row r="2713" spans="2:6" s="6" customFormat="1" ht="13.5">
      <c r="B2713" s="29"/>
      <c r="C2713" s="29"/>
      <c r="D2713" s="30"/>
      <c r="E2713" s="33"/>
      <c r="F2713" s="88"/>
    </row>
    <row r="2714" spans="2:6" s="6" customFormat="1" ht="13.5">
      <c r="B2714" s="29"/>
      <c r="C2714" s="29"/>
      <c r="D2714" s="30"/>
      <c r="E2714" s="33"/>
      <c r="F2714" s="88"/>
    </row>
    <row r="2715" spans="2:6" s="6" customFormat="1" ht="13.5">
      <c r="B2715" s="29"/>
      <c r="C2715" s="29"/>
      <c r="D2715" s="30"/>
      <c r="E2715" s="33"/>
      <c r="F2715" s="88"/>
    </row>
    <row r="2716" spans="2:6" s="6" customFormat="1" ht="13.5">
      <c r="B2716" s="29"/>
      <c r="C2716" s="29"/>
      <c r="D2716" s="30"/>
      <c r="E2716" s="33"/>
      <c r="F2716" s="88"/>
    </row>
    <row r="2717" spans="2:6" s="6" customFormat="1" ht="13.5">
      <c r="B2717" s="29"/>
      <c r="C2717" s="29"/>
      <c r="D2717" s="30"/>
      <c r="E2717" s="33"/>
      <c r="F2717" s="88"/>
    </row>
    <row r="2718" spans="2:6" s="6" customFormat="1" ht="13.5">
      <c r="B2718" s="29"/>
      <c r="C2718" s="29"/>
      <c r="D2718" s="30"/>
      <c r="E2718" s="33"/>
      <c r="F2718" s="88"/>
    </row>
    <row r="2719" spans="2:6" s="6" customFormat="1" ht="13.5">
      <c r="B2719" s="29"/>
      <c r="C2719" s="29"/>
      <c r="D2719" s="30"/>
      <c r="E2719" s="33"/>
      <c r="F2719" s="88"/>
    </row>
    <row r="2720" spans="2:6" s="6" customFormat="1" ht="13.5">
      <c r="B2720" s="29"/>
      <c r="C2720" s="29"/>
      <c r="D2720" s="30"/>
      <c r="E2720" s="33"/>
      <c r="F2720" s="88"/>
    </row>
    <row r="2721" spans="2:6" s="6" customFormat="1" ht="13.5">
      <c r="B2721" s="29"/>
      <c r="C2721" s="29"/>
      <c r="D2721" s="30"/>
      <c r="E2721" s="33"/>
      <c r="F2721" s="88"/>
    </row>
    <row r="2722" spans="2:6" s="6" customFormat="1" ht="13.5">
      <c r="B2722" s="29"/>
      <c r="C2722" s="29"/>
      <c r="D2722" s="30"/>
      <c r="E2722" s="33"/>
      <c r="F2722" s="88"/>
    </row>
    <row r="2723" spans="2:6" s="6" customFormat="1" ht="13.5">
      <c r="B2723" s="29"/>
      <c r="C2723" s="29"/>
      <c r="D2723" s="30"/>
      <c r="E2723" s="33"/>
      <c r="F2723" s="88"/>
    </row>
    <row r="2724" spans="2:6" s="6" customFormat="1" ht="13.5">
      <c r="B2724" s="29"/>
      <c r="C2724" s="29"/>
      <c r="D2724" s="30"/>
      <c r="E2724" s="33"/>
      <c r="F2724" s="88"/>
    </row>
    <row r="2725" spans="2:6" s="6" customFormat="1" ht="13.5">
      <c r="B2725" s="29"/>
      <c r="C2725" s="29"/>
      <c r="D2725" s="30"/>
      <c r="E2725" s="33"/>
      <c r="F2725" s="88"/>
    </row>
    <row r="2726" spans="2:6" s="6" customFormat="1" ht="13.5">
      <c r="B2726" s="29"/>
      <c r="C2726" s="29"/>
      <c r="D2726" s="30"/>
      <c r="E2726" s="33"/>
      <c r="F2726" s="88"/>
    </row>
    <row r="2727" spans="2:6" s="6" customFormat="1" ht="13.5">
      <c r="B2727" s="29"/>
      <c r="C2727" s="29"/>
      <c r="D2727" s="30"/>
      <c r="E2727" s="33"/>
      <c r="F2727" s="88"/>
    </row>
    <row r="2728" spans="2:6" s="6" customFormat="1" ht="13.5">
      <c r="B2728" s="29"/>
      <c r="C2728" s="29"/>
      <c r="D2728" s="30"/>
      <c r="E2728" s="33"/>
      <c r="F2728" s="88"/>
    </row>
    <row r="2729" spans="2:6" s="6" customFormat="1" ht="13.5">
      <c r="B2729" s="29"/>
      <c r="C2729" s="29"/>
      <c r="D2729" s="30"/>
      <c r="E2729" s="33"/>
      <c r="F2729" s="88"/>
    </row>
    <row r="2730" spans="2:6" s="6" customFormat="1" ht="13.5">
      <c r="B2730" s="29"/>
      <c r="C2730" s="29"/>
      <c r="D2730" s="30"/>
      <c r="E2730" s="33"/>
      <c r="F2730" s="88"/>
    </row>
    <row r="2731" spans="2:6" s="6" customFormat="1" ht="13.5">
      <c r="B2731" s="29"/>
      <c r="C2731" s="29"/>
      <c r="D2731" s="30"/>
      <c r="E2731" s="33"/>
      <c r="F2731" s="88"/>
    </row>
    <row r="2732" spans="2:6" s="6" customFormat="1" ht="13.5">
      <c r="B2732" s="29"/>
      <c r="C2732" s="29"/>
      <c r="D2732" s="30"/>
      <c r="E2732" s="33"/>
      <c r="F2732" s="88"/>
    </row>
    <row r="2733" spans="2:6" s="6" customFormat="1" ht="13.5">
      <c r="B2733" s="29"/>
      <c r="C2733" s="29"/>
      <c r="D2733" s="30"/>
      <c r="E2733" s="33"/>
      <c r="F2733" s="88"/>
    </row>
    <row r="2734" spans="2:6" s="6" customFormat="1" ht="13.5">
      <c r="B2734" s="29"/>
      <c r="C2734" s="29"/>
      <c r="D2734" s="30"/>
      <c r="E2734" s="33"/>
      <c r="F2734" s="88"/>
    </row>
    <row r="2735" spans="2:6" s="6" customFormat="1" ht="13.5">
      <c r="B2735" s="29"/>
      <c r="C2735" s="29"/>
      <c r="D2735" s="30"/>
      <c r="E2735" s="33"/>
      <c r="F2735" s="88"/>
    </row>
    <row r="2736" spans="2:6" s="6" customFormat="1" ht="13.5">
      <c r="B2736" s="29"/>
      <c r="C2736" s="29"/>
      <c r="D2736" s="30"/>
      <c r="E2736" s="33"/>
      <c r="F2736" s="88"/>
    </row>
    <row r="2737" spans="2:6" s="6" customFormat="1" ht="13.5">
      <c r="B2737" s="29"/>
      <c r="C2737" s="29"/>
      <c r="D2737" s="30"/>
      <c r="E2737" s="33"/>
      <c r="F2737" s="88"/>
    </row>
    <row r="2738" spans="2:6" s="6" customFormat="1" ht="13.5">
      <c r="B2738" s="29"/>
      <c r="C2738" s="29"/>
      <c r="D2738" s="30"/>
      <c r="E2738" s="33"/>
      <c r="F2738" s="88"/>
    </row>
    <row r="2739" spans="2:6" s="6" customFormat="1" ht="13.5">
      <c r="B2739" s="29"/>
      <c r="C2739" s="29"/>
      <c r="D2739" s="30"/>
      <c r="E2739" s="33"/>
      <c r="F2739" s="88"/>
    </row>
    <row r="2740" spans="2:6" s="6" customFormat="1" ht="13.5">
      <c r="B2740" s="29"/>
      <c r="C2740" s="29"/>
      <c r="D2740" s="30"/>
      <c r="E2740" s="33"/>
      <c r="F2740" s="88"/>
    </row>
    <row r="2741" spans="2:6" s="6" customFormat="1" ht="13.5">
      <c r="B2741" s="29"/>
      <c r="C2741" s="29"/>
      <c r="D2741" s="30"/>
      <c r="E2741" s="33"/>
      <c r="F2741" s="88"/>
    </row>
    <row r="2742" spans="2:6" s="6" customFormat="1" ht="13.5">
      <c r="B2742" s="29"/>
      <c r="C2742" s="29"/>
      <c r="D2742" s="30"/>
      <c r="E2742" s="33"/>
      <c r="F2742" s="88"/>
    </row>
    <row r="2743" spans="2:6" s="6" customFormat="1" ht="13.5">
      <c r="B2743" s="29"/>
      <c r="C2743" s="29"/>
      <c r="D2743" s="30"/>
      <c r="E2743" s="33"/>
      <c r="F2743" s="88"/>
    </row>
    <row r="2744" spans="2:6" s="6" customFormat="1" ht="13.5">
      <c r="B2744" s="29"/>
      <c r="C2744" s="29"/>
      <c r="D2744" s="30"/>
      <c r="E2744" s="33"/>
      <c r="F2744" s="88"/>
    </row>
    <row r="2745" spans="2:6" s="6" customFormat="1" ht="13.5">
      <c r="B2745" s="29"/>
      <c r="C2745" s="29"/>
      <c r="D2745" s="30"/>
      <c r="E2745" s="33"/>
      <c r="F2745" s="88"/>
    </row>
    <row r="2746" spans="2:6" s="6" customFormat="1" ht="13.5">
      <c r="B2746" s="29"/>
      <c r="C2746" s="29"/>
      <c r="D2746" s="30"/>
      <c r="E2746" s="33"/>
      <c r="F2746" s="88"/>
    </row>
    <row r="2747" spans="2:6" s="6" customFormat="1" ht="13.5">
      <c r="B2747" s="29"/>
      <c r="C2747" s="29"/>
      <c r="D2747" s="30"/>
      <c r="E2747" s="33"/>
      <c r="F2747" s="88"/>
    </row>
    <row r="2748" spans="2:6" s="6" customFormat="1" ht="13.5">
      <c r="B2748" s="29"/>
      <c r="C2748" s="29"/>
      <c r="D2748" s="30"/>
      <c r="E2748" s="33"/>
      <c r="F2748" s="88"/>
    </row>
    <row r="2749" spans="2:6" s="6" customFormat="1" ht="13.5">
      <c r="B2749" s="29"/>
      <c r="C2749" s="29"/>
      <c r="D2749" s="30"/>
      <c r="E2749" s="33"/>
      <c r="F2749" s="88"/>
    </row>
    <row r="2750" spans="2:6" s="6" customFormat="1" ht="13.5">
      <c r="B2750" s="29"/>
      <c r="C2750" s="29"/>
      <c r="D2750" s="30"/>
      <c r="E2750" s="33"/>
      <c r="F2750" s="88"/>
    </row>
    <row r="2751" spans="2:6" s="6" customFormat="1" ht="13.5">
      <c r="B2751" s="29"/>
      <c r="C2751" s="29"/>
      <c r="D2751" s="30"/>
      <c r="E2751" s="33"/>
      <c r="F2751" s="88"/>
    </row>
    <row r="2752" spans="2:6" s="6" customFormat="1" ht="13.5">
      <c r="B2752" s="29"/>
      <c r="C2752" s="29"/>
      <c r="D2752" s="30"/>
      <c r="E2752" s="33"/>
      <c r="F2752" s="88"/>
    </row>
    <row r="2753" spans="2:6" s="6" customFormat="1" ht="13.5">
      <c r="B2753" s="29"/>
      <c r="C2753" s="29"/>
      <c r="D2753" s="30"/>
      <c r="E2753" s="33"/>
      <c r="F2753" s="88"/>
    </row>
    <row r="2754" spans="2:6" s="6" customFormat="1" ht="13.5">
      <c r="B2754" s="29"/>
      <c r="C2754" s="29"/>
      <c r="D2754" s="30"/>
      <c r="E2754" s="33"/>
      <c r="F2754" s="88"/>
    </row>
    <row r="2755" spans="2:6" s="6" customFormat="1" ht="13.5">
      <c r="B2755" s="29"/>
      <c r="C2755" s="29"/>
      <c r="D2755" s="30"/>
      <c r="E2755" s="33"/>
      <c r="F2755" s="88"/>
    </row>
    <row r="2756" spans="2:6" s="6" customFormat="1" ht="13.5">
      <c r="B2756" s="29"/>
      <c r="C2756" s="29"/>
      <c r="D2756" s="30"/>
      <c r="E2756" s="33"/>
      <c r="F2756" s="88"/>
    </row>
    <row r="2757" spans="2:6" s="6" customFormat="1" ht="13.5">
      <c r="B2757" s="29"/>
      <c r="C2757" s="29"/>
      <c r="D2757" s="30"/>
      <c r="E2757" s="33"/>
      <c r="F2757" s="88"/>
    </row>
    <row r="2758" spans="2:6" s="6" customFormat="1" ht="13.5">
      <c r="B2758" s="29"/>
      <c r="C2758" s="29"/>
      <c r="D2758" s="30"/>
      <c r="E2758" s="33"/>
      <c r="F2758" s="88"/>
    </row>
    <row r="2759" spans="2:6" s="6" customFormat="1" ht="13.5">
      <c r="B2759" s="29"/>
      <c r="C2759" s="29"/>
      <c r="D2759" s="30"/>
      <c r="E2759" s="33"/>
      <c r="F2759" s="88"/>
    </row>
    <row r="2760" spans="2:6" s="6" customFormat="1" ht="13.5">
      <c r="B2760" s="29"/>
      <c r="C2760" s="29"/>
      <c r="D2760" s="30"/>
      <c r="E2760" s="33"/>
      <c r="F2760" s="88"/>
    </row>
    <row r="2761" spans="2:6" s="6" customFormat="1" ht="13.5">
      <c r="B2761" s="29"/>
      <c r="C2761" s="29"/>
      <c r="D2761" s="30"/>
      <c r="E2761" s="33"/>
      <c r="F2761" s="88"/>
    </row>
    <row r="2762" spans="2:6" s="6" customFormat="1" ht="13.5">
      <c r="B2762" s="29"/>
      <c r="C2762" s="29"/>
      <c r="D2762" s="30"/>
      <c r="E2762" s="33"/>
      <c r="F2762" s="88"/>
    </row>
    <row r="2763" spans="2:6" s="6" customFormat="1" ht="13.5">
      <c r="B2763" s="29"/>
      <c r="C2763" s="29"/>
      <c r="D2763" s="30"/>
      <c r="E2763" s="33"/>
      <c r="F2763" s="88"/>
    </row>
    <row r="2764" spans="2:6" s="6" customFormat="1" ht="13.5">
      <c r="B2764" s="29"/>
      <c r="C2764" s="29"/>
      <c r="D2764" s="30"/>
      <c r="E2764" s="33"/>
      <c r="F2764" s="88"/>
    </row>
    <row r="2765" spans="2:6" s="6" customFormat="1" ht="13.5">
      <c r="B2765" s="29"/>
      <c r="C2765" s="29"/>
      <c r="D2765" s="30"/>
      <c r="E2765" s="33"/>
      <c r="F2765" s="88"/>
    </row>
    <row r="2766" spans="2:6" s="6" customFormat="1" ht="13.5">
      <c r="B2766" s="29"/>
      <c r="C2766" s="29"/>
      <c r="D2766" s="30"/>
      <c r="E2766" s="33"/>
      <c r="F2766" s="88"/>
    </row>
    <row r="2767" spans="2:6" s="6" customFormat="1" ht="13.5">
      <c r="B2767" s="29"/>
      <c r="C2767" s="29"/>
      <c r="D2767" s="30"/>
      <c r="E2767" s="33"/>
      <c r="F2767" s="88"/>
    </row>
    <row r="2768" spans="2:6" s="6" customFormat="1" ht="13.5">
      <c r="B2768" s="29"/>
      <c r="C2768" s="29"/>
      <c r="D2768" s="30"/>
      <c r="E2768" s="33"/>
      <c r="F2768" s="88"/>
    </row>
    <row r="2769" spans="2:6" s="6" customFormat="1" ht="13.5">
      <c r="B2769" s="29"/>
      <c r="C2769" s="29"/>
      <c r="D2769" s="30"/>
      <c r="E2769" s="33"/>
      <c r="F2769" s="88"/>
    </row>
    <row r="2770" spans="2:6" s="6" customFormat="1" ht="13.5">
      <c r="B2770" s="29"/>
      <c r="C2770" s="29"/>
      <c r="D2770" s="30"/>
      <c r="E2770" s="33"/>
      <c r="F2770" s="88"/>
    </row>
    <row r="2771" spans="2:6" s="6" customFormat="1" ht="13.5">
      <c r="B2771" s="29"/>
      <c r="C2771" s="29"/>
      <c r="D2771" s="30"/>
      <c r="E2771" s="33"/>
      <c r="F2771" s="88"/>
    </row>
    <row r="2772" spans="2:6" s="6" customFormat="1" ht="13.5">
      <c r="B2772" s="29"/>
      <c r="C2772" s="29"/>
      <c r="D2772" s="30"/>
      <c r="E2772" s="33"/>
      <c r="F2772" s="88"/>
    </row>
    <row r="2773" spans="2:6" s="6" customFormat="1" ht="13.5">
      <c r="B2773" s="29"/>
      <c r="C2773" s="29"/>
      <c r="D2773" s="30"/>
      <c r="E2773" s="33"/>
      <c r="F2773" s="88"/>
    </row>
    <row r="2774" spans="2:6" s="6" customFormat="1" ht="13.5">
      <c r="B2774" s="29"/>
      <c r="C2774" s="29"/>
      <c r="D2774" s="30"/>
      <c r="E2774" s="33"/>
      <c r="F2774" s="88"/>
    </row>
    <row r="2775" spans="2:6" s="6" customFormat="1" ht="13.5">
      <c r="B2775" s="29"/>
      <c r="C2775" s="29"/>
      <c r="D2775" s="30"/>
      <c r="E2775" s="33"/>
      <c r="F2775" s="88"/>
    </row>
    <row r="2776" spans="2:6" s="6" customFormat="1" ht="13.5">
      <c r="B2776" s="29"/>
      <c r="C2776" s="29"/>
      <c r="D2776" s="30"/>
      <c r="E2776" s="33"/>
      <c r="F2776" s="88"/>
    </row>
    <row r="2777" spans="2:6" s="6" customFormat="1" ht="13.5">
      <c r="B2777" s="29"/>
      <c r="C2777" s="29"/>
      <c r="D2777" s="30"/>
      <c r="E2777" s="33"/>
      <c r="F2777" s="88"/>
    </row>
    <row r="2778" spans="2:6" s="6" customFormat="1" ht="13.5">
      <c r="B2778" s="29"/>
      <c r="C2778" s="29"/>
      <c r="D2778" s="30"/>
      <c r="E2778" s="33"/>
      <c r="F2778" s="88"/>
    </row>
    <row r="2779" spans="2:6" s="6" customFormat="1" ht="13.5">
      <c r="B2779" s="29"/>
      <c r="C2779" s="29"/>
      <c r="D2779" s="30"/>
      <c r="E2779" s="33"/>
      <c r="F2779" s="88"/>
    </row>
    <row r="2780" spans="2:6" s="6" customFormat="1" ht="13.5">
      <c r="B2780" s="29"/>
      <c r="C2780" s="29"/>
      <c r="D2780" s="30"/>
      <c r="E2780" s="33"/>
      <c r="F2780" s="88"/>
    </row>
    <row r="2781" spans="2:6" s="6" customFormat="1" ht="13.5">
      <c r="B2781" s="29"/>
      <c r="C2781" s="29"/>
      <c r="D2781" s="30"/>
      <c r="E2781" s="33"/>
      <c r="F2781" s="88"/>
    </row>
    <row r="2782" spans="2:6" s="6" customFormat="1" ht="13.5">
      <c r="B2782" s="29"/>
      <c r="C2782" s="29"/>
      <c r="D2782" s="30"/>
      <c r="E2782" s="33"/>
      <c r="F2782" s="88"/>
    </row>
    <row r="2783" spans="2:6" s="6" customFormat="1" ht="13.5">
      <c r="B2783" s="29"/>
      <c r="C2783" s="29"/>
      <c r="D2783" s="30"/>
      <c r="E2783" s="33"/>
      <c r="F2783" s="88"/>
    </row>
    <row r="2784" spans="2:6" s="6" customFormat="1" ht="13.5">
      <c r="B2784" s="29"/>
      <c r="C2784" s="29"/>
      <c r="D2784" s="30"/>
      <c r="E2784" s="33"/>
      <c r="F2784" s="88"/>
    </row>
    <row r="2785" spans="2:6" s="6" customFormat="1" ht="13.5">
      <c r="B2785" s="29"/>
      <c r="C2785" s="29"/>
      <c r="D2785" s="30"/>
      <c r="E2785" s="33"/>
      <c r="F2785" s="88"/>
    </row>
    <row r="2786" spans="2:6" s="6" customFormat="1" ht="13.5">
      <c r="B2786" s="29"/>
      <c r="C2786" s="29"/>
      <c r="D2786" s="30"/>
      <c r="E2786" s="33"/>
      <c r="F2786" s="88"/>
    </row>
    <row r="2787" spans="2:6" s="6" customFormat="1" ht="13.5">
      <c r="B2787" s="29"/>
      <c r="C2787" s="29"/>
      <c r="D2787" s="30"/>
      <c r="E2787" s="33"/>
      <c r="F2787" s="88"/>
    </row>
    <row r="2788" spans="2:6" s="6" customFormat="1" ht="13.5">
      <c r="B2788" s="29"/>
      <c r="C2788" s="29"/>
      <c r="D2788" s="30"/>
      <c r="E2788" s="33"/>
      <c r="F2788" s="88"/>
    </row>
    <row r="2789" spans="2:6" s="6" customFormat="1" ht="13.5">
      <c r="B2789" s="29"/>
      <c r="C2789" s="29"/>
      <c r="D2789" s="30"/>
      <c r="E2789" s="33"/>
      <c r="F2789" s="88"/>
    </row>
    <row r="2790" spans="2:6" s="6" customFormat="1" ht="13.5">
      <c r="B2790" s="29"/>
      <c r="C2790" s="29"/>
      <c r="D2790" s="30"/>
      <c r="E2790" s="33"/>
      <c r="F2790" s="88"/>
    </row>
    <row r="2791" spans="2:6" s="6" customFormat="1" ht="13.5">
      <c r="B2791" s="29"/>
      <c r="C2791" s="29"/>
      <c r="D2791" s="30"/>
      <c r="E2791" s="33"/>
      <c r="F2791" s="88"/>
    </row>
    <row r="2792" spans="2:6" s="6" customFormat="1" ht="13.5">
      <c r="B2792" s="29"/>
      <c r="C2792" s="29"/>
      <c r="D2792" s="30"/>
      <c r="E2792" s="33"/>
      <c r="F2792" s="88"/>
    </row>
    <row r="2793" spans="2:6" s="6" customFormat="1" ht="13.5">
      <c r="B2793" s="29"/>
      <c r="C2793" s="29"/>
      <c r="D2793" s="30"/>
      <c r="E2793" s="33"/>
      <c r="F2793" s="88"/>
    </row>
    <row r="2794" spans="2:6" s="6" customFormat="1" ht="13.5">
      <c r="B2794" s="29"/>
      <c r="C2794" s="29"/>
      <c r="D2794" s="30"/>
      <c r="E2794" s="33"/>
      <c r="F2794" s="88"/>
    </row>
    <row r="2795" spans="2:6" s="6" customFormat="1" ht="13.5">
      <c r="B2795" s="29"/>
      <c r="C2795" s="29"/>
      <c r="D2795" s="30"/>
      <c r="E2795" s="33"/>
      <c r="F2795" s="88"/>
    </row>
    <row r="2796" spans="2:6" s="6" customFormat="1" ht="13.5">
      <c r="B2796" s="29"/>
      <c r="C2796" s="29"/>
      <c r="D2796" s="30"/>
      <c r="E2796" s="33"/>
      <c r="F2796" s="88"/>
    </row>
    <row r="2797" spans="2:6" s="6" customFormat="1" ht="13.5">
      <c r="B2797" s="29"/>
      <c r="C2797" s="29"/>
      <c r="D2797" s="30"/>
      <c r="E2797" s="33"/>
      <c r="F2797" s="88"/>
    </row>
    <row r="2798" spans="2:6" s="6" customFormat="1" ht="13.5">
      <c r="B2798" s="29"/>
      <c r="C2798" s="29"/>
      <c r="D2798" s="30"/>
      <c r="E2798" s="33"/>
      <c r="F2798" s="88"/>
    </row>
    <row r="2799" spans="2:6" s="6" customFormat="1" ht="13.5">
      <c r="B2799" s="29"/>
      <c r="C2799" s="29"/>
      <c r="D2799" s="30"/>
      <c r="E2799" s="33"/>
      <c r="F2799" s="88"/>
    </row>
    <row r="2800" spans="2:6" s="6" customFormat="1" ht="13.5">
      <c r="B2800" s="29"/>
      <c r="C2800" s="29"/>
      <c r="D2800" s="30"/>
      <c r="E2800" s="33"/>
      <c r="F2800" s="88"/>
    </row>
    <row r="2801" spans="2:6" s="6" customFormat="1" ht="13.5">
      <c r="B2801" s="29"/>
      <c r="C2801" s="29"/>
      <c r="D2801" s="30"/>
      <c r="E2801" s="33"/>
      <c r="F2801" s="88"/>
    </row>
    <row r="2802" spans="2:6" s="6" customFormat="1" ht="13.5">
      <c r="B2802" s="29"/>
      <c r="C2802" s="29"/>
      <c r="D2802" s="30"/>
      <c r="E2802" s="33"/>
      <c r="F2802" s="88"/>
    </row>
    <row r="2803" spans="2:6" s="6" customFormat="1" ht="13.5">
      <c r="B2803" s="29"/>
      <c r="C2803" s="29"/>
      <c r="D2803" s="30"/>
      <c r="E2803" s="33"/>
      <c r="F2803" s="88"/>
    </row>
    <row r="2804" spans="2:6" s="6" customFormat="1" ht="13.5">
      <c r="B2804" s="29"/>
      <c r="C2804" s="29"/>
      <c r="D2804" s="30"/>
      <c r="E2804" s="33"/>
      <c r="F2804" s="88"/>
    </row>
    <row r="2805" spans="2:6" s="6" customFormat="1" ht="13.5">
      <c r="B2805" s="29"/>
      <c r="C2805" s="29"/>
      <c r="D2805" s="30"/>
      <c r="E2805" s="33"/>
      <c r="F2805" s="88"/>
    </row>
    <row r="2806" spans="2:6" s="6" customFormat="1" ht="13.5">
      <c r="B2806" s="29"/>
      <c r="C2806" s="29"/>
      <c r="D2806" s="30"/>
      <c r="E2806" s="33"/>
      <c r="F2806" s="88"/>
    </row>
    <row r="2807" spans="2:6" s="6" customFormat="1" ht="13.5">
      <c r="B2807" s="29"/>
      <c r="C2807" s="29"/>
      <c r="D2807" s="30"/>
      <c r="E2807" s="33"/>
      <c r="F2807" s="88"/>
    </row>
    <row r="2808" spans="2:6" s="6" customFormat="1" ht="13.5">
      <c r="B2808" s="29"/>
      <c r="C2808" s="29"/>
      <c r="D2808" s="30"/>
      <c r="E2808" s="33"/>
      <c r="F2808" s="88"/>
    </row>
    <row r="2809" spans="2:6" s="6" customFormat="1" ht="13.5">
      <c r="B2809" s="29"/>
      <c r="C2809" s="29"/>
      <c r="D2809" s="30"/>
      <c r="E2809" s="33"/>
      <c r="F2809" s="88"/>
    </row>
    <row r="2810" spans="2:6" s="6" customFormat="1" ht="13.5">
      <c r="B2810" s="29"/>
      <c r="C2810" s="29"/>
      <c r="D2810" s="30"/>
      <c r="E2810" s="33"/>
      <c r="F2810" s="88"/>
    </row>
    <row r="2811" spans="2:6" s="6" customFormat="1" ht="13.5">
      <c r="B2811" s="29"/>
      <c r="C2811" s="29"/>
      <c r="D2811" s="30"/>
      <c r="E2811" s="33"/>
      <c r="F2811" s="88"/>
    </row>
    <row r="2812" spans="2:6" s="6" customFormat="1" ht="13.5">
      <c r="B2812" s="29"/>
      <c r="C2812" s="29"/>
      <c r="D2812" s="30"/>
      <c r="E2812" s="33"/>
      <c r="F2812" s="88"/>
    </row>
    <row r="2813" spans="2:6" s="6" customFormat="1" ht="13.5">
      <c r="B2813" s="29"/>
      <c r="C2813" s="29"/>
      <c r="D2813" s="30"/>
      <c r="E2813" s="33"/>
      <c r="F2813" s="88"/>
    </row>
    <row r="2814" spans="2:6" s="6" customFormat="1" ht="13.5">
      <c r="B2814" s="29"/>
      <c r="C2814" s="29"/>
      <c r="D2814" s="30"/>
      <c r="E2814" s="33"/>
      <c r="F2814" s="88"/>
    </row>
    <row r="2815" spans="2:6" s="6" customFormat="1" ht="13.5">
      <c r="B2815" s="29"/>
      <c r="C2815" s="29"/>
      <c r="D2815" s="30"/>
      <c r="E2815" s="33"/>
      <c r="F2815" s="88"/>
    </row>
    <row r="2816" spans="2:6" s="6" customFormat="1" ht="13.5">
      <c r="B2816" s="29"/>
      <c r="C2816" s="29"/>
      <c r="D2816" s="30"/>
      <c r="E2816" s="33"/>
      <c r="F2816" s="88"/>
    </row>
    <row r="2817" spans="2:6" s="6" customFormat="1" ht="13.5">
      <c r="B2817" s="29"/>
      <c r="C2817" s="29"/>
      <c r="D2817" s="30"/>
      <c r="E2817" s="33"/>
      <c r="F2817" s="88"/>
    </row>
    <row r="2818" spans="2:6" s="6" customFormat="1" ht="13.5">
      <c r="B2818" s="29"/>
      <c r="C2818" s="29"/>
      <c r="D2818" s="30"/>
      <c r="E2818" s="33"/>
      <c r="F2818" s="88"/>
    </row>
    <row r="2819" spans="2:6" s="6" customFormat="1" ht="13.5">
      <c r="B2819" s="29"/>
      <c r="C2819" s="29"/>
      <c r="D2819" s="30"/>
      <c r="E2819" s="33"/>
      <c r="F2819" s="88"/>
    </row>
    <row r="2820" spans="2:6" s="6" customFormat="1" ht="13.5">
      <c r="B2820" s="29"/>
      <c r="C2820" s="29"/>
      <c r="D2820" s="30"/>
      <c r="E2820" s="33"/>
      <c r="F2820" s="88"/>
    </row>
    <row r="2821" spans="2:6" s="6" customFormat="1" ht="13.5">
      <c r="B2821" s="29"/>
      <c r="C2821" s="29"/>
      <c r="D2821" s="30"/>
      <c r="E2821" s="33"/>
      <c r="F2821" s="88"/>
    </row>
    <row r="2822" spans="2:6" s="6" customFormat="1" ht="13.5">
      <c r="B2822" s="29"/>
      <c r="C2822" s="29"/>
      <c r="D2822" s="30"/>
      <c r="E2822" s="33"/>
      <c r="F2822" s="88"/>
    </row>
    <row r="2823" spans="2:6" s="6" customFormat="1" ht="13.5">
      <c r="B2823" s="29"/>
      <c r="C2823" s="29"/>
      <c r="D2823" s="30"/>
      <c r="E2823" s="33"/>
      <c r="F2823" s="88"/>
    </row>
    <row r="2824" spans="2:6" s="6" customFormat="1" ht="13.5">
      <c r="B2824" s="29"/>
      <c r="C2824" s="29"/>
      <c r="D2824" s="30"/>
      <c r="E2824" s="33"/>
      <c r="F2824" s="88"/>
    </row>
    <row r="2825" spans="2:6" s="6" customFormat="1" ht="13.5">
      <c r="B2825" s="29"/>
      <c r="C2825" s="29"/>
      <c r="D2825" s="30"/>
      <c r="E2825" s="33"/>
      <c r="F2825" s="88"/>
    </row>
    <row r="2826" spans="2:6" s="6" customFormat="1" ht="13.5">
      <c r="B2826" s="29"/>
      <c r="C2826" s="29"/>
      <c r="D2826" s="30"/>
      <c r="E2826" s="33"/>
      <c r="F2826" s="88"/>
    </row>
    <row r="2827" spans="2:6" s="6" customFormat="1" ht="13.5">
      <c r="B2827" s="29"/>
      <c r="C2827" s="29"/>
      <c r="D2827" s="30"/>
      <c r="E2827" s="33"/>
      <c r="F2827" s="88"/>
    </row>
    <row r="2828" spans="2:6" s="6" customFormat="1" ht="13.5">
      <c r="B2828" s="29"/>
      <c r="C2828" s="29"/>
      <c r="D2828" s="30"/>
      <c r="E2828" s="33"/>
      <c r="F2828" s="88"/>
    </row>
    <row r="2829" spans="2:6" s="6" customFormat="1" ht="13.5">
      <c r="B2829" s="29"/>
      <c r="C2829" s="29"/>
      <c r="D2829" s="30"/>
      <c r="E2829" s="33"/>
      <c r="F2829" s="88"/>
    </row>
    <row r="2830" spans="2:6" s="6" customFormat="1" ht="13.5">
      <c r="B2830" s="29"/>
      <c r="C2830" s="29"/>
      <c r="D2830" s="30"/>
      <c r="E2830" s="33"/>
      <c r="F2830" s="88"/>
    </row>
    <row r="2831" spans="2:6" s="6" customFormat="1" ht="13.5">
      <c r="B2831" s="29"/>
      <c r="C2831" s="29"/>
      <c r="D2831" s="30"/>
      <c r="E2831" s="33"/>
      <c r="F2831" s="88"/>
    </row>
    <row r="2832" spans="2:6" s="6" customFormat="1" ht="13.5">
      <c r="B2832" s="29"/>
      <c r="C2832" s="29"/>
      <c r="D2832" s="30"/>
      <c r="E2832" s="33"/>
      <c r="F2832" s="88"/>
    </row>
    <row r="2833" spans="2:6" s="6" customFormat="1" ht="13.5">
      <c r="B2833" s="29"/>
      <c r="C2833" s="29"/>
      <c r="D2833" s="30"/>
      <c r="E2833" s="33"/>
      <c r="F2833" s="88"/>
    </row>
    <row r="2834" spans="2:6" s="6" customFormat="1" ht="13.5">
      <c r="B2834" s="29"/>
      <c r="C2834" s="29"/>
      <c r="D2834" s="30"/>
      <c r="E2834" s="33"/>
      <c r="F2834" s="88"/>
    </row>
    <row r="2835" spans="2:6" s="6" customFormat="1" ht="13.5">
      <c r="B2835" s="29"/>
      <c r="C2835" s="29"/>
      <c r="D2835" s="30"/>
      <c r="E2835" s="33"/>
      <c r="F2835" s="88"/>
    </row>
    <row r="2836" spans="2:6" s="6" customFormat="1" ht="13.5">
      <c r="B2836" s="29"/>
      <c r="C2836" s="29"/>
      <c r="D2836" s="30"/>
      <c r="E2836" s="33"/>
      <c r="F2836" s="88"/>
    </row>
    <row r="2837" spans="2:6" s="6" customFormat="1" ht="13.5">
      <c r="B2837" s="29"/>
      <c r="C2837" s="29"/>
      <c r="D2837" s="30"/>
      <c r="E2837" s="33"/>
      <c r="F2837" s="88"/>
    </row>
    <row r="2838" spans="2:6" s="6" customFormat="1" ht="13.5">
      <c r="B2838" s="29"/>
      <c r="C2838" s="29"/>
      <c r="D2838" s="30"/>
      <c r="E2838" s="33"/>
      <c r="F2838" s="88"/>
    </row>
    <row r="2839" spans="2:6" s="6" customFormat="1" ht="13.5">
      <c r="B2839" s="29"/>
      <c r="C2839" s="29"/>
      <c r="D2839" s="30"/>
      <c r="E2839" s="33"/>
      <c r="F2839" s="88"/>
    </row>
    <row r="2840" spans="2:6" s="6" customFormat="1" ht="13.5">
      <c r="B2840" s="29"/>
      <c r="C2840" s="29"/>
      <c r="D2840" s="30"/>
      <c r="E2840" s="33"/>
      <c r="F2840" s="88"/>
    </row>
    <row r="2841" spans="2:6" s="6" customFormat="1" ht="13.5">
      <c r="B2841" s="29"/>
      <c r="C2841" s="29"/>
      <c r="D2841" s="30"/>
      <c r="E2841" s="33"/>
      <c r="F2841" s="88"/>
    </row>
    <row r="2842" spans="2:6" s="6" customFormat="1" ht="13.5">
      <c r="B2842" s="29"/>
      <c r="C2842" s="29"/>
      <c r="D2842" s="30"/>
      <c r="E2842" s="33"/>
      <c r="F2842" s="88"/>
    </row>
    <row r="2843" spans="2:6" s="6" customFormat="1" ht="13.5">
      <c r="B2843" s="29"/>
      <c r="C2843" s="29"/>
      <c r="D2843" s="30"/>
      <c r="E2843" s="33"/>
      <c r="F2843" s="88"/>
    </row>
    <row r="2844" spans="2:6" s="6" customFormat="1" ht="13.5">
      <c r="B2844" s="29"/>
      <c r="C2844" s="29"/>
      <c r="D2844" s="30"/>
      <c r="E2844" s="33"/>
      <c r="F2844" s="88"/>
    </row>
    <row r="2845" spans="2:6" s="6" customFormat="1" ht="13.5">
      <c r="B2845" s="29"/>
      <c r="C2845" s="29"/>
      <c r="D2845" s="30"/>
      <c r="E2845" s="33"/>
      <c r="F2845" s="88"/>
    </row>
    <row r="2846" spans="2:6" s="6" customFormat="1" ht="13.5">
      <c r="B2846" s="29"/>
      <c r="C2846" s="29"/>
      <c r="D2846" s="30"/>
      <c r="E2846" s="33"/>
      <c r="F2846" s="88"/>
    </row>
    <row r="2847" spans="2:6" s="6" customFormat="1" ht="13.5">
      <c r="B2847" s="29"/>
      <c r="C2847" s="29"/>
      <c r="D2847" s="30"/>
      <c r="E2847" s="33"/>
      <c r="F2847" s="88"/>
    </row>
    <row r="2848" spans="2:6" s="6" customFormat="1" ht="13.5">
      <c r="B2848" s="29"/>
      <c r="C2848" s="29"/>
      <c r="D2848" s="30"/>
      <c r="E2848" s="33"/>
      <c r="F2848" s="88"/>
    </row>
    <row r="2849" spans="2:6" s="6" customFormat="1" ht="13.5">
      <c r="B2849" s="29"/>
      <c r="C2849" s="29"/>
      <c r="D2849" s="30"/>
      <c r="E2849" s="33"/>
      <c r="F2849" s="88"/>
    </row>
    <row r="2850" spans="2:6" s="6" customFormat="1" ht="13.5">
      <c r="B2850" s="29"/>
      <c r="C2850" s="29"/>
      <c r="D2850" s="30"/>
      <c r="E2850" s="33"/>
      <c r="F2850" s="88"/>
    </row>
    <row r="2851" spans="2:6" s="6" customFormat="1" ht="13.5">
      <c r="B2851" s="29"/>
      <c r="C2851" s="29"/>
      <c r="D2851" s="30"/>
      <c r="E2851" s="33"/>
      <c r="F2851" s="88"/>
    </row>
    <row r="2852" spans="2:6" s="6" customFormat="1" ht="13.5">
      <c r="B2852" s="29"/>
      <c r="C2852" s="29"/>
      <c r="D2852" s="30"/>
      <c r="E2852" s="33"/>
      <c r="F2852" s="88"/>
    </row>
    <row r="2853" spans="2:6" s="6" customFormat="1" ht="13.5">
      <c r="B2853" s="29"/>
      <c r="C2853" s="29"/>
      <c r="D2853" s="30"/>
      <c r="E2853" s="33"/>
      <c r="F2853" s="88"/>
    </row>
    <row r="2854" spans="2:6" s="6" customFormat="1" ht="13.5">
      <c r="B2854" s="29"/>
      <c r="C2854" s="29"/>
      <c r="D2854" s="30"/>
      <c r="E2854" s="33"/>
      <c r="F2854" s="88"/>
    </row>
    <row r="2855" spans="2:6" s="6" customFormat="1" ht="13.5">
      <c r="B2855" s="29"/>
      <c r="C2855" s="29"/>
      <c r="D2855" s="30"/>
      <c r="E2855" s="33"/>
      <c r="F2855" s="88"/>
    </row>
    <row r="2856" spans="2:6" s="6" customFormat="1" ht="13.5">
      <c r="B2856" s="29"/>
      <c r="C2856" s="29"/>
      <c r="D2856" s="30"/>
      <c r="E2856" s="33"/>
      <c r="F2856" s="88"/>
    </row>
    <row r="2857" spans="2:6" s="6" customFormat="1" ht="13.5">
      <c r="B2857" s="29"/>
      <c r="C2857" s="29"/>
      <c r="D2857" s="30"/>
      <c r="E2857" s="33"/>
      <c r="F2857" s="88"/>
    </row>
    <row r="2858" spans="2:6" s="6" customFormat="1" ht="13.5">
      <c r="B2858" s="29"/>
      <c r="C2858" s="29"/>
      <c r="D2858" s="30"/>
      <c r="E2858" s="33"/>
      <c r="F2858" s="88"/>
    </row>
    <row r="2859" spans="2:6" s="6" customFormat="1" ht="13.5">
      <c r="B2859" s="29"/>
      <c r="C2859" s="29"/>
      <c r="D2859" s="30"/>
      <c r="E2859" s="33"/>
      <c r="F2859" s="88"/>
    </row>
    <row r="2860" spans="2:6" s="6" customFormat="1" ht="13.5">
      <c r="B2860" s="29"/>
      <c r="C2860" s="29"/>
      <c r="D2860" s="30"/>
      <c r="E2860" s="33"/>
      <c r="F2860" s="88"/>
    </row>
    <row r="2861" spans="2:6" s="6" customFormat="1" ht="13.5">
      <c r="B2861" s="29"/>
      <c r="C2861" s="29"/>
      <c r="D2861" s="30"/>
      <c r="E2861" s="33"/>
      <c r="F2861" s="88"/>
    </row>
    <row r="2862" spans="2:6" s="6" customFormat="1" ht="13.5">
      <c r="B2862" s="29"/>
      <c r="C2862" s="29"/>
      <c r="D2862" s="30"/>
      <c r="E2862" s="33"/>
      <c r="F2862" s="88"/>
    </row>
    <row r="2863" spans="2:6" s="6" customFormat="1" ht="13.5">
      <c r="B2863" s="29"/>
      <c r="C2863" s="29"/>
      <c r="D2863" s="30"/>
      <c r="E2863" s="33"/>
      <c r="F2863" s="88"/>
    </row>
    <row r="2864" spans="2:6" s="6" customFormat="1" ht="13.5">
      <c r="B2864" s="29"/>
      <c r="C2864" s="29"/>
      <c r="D2864" s="30"/>
      <c r="E2864" s="33"/>
      <c r="F2864" s="88"/>
    </row>
    <row r="2865" spans="2:6" s="6" customFormat="1" ht="13.5">
      <c r="B2865" s="29"/>
      <c r="C2865" s="29"/>
      <c r="D2865" s="30"/>
      <c r="E2865" s="33"/>
      <c r="F2865" s="88"/>
    </row>
    <row r="2866" spans="2:6" s="6" customFormat="1" ht="13.5">
      <c r="B2866" s="29"/>
      <c r="C2866" s="29"/>
      <c r="D2866" s="30"/>
      <c r="E2866" s="33"/>
      <c r="F2866" s="88"/>
    </row>
    <row r="2867" spans="2:6" s="6" customFormat="1" ht="13.5">
      <c r="B2867" s="29"/>
      <c r="C2867" s="29"/>
      <c r="D2867" s="30"/>
      <c r="E2867" s="33"/>
      <c r="F2867" s="88"/>
    </row>
    <row r="2868" spans="2:6" s="6" customFormat="1" ht="13.5">
      <c r="B2868" s="29"/>
      <c r="C2868" s="29"/>
      <c r="D2868" s="30"/>
      <c r="E2868" s="33"/>
      <c r="F2868" s="88"/>
    </row>
    <row r="2869" spans="2:6" s="6" customFormat="1" ht="13.5">
      <c r="B2869" s="29"/>
      <c r="C2869" s="29"/>
      <c r="D2869" s="30"/>
      <c r="E2869" s="33"/>
      <c r="F2869" s="88"/>
    </row>
    <row r="2870" spans="2:6" s="6" customFormat="1" ht="13.5">
      <c r="B2870" s="29"/>
      <c r="C2870" s="29"/>
      <c r="D2870" s="30"/>
      <c r="E2870" s="33"/>
      <c r="F2870" s="88"/>
    </row>
    <row r="2871" spans="2:6" s="6" customFormat="1" ht="13.5">
      <c r="B2871" s="29"/>
      <c r="C2871" s="29"/>
      <c r="D2871" s="30"/>
      <c r="E2871" s="33"/>
      <c r="F2871" s="88"/>
    </row>
    <row r="2872" spans="2:6" s="6" customFormat="1" ht="13.5">
      <c r="B2872" s="29"/>
      <c r="C2872" s="29"/>
      <c r="D2872" s="30"/>
      <c r="E2872" s="33"/>
      <c r="F2872" s="88"/>
    </row>
    <row r="2873" spans="2:6" s="6" customFormat="1" ht="13.5">
      <c r="B2873" s="29"/>
      <c r="C2873" s="29"/>
      <c r="D2873" s="30"/>
      <c r="E2873" s="33"/>
      <c r="F2873" s="88"/>
    </row>
    <row r="2874" spans="2:6" s="6" customFormat="1" ht="13.5">
      <c r="B2874" s="29"/>
      <c r="C2874" s="29"/>
      <c r="D2874" s="30"/>
      <c r="E2874" s="33"/>
      <c r="F2874" s="88"/>
    </row>
    <row r="2875" spans="2:6" s="6" customFormat="1" ht="13.5">
      <c r="B2875" s="29"/>
      <c r="C2875" s="29"/>
      <c r="D2875" s="30"/>
      <c r="E2875" s="33"/>
      <c r="F2875" s="88"/>
    </row>
    <row r="2876" spans="2:6" s="6" customFormat="1" ht="13.5">
      <c r="B2876" s="29"/>
      <c r="C2876" s="29"/>
      <c r="D2876" s="30"/>
      <c r="E2876" s="33"/>
      <c r="F2876" s="88"/>
    </row>
    <row r="2877" spans="2:6" s="6" customFormat="1" ht="13.5">
      <c r="B2877" s="29"/>
      <c r="C2877" s="29"/>
      <c r="D2877" s="30"/>
      <c r="E2877" s="33"/>
      <c r="F2877" s="88"/>
    </row>
    <row r="2878" spans="2:6" s="6" customFormat="1" ht="13.5">
      <c r="B2878" s="29"/>
      <c r="C2878" s="29"/>
      <c r="D2878" s="30"/>
      <c r="E2878" s="33"/>
      <c r="F2878" s="88"/>
    </row>
    <row r="2879" spans="2:6" s="6" customFormat="1" ht="13.5">
      <c r="B2879" s="29"/>
      <c r="C2879" s="29"/>
      <c r="D2879" s="30"/>
      <c r="E2879" s="33"/>
      <c r="F2879" s="88"/>
    </row>
    <row r="2880" spans="2:6" s="6" customFormat="1" ht="13.5">
      <c r="B2880" s="29"/>
      <c r="C2880" s="29"/>
      <c r="D2880" s="30"/>
      <c r="E2880" s="33"/>
      <c r="F2880" s="88"/>
    </row>
    <row r="2881" spans="2:6" s="6" customFormat="1" ht="13.5">
      <c r="B2881" s="29"/>
      <c r="C2881" s="29"/>
      <c r="D2881" s="30"/>
      <c r="E2881" s="33"/>
      <c r="F2881" s="88"/>
    </row>
    <row r="2882" spans="2:6" s="6" customFormat="1" ht="13.5">
      <c r="B2882" s="29"/>
      <c r="C2882" s="29"/>
      <c r="D2882" s="30"/>
      <c r="E2882" s="33"/>
      <c r="F2882" s="88"/>
    </row>
    <row r="2883" spans="2:6" s="6" customFormat="1" ht="13.5">
      <c r="B2883" s="29"/>
      <c r="C2883" s="29"/>
      <c r="D2883" s="30"/>
      <c r="E2883" s="33"/>
      <c r="F2883" s="88"/>
    </row>
    <row r="2884" spans="2:6" s="6" customFormat="1" ht="13.5">
      <c r="B2884" s="29"/>
      <c r="C2884" s="29"/>
      <c r="D2884" s="30"/>
      <c r="E2884" s="33"/>
      <c r="F2884" s="88"/>
    </row>
    <row r="2885" spans="2:6" s="6" customFormat="1" ht="13.5">
      <c r="B2885" s="29"/>
      <c r="C2885" s="29"/>
      <c r="D2885" s="30"/>
      <c r="E2885" s="33"/>
      <c r="F2885" s="88"/>
    </row>
    <row r="2886" spans="2:6" s="6" customFormat="1" ht="13.5">
      <c r="B2886" s="29"/>
      <c r="C2886" s="29"/>
      <c r="D2886" s="30"/>
      <c r="E2886" s="33"/>
      <c r="F2886" s="88"/>
    </row>
    <row r="2887" spans="2:6" s="6" customFormat="1" ht="13.5">
      <c r="B2887" s="29"/>
      <c r="C2887" s="29"/>
      <c r="D2887" s="30"/>
      <c r="E2887" s="33"/>
      <c r="F2887" s="88"/>
    </row>
    <row r="2888" spans="2:6" s="6" customFormat="1" ht="13.5">
      <c r="B2888" s="29"/>
      <c r="C2888" s="29"/>
      <c r="D2888" s="30"/>
      <c r="E2888" s="33"/>
      <c r="F2888" s="88"/>
    </row>
    <row r="2889" spans="2:6" s="6" customFormat="1" ht="13.5">
      <c r="B2889" s="29"/>
      <c r="C2889" s="29"/>
      <c r="D2889" s="30"/>
      <c r="E2889" s="33"/>
      <c r="F2889" s="88"/>
    </row>
    <row r="2890" spans="2:6" s="6" customFormat="1" ht="13.5">
      <c r="B2890" s="29"/>
      <c r="C2890" s="29"/>
      <c r="D2890" s="30"/>
      <c r="E2890" s="33"/>
      <c r="F2890" s="88"/>
    </row>
    <row r="2891" spans="2:6" s="6" customFormat="1" ht="13.5">
      <c r="B2891" s="29"/>
      <c r="C2891" s="29"/>
      <c r="D2891" s="30"/>
      <c r="E2891" s="33"/>
      <c r="F2891" s="88"/>
    </row>
    <row r="2892" spans="2:6" s="6" customFormat="1" ht="13.5">
      <c r="B2892" s="29"/>
      <c r="C2892" s="29"/>
      <c r="D2892" s="30"/>
      <c r="E2892" s="33"/>
      <c r="F2892" s="88"/>
    </row>
    <row r="2893" spans="2:6" s="6" customFormat="1" ht="13.5">
      <c r="B2893" s="29"/>
      <c r="C2893" s="29"/>
      <c r="D2893" s="30"/>
      <c r="E2893" s="33"/>
      <c r="F2893" s="88"/>
    </row>
    <row r="2894" spans="2:6" s="6" customFormat="1" ht="13.5">
      <c r="B2894" s="29"/>
      <c r="C2894" s="29"/>
      <c r="D2894" s="30"/>
      <c r="E2894" s="33"/>
      <c r="F2894" s="88"/>
    </row>
    <row r="2895" spans="2:6" s="6" customFormat="1" ht="13.5">
      <c r="B2895" s="29"/>
      <c r="C2895" s="29"/>
      <c r="D2895" s="30"/>
      <c r="E2895" s="33"/>
      <c r="F2895" s="88"/>
    </row>
    <row r="2896" spans="2:6" s="6" customFormat="1" ht="13.5">
      <c r="B2896" s="29"/>
      <c r="C2896" s="29"/>
      <c r="D2896" s="30"/>
      <c r="E2896" s="33"/>
      <c r="F2896" s="88"/>
    </row>
    <row r="2897" spans="2:6" s="6" customFormat="1" ht="13.5">
      <c r="B2897" s="29"/>
      <c r="C2897" s="29"/>
      <c r="D2897" s="30"/>
      <c r="E2897" s="33"/>
      <c r="F2897" s="88"/>
    </row>
    <row r="2898" spans="2:6" s="6" customFormat="1" ht="13.5">
      <c r="B2898" s="29"/>
      <c r="C2898" s="29"/>
      <c r="D2898" s="30"/>
      <c r="E2898" s="33"/>
      <c r="F2898" s="88"/>
    </row>
    <row r="2899" spans="2:6" s="6" customFormat="1" ht="13.5">
      <c r="B2899" s="29"/>
      <c r="C2899" s="29"/>
      <c r="D2899" s="30"/>
      <c r="E2899" s="33"/>
      <c r="F2899" s="88"/>
    </row>
    <row r="2900" spans="2:6" s="6" customFormat="1" ht="13.5">
      <c r="B2900" s="29"/>
      <c r="C2900" s="29"/>
      <c r="D2900" s="30"/>
      <c r="E2900" s="33"/>
      <c r="F2900" s="88"/>
    </row>
    <row r="2901" spans="2:6" s="6" customFormat="1" ht="13.5">
      <c r="B2901" s="29"/>
      <c r="C2901" s="29"/>
      <c r="D2901" s="30"/>
      <c r="E2901" s="33"/>
      <c r="F2901" s="88"/>
    </row>
    <row r="2902" spans="2:6" s="6" customFormat="1" ht="13.5">
      <c r="B2902" s="29"/>
      <c r="C2902" s="29"/>
      <c r="D2902" s="30"/>
      <c r="E2902" s="33"/>
      <c r="F2902" s="88"/>
    </row>
    <row r="2903" spans="2:6" s="6" customFormat="1" ht="13.5">
      <c r="B2903" s="29"/>
      <c r="C2903" s="29"/>
      <c r="D2903" s="30"/>
      <c r="E2903" s="33"/>
      <c r="F2903" s="88"/>
    </row>
    <row r="2904" spans="2:6" s="6" customFormat="1" ht="13.5">
      <c r="B2904" s="29"/>
      <c r="C2904" s="29"/>
      <c r="D2904" s="30"/>
      <c r="E2904" s="33"/>
      <c r="F2904" s="88"/>
    </row>
    <row r="2905" spans="2:6" s="6" customFormat="1" ht="13.5">
      <c r="B2905" s="29"/>
      <c r="C2905" s="29"/>
      <c r="D2905" s="30"/>
      <c r="E2905" s="33"/>
      <c r="F2905" s="88"/>
    </row>
    <row r="2906" spans="2:6" s="6" customFormat="1" ht="13.5">
      <c r="B2906" s="29"/>
      <c r="C2906" s="29"/>
      <c r="D2906" s="30"/>
      <c r="E2906" s="33"/>
      <c r="F2906" s="88"/>
    </row>
    <row r="2907" spans="2:6" s="6" customFormat="1" ht="13.5">
      <c r="B2907" s="29"/>
      <c r="C2907" s="29"/>
      <c r="D2907" s="30"/>
      <c r="E2907" s="33"/>
      <c r="F2907" s="88"/>
    </row>
    <row r="2908" spans="2:6" s="6" customFormat="1" ht="13.5">
      <c r="B2908" s="29"/>
      <c r="C2908" s="29"/>
      <c r="D2908" s="30"/>
      <c r="E2908" s="33"/>
      <c r="F2908" s="88"/>
    </row>
    <row r="2909" spans="2:6" s="6" customFormat="1" ht="13.5">
      <c r="B2909" s="29"/>
      <c r="C2909" s="29"/>
      <c r="D2909" s="30"/>
      <c r="E2909" s="33"/>
      <c r="F2909" s="88"/>
    </row>
    <row r="2910" spans="2:6" s="6" customFormat="1" ht="13.5">
      <c r="B2910" s="29"/>
      <c r="C2910" s="29"/>
      <c r="D2910" s="30"/>
      <c r="E2910" s="33"/>
      <c r="F2910" s="88"/>
    </row>
    <row r="2911" spans="2:6" s="6" customFormat="1" ht="13.5">
      <c r="B2911" s="29"/>
      <c r="C2911" s="29"/>
      <c r="D2911" s="30"/>
      <c r="E2911" s="33"/>
      <c r="F2911" s="88"/>
    </row>
    <row r="2912" spans="2:6" s="6" customFormat="1" ht="13.5">
      <c r="B2912" s="29"/>
      <c r="C2912" s="29"/>
      <c r="D2912" s="30"/>
      <c r="E2912" s="33"/>
      <c r="F2912" s="88"/>
    </row>
    <row r="2913" spans="2:6" s="6" customFormat="1" ht="13.5">
      <c r="B2913" s="29"/>
      <c r="C2913" s="29"/>
      <c r="D2913" s="30"/>
      <c r="E2913" s="33"/>
      <c r="F2913" s="88"/>
    </row>
    <row r="2914" spans="2:6" s="6" customFormat="1" ht="13.5">
      <c r="B2914" s="29"/>
      <c r="C2914" s="29"/>
      <c r="D2914" s="30"/>
      <c r="E2914" s="33"/>
      <c r="F2914" s="88"/>
    </row>
    <row r="2915" spans="2:6" s="6" customFormat="1" ht="13.5">
      <c r="B2915" s="29"/>
      <c r="C2915" s="29"/>
      <c r="D2915" s="30"/>
      <c r="E2915" s="33"/>
      <c r="F2915" s="88"/>
    </row>
    <row r="2916" spans="2:6" s="6" customFormat="1" ht="13.5">
      <c r="B2916" s="29"/>
      <c r="C2916" s="29"/>
      <c r="D2916" s="30"/>
      <c r="E2916" s="33"/>
      <c r="F2916" s="88"/>
    </row>
    <row r="2917" spans="2:6" s="6" customFormat="1" ht="13.5">
      <c r="B2917" s="29"/>
      <c r="C2917" s="29"/>
      <c r="D2917" s="30"/>
      <c r="E2917" s="33"/>
      <c r="F2917" s="88"/>
    </row>
    <row r="2918" spans="2:6" s="6" customFormat="1" ht="13.5">
      <c r="B2918" s="29"/>
      <c r="C2918" s="29"/>
      <c r="D2918" s="30"/>
      <c r="E2918" s="33"/>
      <c r="F2918" s="88"/>
    </row>
    <row r="2919" spans="2:6" s="6" customFormat="1" ht="13.5">
      <c r="B2919" s="29"/>
      <c r="C2919" s="29"/>
      <c r="D2919" s="30"/>
      <c r="E2919" s="33"/>
      <c r="F2919" s="88"/>
    </row>
    <row r="2920" spans="2:6" s="6" customFormat="1" ht="13.5">
      <c r="B2920" s="29"/>
      <c r="C2920" s="29"/>
      <c r="D2920" s="30"/>
      <c r="E2920" s="33"/>
      <c r="F2920" s="88"/>
    </row>
    <row r="2921" spans="2:6" s="6" customFormat="1" ht="13.5">
      <c r="B2921" s="29"/>
      <c r="C2921" s="29"/>
      <c r="D2921" s="30"/>
      <c r="E2921" s="33"/>
      <c r="F2921" s="88"/>
    </row>
    <row r="2922" spans="2:6" s="6" customFormat="1" ht="13.5">
      <c r="B2922" s="29"/>
      <c r="C2922" s="29"/>
      <c r="D2922" s="30"/>
      <c r="E2922" s="33"/>
      <c r="F2922" s="88"/>
    </row>
    <row r="2923" spans="2:6" s="6" customFormat="1" ht="13.5">
      <c r="B2923" s="29"/>
      <c r="C2923" s="29"/>
      <c r="D2923" s="30"/>
      <c r="E2923" s="33"/>
      <c r="F2923" s="88"/>
    </row>
    <row r="2924" spans="2:6" s="6" customFormat="1" ht="13.5">
      <c r="B2924" s="29"/>
      <c r="C2924" s="29"/>
      <c r="D2924" s="30"/>
      <c r="E2924" s="33"/>
      <c r="F2924" s="88"/>
    </row>
    <row r="2925" spans="2:6" s="6" customFormat="1" ht="13.5">
      <c r="B2925" s="29"/>
      <c r="C2925" s="29"/>
      <c r="D2925" s="30"/>
      <c r="E2925" s="33"/>
      <c r="F2925" s="88"/>
    </row>
    <row r="2926" spans="2:6" s="6" customFormat="1" ht="13.5">
      <c r="B2926" s="29"/>
      <c r="C2926" s="29"/>
      <c r="D2926" s="30"/>
      <c r="E2926" s="33"/>
      <c r="F2926" s="88"/>
    </row>
    <row r="2927" spans="2:6" s="6" customFormat="1" ht="13.5">
      <c r="B2927" s="29"/>
      <c r="C2927" s="29"/>
      <c r="D2927" s="30"/>
      <c r="E2927" s="33"/>
      <c r="F2927" s="88"/>
    </row>
    <row r="2928" spans="2:6" s="6" customFormat="1" ht="13.5">
      <c r="B2928" s="29"/>
      <c r="C2928" s="29"/>
      <c r="D2928" s="30"/>
      <c r="E2928" s="33"/>
      <c r="F2928" s="88"/>
    </row>
    <row r="2929" spans="2:6" s="6" customFormat="1" ht="13.5">
      <c r="B2929" s="29"/>
      <c r="C2929" s="29"/>
      <c r="D2929" s="30"/>
      <c r="E2929" s="33"/>
      <c r="F2929" s="88"/>
    </row>
    <row r="2930" spans="2:6" s="6" customFormat="1" ht="13.5">
      <c r="B2930" s="29"/>
      <c r="C2930" s="29"/>
      <c r="D2930" s="30"/>
      <c r="E2930" s="33"/>
      <c r="F2930" s="88"/>
    </row>
    <row r="2931" spans="2:6" s="6" customFormat="1" ht="13.5">
      <c r="B2931" s="29"/>
      <c r="C2931" s="29"/>
      <c r="D2931" s="30"/>
      <c r="E2931" s="33"/>
      <c r="F2931" s="88"/>
    </row>
    <row r="2932" spans="2:6" s="6" customFormat="1" ht="13.5">
      <c r="B2932" s="29"/>
      <c r="C2932" s="29"/>
      <c r="D2932" s="30"/>
      <c r="E2932" s="33"/>
      <c r="F2932" s="88"/>
    </row>
    <row r="2933" spans="2:6" s="6" customFormat="1" ht="13.5">
      <c r="B2933" s="29"/>
      <c r="C2933" s="29"/>
      <c r="D2933" s="30"/>
      <c r="E2933" s="33"/>
      <c r="F2933" s="88"/>
    </row>
    <row r="2934" spans="2:6" s="6" customFormat="1" ht="13.5">
      <c r="B2934" s="29"/>
      <c r="C2934" s="29"/>
      <c r="D2934" s="30"/>
      <c r="E2934" s="33"/>
      <c r="F2934" s="88"/>
    </row>
    <row r="2935" spans="2:6" s="6" customFormat="1" ht="13.5">
      <c r="B2935" s="29"/>
      <c r="C2935" s="29"/>
      <c r="D2935" s="30"/>
      <c r="E2935" s="33"/>
      <c r="F2935" s="88"/>
    </row>
    <row r="2936" spans="2:6" s="6" customFormat="1" ht="13.5">
      <c r="B2936" s="29"/>
      <c r="C2936" s="29"/>
      <c r="D2936" s="30"/>
      <c r="E2936" s="33"/>
      <c r="F2936" s="88"/>
    </row>
    <row r="2937" spans="2:6" s="6" customFormat="1" ht="13.5">
      <c r="B2937" s="29"/>
      <c r="C2937" s="29"/>
      <c r="D2937" s="30"/>
      <c r="E2937" s="33"/>
      <c r="F2937" s="88"/>
    </row>
    <row r="2938" spans="2:6" s="6" customFormat="1" ht="13.5">
      <c r="B2938" s="29"/>
      <c r="C2938" s="29"/>
      <c r="D2938" s="30"/>
      <c r="E2938" s="33"/>
      <c r="F2938" s="88"/>
    </row>
    <row r="2939" spans="2:6" s="6" customFormat="1" ht="13.5">
      <c r="B2939" s="29"/>
      <c r="C2939" s="29"/>
      <c r="D2939" s="30"/>
      <c r="E2939" s="33"/>
      <c r="F2939" s="88"/>
    </row>
    <row r="2940" spans="2:6" s="6" customFormat="1" ht="13.5">
      <c r="B2940" s="29"/>
      <c r="C2940" s="29"/>
      <c r="D2940" s="30"/>
      <c r="E2940" s="33"/>
      <c r="F2940" s="88"/>
    </row>
    <row r="2941" spans="2:6" s="6" customFormat="1" ht="13.5">
      <c r="B2941" s="29"/>
      <c r="C2941" s="29"/>
      <c r="D2941" s="30"/>
      <c r="E2941" s="33"/>
      <c r="F2941" s="88"/>
    </row>
    <row r="2942" spans="2:6" s="6" customFormat="1" ht="13.5">
      <c r="B2942" s="29"/>
      <c r="C2942" s="29"/>
      <c r="D2942" s="30"/>
      <c r="E2942" s="33"/>
      <c r="F2942" s="88"/>
    </row>
    <row r="2943" spans="2:6" s="6" customFormat="1" ht="13.5">
      <c r="B2943" s="29"/>
      <c r="C2943" s="29"/>
      <c r="D2943" s="30"/>
      <c r="E2943" s="33"/>
      <c r="F2943" s="88"/>
    </row>
    <row r="2944" spans="2:6" s="6" customFormat="1" ht="13.5">
      <c r="B2944" s="29"/>
      <c r="C2944" s="29"/>
      <c r="D2944" s="30"/>
      <c r="E2944" s="33"/>
      <c r="F2944" s="88"/>
    </row>
    <row r="2945" spans="2:6" s="6" customFormat="1" ht="13.5">
      <c r="B2945" s="29"/>
      <c r="C2945" s="29"/>
      <c r="D2945" s="30"/>
      <c r="E2945" s="33"/>
      <c r="F2945" s="88"/>
    </row>
    <row r="2946" spans="2:6" s="6" customFormat="1" ht="13.5">
      <c r="B2946" s="29"/>
      <c r="C2946" s="29"/>
      <c r="D2946" s="30"/>
      <c r="E2946" s="33"/>
      <c r="F2946" s="88"/>
    </row>
    <row r="2947" spans="2:6" s="6" customFormat="1" ht="13.5">
      <c r="B2947" s="29"/>
      <c r="C2947" s="29"/>
      <c r="D2947" s="30"/>
      <c r="E2947" s="33"/>
      <c r="F2947" s="88"/>
    </row>
    <row r="2948" spans="2:6" s="6" customFormat="1" ht="13.5">
      <c r="B2948" s="29"/>
      <c r="C2948" s="29"/>
      <c r="D2948" s="30"/>
      <c r="E2948" s="33"/>
      <c r="F2948" s="88"/>
    </row>
    <row r="2949" spans="2:6" s="6" customFormat="1" ht="13.5">
      <c r="B2949" s="29"/>
      <c r="C2949" s="29"/>
      <c r="D2949" s="30"/>
      <c r="E2949" s="33"/>
      <c r="F2949" s="88"/>
    </row>
    <row r="2950" spans="2:6" s="6" customFormat="1" ht="13.5">
      <c r="B2950" s="29"/>
      <c r="C2950" s="29"/>
      <c r="D2950" s="30"/>
      <c r="E2950" s="33"/>
      <c r="F2950" s="88"/>
    </row>
    <row r="2951" spans="2:6" s="6" customFormat="1" ht="13.5">
      <c r="B2951" s="29"/>
      <c r="C2951" s="29"/>
      <c r="D2951" s="30"/>
      <c r="E2951" s="33"/>
      <c r="F2951" s="88"/>
    </row>
    <row r="2952" spans="2:6" s="6" customFormat="1" ht="13.5">
      <c r="B2952" s="29"/>
      <c r="C2952" s="29"/>
      <c r="D2952" s="30"/>
      <c r="E2952" s="33"/>
      <c r="F2952" s="88"/>
    </row>
    <row r="2953" spans="2:6" s="6" customFormat="1" ht="13.5">
      <c r="B2953" s="29"/>
      <c r="C2953" s="29"/>
      <c r="D2953" s="30"/>
      <c r="E2953" s="33"/>
      <c r="F2953" s="88"/>
    </row>
    <row r="2954" spans="2:6" s="6" customFormat="1" ht="13.5">
      <c r="B2954" s="29"/>
      <c r="C2954" s="29"/>
      <c r="D2954" s="30"/>
      <c r="E2954" s="33"/>
      <c r="F2954" s="88"/>
    </row>
    <row r="2955" spans="2:6" s="6" customFormat="1" ht="13.5">
      <c r="B2955" s="29"/>
      <c r="C2955" s="29"/>
      <c r="D2955" s="30"/>
      <c r="E2955" s="33"/>
      <c r="F2955" s="88"/>
    </row>
    <row r="2956" spans="2:6" s="6" customFormat="1" ht="13.5">
      <c r="B2956" s="29"/>
      <c r="C2956" s="29"/>
      <c r="D2956" s="30"/>
      <c r="E2956" s="33"/>
      <c r="F2956" s="88"/>
    </row>
    <row r="2957" spans="2:6" s="6" customFormat="1" ht="13.5">
      <c r="B2957" s="29"/>
      <c r="C2957" s="29"/>
      <c r="D2957" s="30"/>
      <c r="E2957" s="33"/>
      <c r="F2957" s="88"/>
    </row>
    <row r="2958" spans="2:6" s="6" customFormat="1" ht="13.5">
      <c r="B2958" s="29"/>
      <c r="C2958" s="29"/>
      <c r="D2958" s="30"/>
      <c r="E2958" s="33"/>
      <c r="F2958" s="88"/>
    </row>
    <row r="2959" spans="2:6" s="6" customFormat="1" ht="13.5">
      <c r="B2959" s="29"/>
      <c r="C2959" s="29"/>
      <c r="D2959" s="30"/>
      <c r="E2959" s="33"/>
      <c r="F2959" s="88"/>
    </row>
    <row r="2960" spans="2:6" s="6" customFormat="1" ht="13.5">
      <c r="B2960" s="29"/>
      <c r="C2960" s="29"/>
      <c r="D2960" s="30"/>
      <c r="E2960" s="33"/>
      <c r="F2960" s="88"/>
    </row>
    <row r="2961" spans="2:6" s="6" customFormat="1" ht="13.5">
      <c r="B2961" s="29"/>
      <c r="C2961" s="29"/>
      <c r="D2961" s="30"/>
      <c r="E2961" s="33"/>
      <c r="F2961" s="88"/>
    </row>
    <row r="2962" spans="2:6" s="6" customFormat="1" ht="13.5">
      <c r="B2962" s="29"/>
      <c r="C2962" s="29"/>
      <c r="D2962" s="30"/>
      <c r="E2962" s="33"/>
      <c r="F2962" s="88"/>
    </row>
    <row r="2963" spans="2:6" s="6" customFormat="1" ht="13.5">
      <c r="B2963" s="29"/>
      <c r="C2963" s="29"/>
      <c r="D2963" s="30"/>
      <c r="E2963" s="33"/>
      <c r="F2963" s="88"/>
    </row>
    <row r="2964" spans="2:6" s="6" customFormat="1" ht="13.5">
      <c r="B2964" s="29"/>
      <c r="C2964" s="29"/>
      <c r="D2964" s="30"/>
      <c r="E2964" s="33"/>
      <c r="F2964" s="88"/>
    </row>
    <row r="2965" spans="2:6" s="6" customFormat="1" ht="13.5">
      <c r="B2965" s="29"/>
      <c r="C2965" s="29"/>
      <c r="D2965" s="30"/>
      <c r="E2965" s="33"/>
      <c r="F2965" s="88"/>
    </row>
    <row r="2966" spans="2:6" s="6" customFormat="1" ht="13.5">
      <c r="B2966" s="29"/>
      <c r="C2966" s="29"/>
      <c r="D2966" s="30"/>
      <c r="E2966" s="33"/>
      <c r="F2966" s="88"/>
    </row>
    <row r="2967" spans="2:6" s="6" customFormat="1" ht="13.5">
      <c r="B2967" s="29"/>
      <c r="C2967" s="29"/>
      <c r="D2967" s="30"/>
      <c r="E2967" s="33"/>
      <c r="F2967" s="88"/>
    </row>
    <row r="2968" spans="2:6" s="6" customFormat="1" ht="13.5">
      <c r="B2968" s="29"/>
      <c r="C2968" s="29"/>
      <c r="D2968" s="30"/>
      <c r="E2968" s="33"/>
      <c r="F2968" s="88"/>
    </row>
    <row r="2969" spans="2:6" s="6" customFormat="1" ht="13.5">
      <c r="B2969" s="29"/>
      <c r="C2969" s="29"/>
      <c r="D2969" s="30"/>
      <c r="E2969" s="33"/>
      <c r="F2969" s="88"/>
    </row>
    <row r="2970" spans="2:6" s="6" customFormat="1" ht="13.5">
      <c r="B2970" s="29"/>
      <c r="C2970" s="29"/>
      <c r="D2970" s="30"/>
      <c r="E2970" s="33"/>
      <c r="F2970" s="88"/>
    </row>
    <row r="2971" spans="2:6" s="6" customFormat="1" ht="13.5">
      <c r="B2971" s="29"/>
      <c r="C2971" s="29"/>
      <c r="D2971" s="30"/>
      <c r="E2971" s="33"/>
      <c r="F2971" s="88"/>
    </row>
    <row r="2972" spans="2:6" s="6" customFormat="1" ht="13.5">
      <c r="B2972" s="29"/>
      <c r="C2972" s="29"/>
      <c r="D2972" s="30"/>
      <c r="E2972" s="33"/>
      <c r="F2972" s="88"/>
    </row>
    <row r="2973" spans="2:6" s="6" customFormat="1" ht="13.5">
      <c r="B2973" s="29"/>
      <c r="C2973" s="29"/>
      <c r="D2973" s="30"/>
      <c r="E2973" s="33"/>
      <c r="F2973" s="88"/>
    </row>
    <row r="2974" spans="2:6" s="6" customFormat="1" ht="13.5">
      <c r="B2974" s="29"/>
      <c r="C2974" s="29"/>
      <c r="D2974" s="30"/>
      <c r="E2974" s="33"/>
      <c r="F2974" s="88"/>
    </row>
    <row r="2975" spans="2:6" s="6" customFormat="1" ht="13.5">
      <c r="B2975" s="29"/>
      <c r="C2975" s="29"/>
      <c r="D2975" s="30"/>
      <c r="E2975" s="33"/>
      <c r="F2975" s="88"/>
    </row>
    <row r="2976" spans="2:6" s="6" customFormat="1" ht="13.5">
      <c r="B2976" s="29"/>
      <c r="C2976" s="29"/>
      <c r="D2976" s="30"/>
      <c r="E2976" s="33"/>
      <c r="F2976" s="88"/>
    </row>
    <row r="2977" spans="2:6" s="6" customFormat="1" ht="13.5">
      <c r="B2977" s="29"/>
      <c r="C2977" s="29"/>
      <c r="D2977" s="30"/>
      <c r="E2977" s="33"/>
      <c r="F2977" s="88"/>
    </row>
    <row r="2978" spans="2:6" s="6" customFormat="1" ht="13.5">
      <c r="B2978" s="29"/>
      <c r="C2978" s="29"/>
      <c r="D2978" s="30"/>
      <c r="E2978" s="33"/>
      <c r="F2978" s="88"/>
    </row>
    <row r="2979" spans="2:6" s="6" customFormat="1" ht="13.5">
      <c r="B2979" s="29"/>
      <c r="C2979" s="29"/>
      <c r="D2979" s="30"/>
      <c r="E2979" s="33"/>
      <c r="F2979" s="88"/>
    </row>
    <row r="2980" spans="2:6" s="6" customFormat="1" ht="13.5">
      <c r="B2980" s="29"/>
      <c r="C2980" s="29"/>
      <c r="D2980" s="30"/>
      <c r="E2980" s="33"/>
      <c r="F2980" s="88"/>
    </row>
    <row r="2981" spans="2:6" s="6" customFormat="1" ht="13.5">
      <c r="B2981" s="29"/>
      <c r="C2981" s="29"/>
      <c r="D2981" s="30"/>
      <c r="E2981" s="33"/>
      <c r="F2981" s="88"/>
    </row>
    <row r="2982" spans="2:6" s="6" customFormat="1" ht="13.5">
      <c r="B2982" s="29"/>
      <c r="C2982" s="29"/>
      <c r="D2982" s="30"/>
      <c r="E2982" s="33"/>
      <c r="F2982" s="88"/>
    </row>
    <row r="2983" spans="2:6" s="6" customFormat="1" ht="13.5">
      <c r="B2983" s="29"/>
      <c r="C2983" s="29"/>
      <c r="D2983" s="30"/>
      <c r="E2983" s="33"/>
      <c r="F2983" s="88"/>
    </row>
    <row r="2984" spans="2:6" s="6" customFormat="1" ht="13.5">
      <c r="B2984" s="29"/>
      <c r="C2984" s="29"/>
      <c r="D2984" s="30"/>
      <c r="E2984" s="33"/>
      <c r="F2984" s="88"/>
    </row>
    <row r="2985" spans="2:6" s="6" customFormat="1" ht="13.5">
      <c r="B2985" s="29"/>
      <c r="C2985" s="29"/>
      <c r="D2985" s="30"/>
      <c r="E2985" s="33"/>
      <c r="F2985" s="88"/>
    </row>
    <row r="2986" spans="2:6" s="6" customFormat="1" ht="13.5">
      <c r="B2986" s="29"/>
      <c r="C2986" s="29"/>
      <c r="D2986" s="30"/>
      <c r="E2986" s="33"/>
      <c r="F2986" s="88"/>
    </row>
    <row r="2987" spans="2:6" s="6" customFormat="1" ht="13.5">
      <c r="B2987" s="29"/>
      <c r="C2987" s="29"/>
      <c r="D2987" s="30"/>
      <c r="E2987" s="33"/>
      <c r="F2987" s="88"/>
    </row>
    <row r="2988" spans="2:6" s="6" customFormat="1" ht="13.5">
      <c r="B2988" s="29"/>
      <c r="C2988" s="29"/>
      <c r="D2988" s="30"/>
      <c r="E2988" s="33"/>
      <c r="F2988" s="88"/>
    </row>
    <row r="2989" spans="2:6" s="6" customFormat="1" ht="13.5">
      <c r="B2989" s="29"/>
      <c r="C2989" s="29"/>
      <c r="D2989" s="30"/>
      <c r="E2989" s="33"/>
      <c r="F2989" s="88"/>
    </row>
    <row r="2990" spans="2:6" s="6" customFormat="1" ht="13.5">
      <c r="B2990" s="29"/>
      <c r="C2990" s="29"/>
      <c r="D2990" s="30"/>
      <c r="E2990" s="33"/>
      <c r="F2990" s="88"/>
    </row>
    <row r="2991" spans="2:6" s="6" customFormat="1" ht="13.5">
      <c r="B2991" s="29"/>
      <c r="C2991" s="29"/>
      <c r="D2991" s="30"/>
      <c r="E2991" s="33"/>
      <c r="F2991" s="88"/>
    </row>
    <row r="2992" spans="2:6" s="6" customFormat="1" ht="13.5">
      <c r="B2992" s="29"/>
      <c r="C2992" s="29"/>
      <c r="D2992" s="30"/>
      <c r="E2992" s="33"/>
      <c r="F2992" s="88"/>
    </row>
    <row r="2993" spans="2:6" s="6" customFormat="1" ht="13.5">
      <c r="B2993" s="29"/>
      <c r="C2993" s="29"/>
      <c r="D2993" s="30"/>
      <c r="E2993" s="33"/>
      <c r="F2993" s="88"/>
    </row>
    <row r="2994" spans="2:6" s="6" customFormat="1" ht="13.5">
      <c r="B2994" s="29"/>
      <c r="C2994" s="29"/>
      <c r="D2994" s="30"/>
      <c r="E2994" s="33"/>
      <c r="F2994" s="88"/>
    </row>
    <row r="2995" spans="2:6" s="6" customFormat="1" ht="13.5">
      <c r="B2995" s="29"/>
      <c r="C2995" s="29"/>
      <c r="D2995" s="30"/>
      <c r="E2995" s="33"/>
      <c r="F2995" s="88"/>
    </row>
    <row r="2996" spans="2:6" s="6" customFormat="1" ht="13.5">
      <c r="B2996" s="29"/>
      <c r="C2996" s="29"/>
      <c r="D2996" s="30"/>
      <c r="E2996" s="33"/>
      <c r="F2996" s="88"/>
    </row>
    <row r="2997" spans="2:6" s="6" customFormat="1" ht="13.5">
      <c r="B2997" s="29"/>
      <c r="C2997" s="29"/>
      <c r="D2997" s="30"/>
      <c r="E2997" s="33"/>
      <c r="F2997" s="88"/>
    </row>
    <row r="2998" spans="2:6" s="6" customFormat="1" ht="13.5">
      <c r="B2998" s="29"/>
      <c r="C2998" s="29"/>
      <c r="D2998" s="30"/>
      <c r="E2998" s="33"/>
      <c r="F2998" s="88"/>
    </row>
    <row r="2999" spans="2:6" s="6" customFormat="1" ht="13.5">
      <c r="B2999" s="29"/>
      <c r="C2999" s="29"/>
      <c r="D2999" s="30"/>
      <c r="E2999" s="33"/>
      <c r="F2999" s="88"/>
    </row>
    <row r="3000" spans="2:6" s="6" customFormat="1" ht="13.5">
      <c r="B3000" s="29"/>
      <c r="C3000" s="29"/>
      <c r="D3000" s="30"/>
      <c r="E3000" s="33"/>
      <c r="F3000" s="88"/>
    </row>
    <row r="3001" spans="2:6" s="6" customFormat="1" ht="13.5">
      <c r="B3001" s="29"/>
      <c r="C3001" s="29"/>
      <c r="D3001" s="30"/>
      <c r="E3001" s="33"/>
      <c r="F3001" s="88"/>
    </row>
    <row r="3002" spans="2:6" s="6" customFormat="1" ht="13.5">
      <c r="B3002" s="29"/>
      <c r="C3002" s="29"/>
      <c r="D3002" s="30"/>
      <c r="E3002" s="33"/>
      <c r="F3002" s="88"/>
    </row>
    <row r="3003" spans="2:6" s="6" customFormat="1" ht="13.5">
      <c r="B3003" s="29"/>
      <c r="C3003" s="29"/>
      <c r="D3003" s="30"/>
      <c r="E3003" s="33"/>
      <c r="F3003" s="88"/>
    </row>
    <row r="3004" spans="2:6" s="6" customFormat="1" ht="13.5">
      <c r="B3004" s="29"/>
      <c r="C3004" s="29"/>
      <c r="D3004" s="30"/>
      <c r="E3004" s="33"/>
      <c r="F3004" s="88"/>
    </row>
    <row r="3005" spans="2:6" s="6" customFormat="1" ht="13.5">
      <c r="B3005" s="29"/>
      <c r="C3005" s="29"/>
      <c r="D3005" s="30"/>
      <c r="E3005" s="33"/>
      <c r="F3005" s="88"/>
    </row>
    <row r="3006" spans="2:6" s="6" customFormat="1" ht="13.5">
      <c r="B3006" s="29"/>
      <c r="C3006" s="29"/>
      <c r="D3006" s="30"/>
      <c r="E3006" s="33"/>
      <c r="F3006" s="88"/>
    </row>
    <row r="3007" spans="2:6" s="6" customFormat="1" ht="13.5">
      <c r="B3007" s="29"/>
      <c r="C3007" s="29"/>
      <c r="D3007" s="30"/>
      <c r="E3007" s="33"/>
      <c r="F3007" s="88"/>
    </row>
    <row r="3008" spans="2:6" s="6" customFormat="1" ht="13.5">
      <c r="B3008" s="29"/>
      <c r="C3008" s="29"/>
      <c r="D3008" s="30"/>
      <c r="E3008" s="33"/>
      <c r="F3008" s="88"/>
    </row>
    <row r="3009" spans="2:6" s="6" customFormat="1" ht="13.5">
      <c r="B3009" s="29"/>
      <c r="C3009" s="29"/>
      <c r="D3009" s="30"/>
      <c r="E3009" s="33"/>
      <c r="F3009" s="88"/>
    </row>
    <row r="3010" spans="2:6" s="6" customFormat="1" ht="13.5">
      <c r="B3010" s="29"/>
      <c r="C3010" s="29"/>
      <c r="D3010" s="30"/>
      <c r="E3010" s="33"/>
      <c r="F3010" s="88"/>
    </row>
    <row r="3011" spans="2:6" s="6" customFormat="1" ht="13.5">
      <c r="B3011" s="29"/>
      <c r="C3011" s="29"/>
      <c r="D3011" s="30"/>
      <c r="E3011" s="33"/>
      <c r="F3011" s="88"/>
    </row>
    <row r="3012" spans="2:6" s="6" customFormat="1" ht="13.5">
      <c r="B3012" s="29"/>
      <c r="C3012" s="29"/>
      <c r="D3012" s="30"/>
      <c r="E3012" s="33"/>
      <c r="F3012" s="88"/>
    </row>
    <row r="3013" spans="2:6" s="6" customFormat="1" ht="13.5">
      <c r="B3013" s="29"/>
      <c r="C3013" s="29"/>
      <c r="D3013" s="30"/>
      <c r="E3013" s="33"/>
      <c r="F3013" s="88"/>
    </row>
    <row r="3014" spans="2:6" s="6" customFormat="1" ht="13.5">
      <c r="B3014" s="29"/>
      <c r="C3014" s="29"/>
      <c r="D3014" s="30"/>
      <c r="E3014" s="33"/>
      <c r="F3014" s="88"/>
    </row>
    <row r="3015" spans="2:6" s="6" customFormat="1" ht="13.5">
      <c r="B3015" s="29"/>
      <c r="C3015" s="29"/>
      <c r="D3015" s="30"/>
      <c r="E3015" s="33"/>
      <c r="F3015" s="88"/>
    </row>
    <row r="3016" spans="2:6" s="6" customFormat="1" ht="13.5">
      <c r="B3016" s="29"/>
      <c r="C3016" s="29"/>
      <c r="D3016" s="30"/>
      <c r="E3016" s="33"/>
      <c r="F3016" s="88"/>
    </row>
    <row r="3017" spans="2:6" s="6" customFormat="1" ht="13.5">
      <c r="B3017" s="29"/>
      <c r="C3017" s="29"/>
      <c r="D3017" s="30"/>
      <c r="E3017" s="33"/>
      <c r="F3017" s="88"/>
    </row>
    <row r="3018" spans="2:6" s="6" customFormat="1" ht="13.5">
      <c r="B3018" s="29"/>
      <c r="C3018" s="29"/>
      <c r="D3018" s="30"/>
      <c r="E3018" s="33"/>
      <c r="F3018" s="88"/>
    </row>
    <row r="3019" spans="2:6" s="6" customFormat="1" ht="13.5">
      <c r="B3019" s="29"/>
      <c r="C3019" s="29"/>
      <c r="D3019" s="30"/>
      <c r="E3019" s="33"/>
      <c r="F3019" s="88"/>
    </row>
    <row r="3020" spans="2:6" s="6" customFormat="1" ht="13.5">
      <c r="B3020" s="29"/>
      <c r="C3020" s="29"/>
      <c r="D3020" s="30"/>
      <c r="E3020" s="33"/>
      <c r="F3020" s="88"/>
    </row>
    <row r="3021" spans="2:6" s="6" customFormat="1" ht="13.5">
      <c r="B3021" s="29"/>
      <c r="C3021" s="29"/>
      <c r="D3021" s="30"/>
      <c r="E3021" s="33"/>
      <c r="F3021" s="88"/>
    </row>
    <row r="3022" spans="2:6" s="6" customFormat="1" ht="13.5">
      <c r="B3022" s="29"/>
      <c r="C3022" s="29"/>
      <c r="D3022" s="30"/>
      <c r="E3022" s="33"/>
      <c r="F3022" s="88"/>
    </row>
    <row r="3023" spans="2:6" s="6" customFormat="1" ht="13.5">
      <c r="B3023" s="29"/>
      <c r="C3023" s="29"/>
      <c r="D3023" s="30"/>
      <c r="E3023" s="33"/>
      <c r="F3023" s="88"/>
    </row>
    <row r="3024" spans="2:6" s="6" customFormat="1" ht="13.5">
      <c r="B3024" s="29"/>
      <c r="C3024" s="29"/>
      <c r="D3024" s="30"/>
      <c r="E3024" s="33"/>
      <c r="F3024" s="88"/>
    </row>
    <row r="3025" spans="2:6" s="6" customFormat="1" ht="13.5">
      <c r="B3025" s="29"/>
      <c r="C3025" s="29"/>
      <c r="D3025" s="30"/>
      <c r="E3025" s="33"/>
      <c r="F3025" s="88"/>
    </row>
    <row r="3026" spans="2:6" s="6" customFormat="1" ht="13.5">
      <c r="B3026" s="29"/>
      <c r="C3026" s="29"/>
      <c r="D3026" s="30"/>
      <c r="E3026" s="33"/>
      <c r="F3026" s="88"/>
    </row>
    <row r="3027" spans="2:6" s="6" customFormat="1" ht="13.5">
      <c r="B3027" s="29"/>
      <c r="C3027" s="29"/>
      <c r="D3027" s="30"/>
      <c r="E3027" s="33"/>
      <c r="F3027" s="88"/>
    </row>
    <row r="3028" spans="2:6" s="6" customFormat="1" ht="13.5">
      <c r="B3028" s="29"/>
      <c r="C3028" s="29"/>
      <c r="D3028" s="30"/>
      <c r="E3028" s="33"/>
      <c r="F3028" s="88"/>
    </row>
    <row r="3029" spans="2:6" s="6" customFormat="1" ht="13.5">
      <c r="B3029" s="29"/>
      <c r="C3029" s="29"/>
      <c r="D3029" s="30"/>
      <c r="E3029" s="33"/>
      <c r="F3029" s="88"/>
    </row>
    <row r="3030" spans="1:5" ht="13.5">
      <c r="A3030" s="6"/>
      <c r="B3030" s="29"/>
      <c r="C3030" s="29"/>
      <c r="D3030" s="30"/>
      <c r="E3030" s="33"/>
    </row>
    <row r="3031" spans="1:5" ht="13.5">
      <c r="A3031" s="6"/>
      <c r="B3031" s="29"/>
      <c r="C3031" s="29"/>
      <c r="D3031" s="30"/>
      <c r="E3031" s="33"/>
    </row>
    <row r="3032" spans="1:5" ht="13.5">
      <c r="A3032" s="6"/>
      <c r="B3032" s="29"/>
      <c r="C3032" s="29"/>
      <c r="D3032" s="30"/>
      <c r="E3032" s="33"/>
    </row>
    <row r="3033" spans="1:5" ht="13.5">
      <c r="A3033" s="6"/>
      <c r="B3033" s="29"/>
      <c r="C3033" s="29"/>
      <c r="D3033" s="30"/>
      <c r="E3033" s="33"/>
    </row>
    <row r="3034" spans="1:5" ht="13.5">
      <c r="A3034" s="6"/>
      <c r="B3034" s="29"/>
      <c r="C3034" s="29"/>
      <c r="D3034" s="30"/>
      <c r="E3034" s="33"/>
    </row>
    <row r="3035" spans="1:5" ht="13.5">
      <c r="A3035" s="6"/>
      <c r="B3035" s="29"/>
      <c r="C3035" s="29"/>
      <c r="D3035" s="30"/>
      <c r="E3035" s="33"/>
    </row>
    <row r="3036" spans="1:5" ht="13.5">
      <c r="A3036" s="6"/>
      <c r="B3036" s="29"/>
      <c r="C3036" s="29"/>
      <c r="D3036" s="30"/>
      <c r="E3036" s="33"/>
    </row>
    <row r="3037" spans="1:5" ht="13.5">
      <c r="A3037" s="6"/>
      <c r="B3037" s="29"/>
      <c r="C3037" s="29"/>
      <c r="D3037" s="30"/>
      <c r="E3037" s="33"/>
    </row>
    <row r="3038" spans="1:5" ht="13.5">
      <c r="A3038" s="6"/>
      <c r="B3038" s="29"/>
      <c r="C3038" s="29"/>
      <c r="D3038" s="30"/>
      <c r="E3038" s="33"/>
    </row>
    <row r="3039" spans="1:5" ht="13.5">
      <c r="A3039" s="6"/>
      <c r="B3039" s="29"/>
      <c r="C3039" s="29"/>
      <c r="D3039" s="30"/>
      <c r="E3039" s="33"/>
    </row>
    <row r="3040" spans="1:5" ht="13.5">
      <c r="A3040" s="6"/>
      <c r="B3040" s="29"/>
      <c r="C3040" s="29"/>
      <c r="D3040" s="30"/>
      <c r="E3040" s="33"/>
    </row>
    <row r="3041" spans="1:5" ht="13.5">
      <c r="A3041" s="6"/>
      <c r="B3041" s="29"/>
      <c r="C3041" s="29"/>
      <c r="D3041" s="30"/>
      <c r="E3041" s="33"/>
    </row>
    <row r="3042" spans="1:5" ht="13.5">
      <c r="A3042" s="6"/>
      <c r="B3042" s="29"/>
      <c r="C3042" s="29"/>
      <c r="D3042" s="30"/>
      <c r="E3042" s="33"/>
    </row>
    <row r="3043" spans="1:5" ht="13.5">
      <c r="A3043" s="6"/>
      <c r="B3043" s="29"/>
      <c r="C3043" s="29"/>
      <c r="D3043" s="30"/>
      <c r="E3043" s="33"/>
    </row>
    <row r="3044" spans="1:5" ht="13.5">
      <c r="A3044" s="6"/>
      <c r="B3044" s="29"/>
      <c r="C3044" s="29"/>
      <c r="D3044" s="30"/>
      <c r="E3044" s="33"/>
    </row>
    <row r="3045" spans="1:5" ht="13.5">
      <c r="A3045" s="6"/>
      <c r="B3045" s="29"/>
      <c r="C3045" s="29"/>
      <c r="D3045" s="30"/>
      <c r="E3045" s="33"/>
    </row>
    <row r="3046" spans="1:5" ht="13.5">
      <c r="A3046" s="6"/>
      <c r="B3046" s="29"/>
      <c r="C3046" s="29"/>
      <c r="D3046" s="30"/>
      <c r="E3046" s="33"/>
    </row>
    <row r="3047" spans="1:5" ht="13.5">
      <c r="A3047" s="6"/>
      <c r="B3047" s="29"/>
      <c r="C3047" s="29"/>
      <c r="D3047" s="30"/>
      <c r="E3047" s="33"/>
    </row>
    <row r="3048" spans="1:5" ht="13.5">
      <c r="A3048" s="6"/>
      <c r="B3048" s="29"/>
      <c r="C3048" s="29"/>
      <c r="D3048" s="30"/>
      <c r="E3048" s="33"/>
    </row>
    <row r="3049" spans="1:5" ht="13.5">
      <c r="A3049" s="6"/>
      <c r="B3049" s="29"/>
      <c r="C3049" s="29"/>
      <c r="D3049" s="30"/>
      <c r="E3049" s="33"/>
    </row>
    <row r="3050" spans="1:5" ht="13.5">
      <c r="A3050" s="6"/>
      <c r="B3050" s="29"/>
      <c r="C3050" s="29"/>
      <c r="D3050" s="30"/>
      <c r="E3050" s="33"/>
    </row>
    <row r="3051" spans="1:5" ht="13.5">
      <c r="A3051" s="6"/>
      <c r="B3051" s="29"/>
      <c r="C3051" s="29"/>
      <c r="D3051" s="30"/>
      <c r="E3051" s="33"/>
    </row>
    <row r="3052" spans="1:5" ht="13.5">
      <c r="A3052" s="6"/>
      <c r="B3052" s="29"/>
      <c r="C3052" s="29"/>
      <c r="D3052" s="30"/>
      <c r="E3052" s="33"/>
    </row>
    <row r="3053" spans="1:5" ht="13.5">
      <c r="A3053" s="6"/>
      <c r="B3053" s="29"/>
      <c r="C3053" s="29"/>
      <c r="D3053" s="30"/>
      <c r="E3053" s="33"/>
    </row>
    <row r="3054" spans="1:5" ht="13.5">
      <c r="A3054" s="6"/>
      <c r="B3054" s="29"/>
      <c r="C3054" s="29"/>
      <c r="D3054" s="30"/>
      <c r="E3054" s="33"/>
    </row>
    <row r="3055" spans="1:5" ht="13.5">
      <c r="A3055" s="6"/>
      <c r="B3055" s="29"/>
      <c r="C3055" s="29"/>
      <c r="D3055" s="30"/>
      <c r="E3055" s="33"/>
    </row>
    <row r="3056" spans="1:5" ht="13.5">
      <c r="A3056" s="6"/>
      <c r="B3056" s="29"/>
      <c r="C3056" s="29"/>
      <c r="D3056" s="30"/>
      <c r="E3056" s="33"/>
    </row>
    <row r="3057" spans="1:5" ht="13.5">
      <c r="A3057" s="6"/>
      <c r="B3057" s="29"/>
      <c r="C3057" s="29"/>
      <c r="D3057" s="30"/>
      <c r="E3057" s="33"/>
    </row>
    <row r="3058" spans="1:5" ht="13.5">
      <c r="A3058" s="6"/>
      <c r="B3058" s="29"/>
      <c r="C3058" s="29"/>
      <c r="D3058" s="30"/>
      <c r="E3058" s="33"/>
    </row>
    <row r="3059" spans="1:5" ht="13.5">
      <c r="A3059" s="6"/>
      <c r="B3059" s="29"/>
      <c r="C3059" s="29"/>
      <c r="D3059" s="30"/>
      <c r="E3059" s="33"/>
    </row>
    <row r="3060" spans="1:5" ht="13.5">
      <c r="A3060" s="6"/>
      <c r="B3060" s="29"/>
      <c r="C3060" s="29"/>
      <c r="D3060" s="30"/>
      <c r="E3060" s="33"/>
    </row>
    <row r="3061" spans="1:5" ht="13.5">
      <c r="A3061" s="6"/>
      <c r="B3061" s="29"/>
      <c r="C3061" s="29"/>
      <c r="D3061" s="30"/>
      <c r="E3061" s="33"/>
    </row>
    <row r="3062" spans="1:5" ht="13.5">
      <c r="A3062" s="6"/>
      <c r="B3062" s="29"/>
      <c r="C3062" s="29"/>
      <c r="D3062" s="30"/>
      <c r="E3062" s="33"/>
    </row>
    <row r="3063" spans="1:5" ht="13.5">
      <c r="A3063" s="6"/>
      <c r="B3063" s="29"/>
      <c r="C3063" s="29"/>
      <c r="D3063" s="30"/>
      <c r="E3063" s="33"/>
    </row>
    <row r="3064" spans="1:5" ht="13.5">
      <c r="A3064" s="6"/>
      <c r="B3064" s="29"/>
      <c r="C3064" s="29"/>
      <c r="D3064" s="30"/>
      <c r="E3064" s="33"/>
    </row>
  </sheetData>
  <sheetProtection sheet="1" objects="1" scenarios="1"/>
  <mergeCells count="64">
    <mergeCell ref="A718:B718"/>
    <mergeCell ref="A733:B733"/>
    <mergeCell ref="A744:E747"/>
    <mergeCell ref="A754:B754"/>
    <mergeCell ref="A768:B768"/>
    <mergeCell ref="A782:B782"/>
    <mergeCell ref="A664:B664"/>
    <mergeCell ref="A683:B683"/>
    <mergeCell ref="A687:B687"/>
    <mergeCell ref="A695:C696"/>
    <mergeCell ref="A697:E699"/>
    <mergeCell ref="A706:B706"/>
    <mergeCell ref="A595:B595"/>
    <mergeCell ref="A610:B610"/>
    <mergeCell ref="A625:B625"/>
    <mergeCell ref="A632:C633"/>
    <mergeCell ref="A634:E643"/>
    <mergeCell ref="A650:B650"/>
    <mergeCell ref="A128:B128"/>
    <mergeCell ref="A16:B16"/>
    <mergeCell ref="A138:E140"/>
    <mergeCell ref="A147:B147"/>
    <mergeCell ref="A160:B160"/>
    <mergeCell ref="A179:B179"/>
    <mergeCell ref="A100:B100"/>
    <mergeCell ref="A112:B112"/>
    <mergeCell ref="A6:E9"/>
    <mergeCell ref="A39:B39"/>
    <mergeCell ref="A61:B61"/>
    <mergeCell ref="A78:B78"/>
    <mergeCell ref="A90:B91"/>
    <mergeCell ref="A92:D93"/>
    <mergeCell ref="A799:B799"/>
    <mergeCell ref="A189:D190"/>
    <mergeCell ref="A197:B197"/>
    <mergeCell ref="A209:B209"/>
    <mergeCell ref="A225:B225"/>
    <mergeCell ref="A233:C234"/>
    <mergeCell ref="A235:E236"/>
    <mergeCell ref="A243:B243"/>
    <mergeCell ref="A249:B249"/>
    <mergeCell ref="A265:E271"/>
    <mergeCell ref="A278:B278"/>
    <mergeCell ref="A301:B301"/>
    <mergeCell ref="A325:B325"/>
    <mergeCell ref="A345:B345"/>
    <mergeCell ref="A352:B352"/>
    <mergeCell ref="A363:E371"/>
    <mergeCell ref="A378:B378"/>
    <mergeCell ref="A401:B401"/>
    <mergeCell ref="A420:B420"/>
    <mergeCell ref="A443:B443"/>
    <mergeCell ref="A450:C451"/>
    <mergeCell ref="A452:E461"/>
    <mergeCell ref="A564:B564"/>
    <mergeCell ref="A576:B576"/>
    <mergeCell ref="A583:C584"/>
    <mergeCell ref="A585:E588"/>
    <mergeCell ref="A468:B468"/>
    <mergeCell ref="A500:B500"/>
    <mergeCell ref="A519:B519"/>
    <mergeCell ref="A533:C534"/>
    <mergeCell ref="A535:E539"/>
    <mergeCell ref="A546:B546"/>
  </mergeCells>
  <printOp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dimension ref="A1:IV200"/>
  <sheetViews>
    <sheetView zoomScalePageLayoutView="0" workbookViewId="0" topLeftCell="A172">
      <selection activeCell="D255" sqref="D255"/>
    </sheetView>
  </sheetViews>
  <sheetFormatPr defaultColWidth="11.421875" defaultRowHeight="12.75"/>
  <cols>
    <col min="1" max="1" width="9.7109375" style="51" customWidth="1"/>
    <col min="2" max="2" width="46.7109375" style="51" customWidth="1"/>
    <col min="3" max="3" width="12.7109375" style="61" customWidth="1"/>
    <col min="4" max="4" width="10.7109375" style="61" customWidth="1"/>
    <col min="5" max="5" width="10.7109375" style="970" customWidth="1"/>
    <col min="6" max="6" width="35.28125" style="51" customWidth="1"/>
    <col min="7" max="7" width="8.7109375" style="51" customWidth="1"/>
    <col min="8" max="16384" width="11.421875" style="51" customWidth="1"/>
  </cols>
  <sheetData>
    <row r="1" spans="1:5" ht="13.5">
      <c r="A1" s="560" t="s">
        <v>1102</v>
      </c>
      <c r="B1" s="957"/>
      <c r="C1" s="958"/>
      <c r="D1" s="958"/>
      <c r="E1" s="959"/>
    </row>
    <row r="2" spans="1:5" ht="13.5">
      <c r="A2" s="433"/>
      <c r="B2" s="960"/>
      <c r="C2" s="958"/>
      <c r="D2" s="958"/>
      <c r="E2" s="959"/>
    </row>
    <row r="3" spans="2:5" ht="14.25" thickBot="1">
      <c r="B3" s="960"/>
      <c r="C3" s="958"/>
      <c r="D3" s="958"/>
      <c r="E3" s="959"/>
    </row>
    <row r="4" spans="1:5" ht="12.75">
      <c r="A4" s="650" t="s">
        <v>1103</v>
      </c>
      <c r="B4" s="961"/>
      <c r="C4" s="962"/>
      <c r="D4" s="963" t="s">
        <v>6</v>
      </c>
      <c r="E4" s="754" t="s">
        <v>1104</v>
      </c>
    </row>
    <row r="5" spans="1:5" ht="13.5" thickBot="1">
      <c r="A5" s="964"/>
      <c r="B5" s="965"/>
      <c r="C5" s="966"/>
      <c r="D5" s="688"/>
      <c r="E5" s="967"/>
    </row>
    <row r="6" spans="1:5" s="434" customFormat="1" ht="13.5">
      <c r="A6" s="57" t="s">
        <v>809</v>
      </c>
      <c r="B6" s="58"/>
      <c r="C6" s="59"/>
      <c r="D6" s="59"/>
      <c r="E6" s="968"/>
    </row>
    <row r="7" spans="1:5" s="434" customFormat="1" ht="13.5">
      <c r="A7" s="57" t="s">
        <v>1105</v>
      </c>
      <c r="B7" s="58"/>
      <c r="C7" s="59"/>
      <c r="D7" s="59"/>
      <c r="E7" s="968"/>
    </row>
    <row r="8" spans="1:5" s="220" customFormat="1" ht="13.5">
      <c r="A8" s="57" t="s">
        <v>1106</v>
      </c>
      <c r="B8" s="58"/>
      <c r="C8" s="59"/>
      <c r="D8" s="59"/>
      <c r="E8" s="968"/>
    </row>
    <row r="9" spans="1:5" s="434" customFormat="1" ht="14.25" thickBot="1">
      <c r="A9" s="57" t="s">
        <v>13</v>
      </c>
      <c r="B9" s="58"/>
      <c r="C9" s="59"/>
      <c r="D9" s="59"/>
      <c r="E9" s="968"/>
    </row>
    <row r="10" spans="1:7" s="434" customFormat="1" ht="14.25" thickBot="1">
      <c r="A10" s="678" t="s">
        <v>14</v>
      </c>
      <c r="B10" s="679"/>
      <c r="C10" s="685"/>
      <c r="D10" s="686"/>
      <c r="E10" s="969">
        <f>C12+D44+D114</f>
        <v>17480414</v>
      </c>
      <c r="F10" s="228"/>
      <c r="G10" s="228"/>
    </row>
    <row r="11" spans="1:5" s="220" customFormat="1" ht="14.25" thickBot="1">
      <c r="A11" s="62"/>
      <c r="B11" s="62"/>
      <c r="C11" s="63"/>
      <c r="D11" s="63"/>
      <c r="E11" s="489"/>
    </row>
    <row r="12" spans="1:5" s="220" customFormat="1" ht="14.25" thickBot="1">
      <c r="A12" s="1140" t="s">
        <v>1</v>
      </c>
      <c r="B12" s="1141"/>
      <c r="C12" s="882">
        <f>C13+C20+C27</f>
        <v>13438134</v>
      </c>
      <c r="D12" s="63"/>
      <c r="E12" s="489"/>
    </row>
    <row r="13" spans="1:6" s="42" customFormat="1" ht="12.75" customHeight="1">
      <c r="A13" s="11" t="s">
        <v>97</v>
      </c>
      <c r="B13" s="199" t="s">
        <v>98</v>
      </c>
      <c r="C13" s="31">
        <f>SUM(C14:C19)</f>
        <v>1835994</v>
      </c>
      <c r="D13" s="22"/>
      <c r="E13" s="24"/>
      <c r="F13" s="94"/>
    </row>
    <row r="14" spans="1:6" s="8" customFormat="1" ht="12.75" customHeight="1">
      <c r="A14" s="12" t="s">
        <v>23</v>
      </c>
      <c r="B14" s="24" t="s">
        <v>20</v>
      </c>
      <c r="C14" s="24">
        <f>219351+56193+1218617</f>
        <v>1494161</v>
      </c>
      <c r="D14" s="22"/>
      <c r="E14" s="25"/>
      <c r="F14" s="91"/>
    </row>
    <row r="15" spans="1:6" s="8" customFormat="1" ht="12.75" customHeight="1">
      <c r="A15" s="12" t="s">
        <v>24</v>
      </c>
      <c r="B15" s="24" t="s">
        <v>22</v>
      </c>
      <c r="C15" s="24">
        <f>194979+54838</f>
        <v>249817</v>
      </c>
      <c r="D15" s="22"/>
      <c r="E15" s="25"/>
      <c r="F15" s="91"/>
    </row>
    <row r="16" spans="1:6" s="9" customFormat="1" ht="12.75" customHeight="1">
      <c r="A16" s="12" t="s">
        <v>25</v>
      </c>
      <c r="B16" s="24" t="s">
        <v>76</v>
      </c>
      <c r="C16" s="24">
        <f>55000+37013</f>
        <v>92013</v>
      </c>
      <c r="D16" s="22"/>
      <c r="E16" s="25"/>
      <c r="F16" s="91"/>
    </row>
    <row r="17" spans="1:6" s="9" customFormat="1" ht="12.75" customHeight="1">
      <c r="A17" s="12" t="s">
        <v>26</v>
      </c>
      <c r="B17" s="24" t="s">
        <v>77</v>
      </c>
      <c r="C17" s="24">
        <v>1</v>
      </c>
      <c r="D17" s="22"/>
      <c r="E17" s="25"/>
      <c r="F17" s="91"/>
    </row>
    <row r="18" spans="1:6" s="9" customFormat="1" ht="12.75" customHeight="1">
      <c r="A18" s="12" t="s">
        <v>27</v>
      </c>
      <c r="B18" s="24" t="s">
        <v>21</v>
      </c>
      <c r="C18" s="24">
        <v>1</v>
      </c>
      <c r="D18" s="22"/>
      <c r="E18" s="25"/>
      <c r="F18" s="91"/>
    </row>
    <row r="19" spans="1:6" s="9" customFormat="1" ht="12.75" customHeight="1">
      <c r="A19" s="12" t="s">
        <v>28</v>
      </c>
      <c r="B19" s="24" t="s">
        <v>19</v>
      </c>
      <c r="C19" s="24">
        <v>1</v>
      </c>
      <c r="D19" s="22"/>
      <c r="E19" s="25"/>
      <c r="F19" s="91"/>
    </row>
    <row r="20" spans="1:6" s="9" customFormat="1" ht="12.75" customHeight="1">
      <c r="A20" s="11" t="s">
        <v>99</v>
      </c>
      <c r="B20" s="31" t="s">
        <v>100</v>
      </c>
      <c r="C20" s="31">
        <f>SUM(C21:C26)</f>
        <v>9119778</v>
      </c>
      <c r="D20" s="22"/>
      <c r="E20" s="25"/>
      <c r="F20" s="91"/>
    </row>
    <row r="21" spans="1:6" s="9" customFormat="1" ht="12.75" customHeight="1">
      <c r="A21" s="12" t="s">
        <v>30</v>
      </c>
      <c r="B21" s="24" t="s">
        <v>78</v>
      </c>
      <c r="C21" s="24">
        <f>935236+255058+5197752</f>
        <v>6388046</v>
      </c>
      <c r="D21" s="22"/>
      <c r="E21" s="25"/>
      <c r="F21" s="92"/>
    </row>
    <row r="22" spans="1:8" s="8" customFormat="1" ht="12.75" customHeight="1">
      <c r="A22" s="12" t="s">
        <v>31</v>
      </c>
      <c r="B22" s="24" t="s">
        <v>79</v>
      </c>
      <c r="C22" s="24">
        <f>831320.23+233808.77</f>
        <v>1065129</v>
      </c>
      <c r="D22" s="22"/>
      <c r="E22" s="25"/>
      <c r="F22" s="53"/>
      <c r="G22" s="42"/>
      <c r="H22" s="42"/>
    </row>
    <row r="23" spans="1:6" s="8" customFormat="1" ht="12.75" customHeight="1">
      <c r="A23" s="12" t="s">
        <v>32</v>
      </c>
      <c r="B23" s="24" t="s">
        <v>80</v>
      </c>
      <c r="C23" s="24">
        <v>1635801</v>
      </c>
      <c r="D23" s="22"/>
      <c r="E23" s="25"/>
      <c r="F23" s="91"/>
    </row>
    <row r="24" spans="1:6" s="9" customFormat="1" ht="12.75" customHeight="1">
      <c r="A24" s="12" t="s">
        <v>33</v>
      </c>
      <c r="B24" s="24" t="s">
        <v>81</v>
      </c>
      <c r="C24" s="24">
        <v>1</v>
      </c>
      <c r="D24" s="22"/>
      <c r="E24" s="25"/>
      <c r="F24" s="91"/>
    </row>
    <row r="25" spans="1:6" s="9" customFormat="1" ht="12.75" customHeight="1">
      <c r="A25" s="12" t="s">
        <v>34</v>
      </c>
      <c r="B25" s="24" t="s">
        <v>29</v>
      </c>
      <c r="C25" s="24">
        <f>29388+1412</f>
        <v>30800</v>
      </c>
      <c r="D25" s="22"/>
      <c r="E25" s="25"/>
      <c r="F25" s="91"/>
    </row>
    <row r="26" spans="1:6" s="9" customFormat="1" ht="12.75" customHeight="1">
      <c r="A26" s="12" t="s">
        <v>83</v>
      </c>
      <c r="B26" s="24" t="s">
        <v>82</v>
      </c>
      <c r="C26" s="24">
        <v>1</v>
      </c>
      <c r="D26" s="22"/>
      <c r="E26" s="25"/>
      <c r="F26" s="92"/>
    </row>
    <row r="27" spans="1:6" s="9" customFormat="1" ht="12.75" customHeight="1">
      <c r="A27" s="11" t="s">
        <v>101</v>
      </c>
      <c r="B27" s="31" t="s">
        <v>102</v>
      </c>
      <c r="C27" s="31">
        <f>SUM(C28:C33)</f>
        <v>2482362</v>
      </c>
      <c r="D27" s="22"/>
      <c r="E27" s="25"/>
      <c r="F27" s="92"/>
    </row>
    <row r="28" spans="1:6" s="8" customFormat="1" ht="12.75" customHeight="1">
      <c r="A28" s="12" t="s">
        <v>39</v>
      </c>
      <c r="B28" s="24" t="s">
        <v>35</v>
      </c>
      <c r="C28" s="24">
        <f>298104+79683+1656131</f>
        <v>2033918</v>
      </c>
      <c r="D28" s="22"/>
      <c r="E28" s="25"/>
      <c r="F28" s="91"/>
    </row>
    <row r="29" spans="1:6" s="8" customFormat="1" ht="12.75" customHeight="1">
      <c r="A29" s="12" t="s">
        <v>40</v>
      </c>
      <c r="B29" s="24" t="s">
        <v>37</v>
      </c>
      <c r="C29" s="24">
        <f>264981+74526</f>
        <v>339507</v>
      </c>
      <c r="D29" s="22"/>
      <c r="E29" s="25"/>
      <c r="F29" s="91"/>
    </row>
    <row r="30" spans="1:6" s="9" customFormat="1" ht="12.75" customHeight="1">
      <c r="A30" s="12" t="s">
        <v>41</v>
      </c>
      <c r="B30" s="24" t="s">
        <v>84</v>
      </c>
      <c r="C30" s="24">
        <v>53092</v>
      </c>
      <c r="D30" s="22"/>
      <c r="E30" s="25"/>
      <c r="F30" s="91"/>
    </row>
    <row r="31" spans="1:6" s="9" customFormat="1" ht="12.75" customHeight="1">
      <c r="A31" s="12" t="s">
        <v>42</v>
      </c>
      <c r="B31" s="24" t="s">
        <v>85</v>
      </c>
      <c r="C31" s="24">
        <v>1</v>
      </c>
      <c r="D31" s="22"/>
      <c r="E31" s="25"/>
      <c r="F31" s="91"/>
    </row>
    <row r="32" spans="1:6" s="9" customFormat="1" ht="12.75" customHeight="1">
      <c r="A32" s="12" t="s">
        <v>43</v>
      </c>
      <c r="B32" s="24" t="s">
        <v>36</v>
      </c>
      <c r="C32" s="24">
        <f>1411+54432</f>
        <v>55843</v>
      </c>
      <c r="D32" s="22"/>
      <c r="E32" s="25"/>
      <c r="F32" s="91"/>
    </row>
    <row r="33" spans="1:6" s="9" customFormat="1" ht="12.75" customHeight="1">
      <c r="A33" s="12" t="s">
        <v>44</v>
      </c>
      <c r="B33" s="24" t="s">
        <v>38</v>
      </c>
      <c r="C33" s="24">
        <v>1</v>
      </c>
      <c r="D33" s="22"/>
      <c r="E33" s="25"/>
      <c r="F33" s="91"/>
    </row>
    <row r="34" spans="1:6" s="9" customFormat="1" ht="12.75" customHeight="1" thickBot="1">
      <c r="A34" s="12"/>
      <c r="B34" s="24"/>
      <c r="C34" s="24"/>
      <c r="D34" s="22"/>
      <c r="E34" s="25"/>
      <c r="F34" s="91"/>
    </row>
    <row r="35" spans="1:4" ht="13.5">
      <c r="A35" s="650" t="s">
        <v>1107</v>
      </c>
      <c r="B35" s="638"/>
      <c r="C35" s="639" t="s">
        <v>6</v>
      </c>
      <c r="D35" s="754" t="s">
        <v>1108</v>
      </c>
    </row>
    <row r="36" spans="1:4" ht="13.5">
      <c r="A36" s="652"/>
      <c r="B36" s="971" t="s">
        <v>1109</v>
      </c>
      <c r="C36" s="643"/>
      <c r="D36" s="644"/>
    </row>
    <row r="37" spans="1:4" ht="14.25" thickBot="1">
      <c r="A37" s="651" t="s">
        <v>1110</v>
      </c>
      <c r="B37" s="645" t="s">
        <v>1111</v>
      </c>
      <c r="C37" s="640"/>
      <c r="D37" s="641"/>
    </row>
    <row r="38" spans="1:5" s="434" customFormat="1" ht="13.5">
      <c r="A38" s="1142" t="s">
        <v>1112</v>
      </c>
      <c r="B38" s="1143"/>
      <c r="C38" s="1143"/>
      <c r="D38" s="1144"/>
      <c r="E38" s="59"/>
    </row>
    <row r="39" spans="1:6" s="434" customFormat="1" ht="14.25" thickBot="1">
      <c r="A39" s="1145"/>
      <c r="B39" s="1146"/>
      <c r="C39" s="1146"/>
      <c r="D39" s="1147"/>
      <c r="E39" s="59"/>
      <c r="F39" s="972"/>
    </row>
    <row r="40" spans="1:4" ht="13.5">
      <c r="A40" s="57" t="s">
        <v>809</v>
      </c>
      <c r="B40" s="58"/>
      <c r="C40" s="59"/>
      <c r="D40" s="60"/>
    </row>
    <row r="41" spans="1:4" ht="13.5">
      <c r="A41" s="57" t="s">
        <v>1105</v>
      </c>
      <c r="B41" s="58"/>
      <c r="C41" s="59"/>
      <c r="D41" s="60"/>
    </row>
    <row r="42" spans="1:4" ht="13.5">
      <c r="A42" s="57" t="s">
        <v>1113</v>
      </c>
      <c r="B42" s="58"/>
      <c r="C42" s="59"/>
      <c r="D42" s="60"/>
    </row>
    <row r="43" spans="1:4" ht="14.25" thickBot="1">
      <c r="A43" s="57" t="s">
        <v>13</v>
      </c>
      <c r="B43" s="58"/>
      <c r="C43" s="59"/>
      <c r="D43" s="60"/>
    </row>
    <row r="44" spans="1:7" ht="14.25" thickBot="1">
      <c r="A44" s="678" t="s">
        <v>535</v>
      </c>
      <c r="B44" s="679"/>
      <c r="C44" s="686"/>
      <c r="D44" s="682">
        <f>+C46+C67+C95</f>
        <v>2021140</v>
      </c>
      <c r="E44" s="973"/>
      <c r="G44" s="61"/>
    </row>
    <row r="45" spans="1:5" ht="14.25" thickBot="1">
      <c r="A45" s="58"/>
      <c r="B45" s="69"/>
      <c r="D45" s="974"/>
      <c r="E45" s="975"/>
    </row>
    <row r="46" spans="1:5" ht="14.25" thickBot="1">
      <c r="A46" s="1013" t="s">
        <v>2</v>
      </c>
      <c r="B46" s="1014"/>
      <c r="C46" s="634">
        <f>C47+C49+C52+C60+C63+C54</f>
        <v>303170</v>
      </c>
      <c r="E46" s="976"/>
    </row>
    <row r="47" spans="1:5" s="68" customFormat="1" ht="13.5">
      <c r="A47" s="11" t="s">
        <v>103</v>
      </c>
      <c r="B47" s="199" t="s">
        <v>104</v>
      </c>
      <c r="C47" s="63">
        <f>SUM(C48)</f>
        <v>52500</v>
      </c>
      <c r="D47" s="64"/>
      <c r="E47" s="862"/>
    </row>
    <row r="48" spans="1:7" s="42" customFormat="1" ht="13.5" customHeight="1">
      <c r="A48" s="12" t="s">
        <v>46</v>
      </c>
      <c r="B48" s="42" t="s">
        <v>45</v>
      </c>
      <c r="C48" s="24">
        <v>52500</v>
      </c>
      <c r="E48" s="31"/>
      <c r="F48" s="95"/>
      <c r="G48" s="54"/>
    </row>
    <row r="49" spans="1:7" s="42" customFormat="1" ht="13.5" customHeight="1">
      <c r="A49" s="11" t="s">
        <v>105</v>
      </c>
      <c r="B49" s="502" t="s">
        <v>106</v>
      </c>
      <c r="C49" s="63">
        <f>SUM(C50:C51)</f>
        <v>16350</v>
      </c>
      <c r="D49" s="22"/>
      <c r="E49" s="31"/>
      <c r="G49" s="54"/>
    </row>
    <row r="50" spans="1:7" s="42" customFormat="1" ht="13.5" customHeight="1">
      <c r="A50" s="12" t="s">
        <v>67</v>
      </c>
      <c r="B50" s="42" t="s">
        <v>68</v>
      </c>
      <c r="C50" s="24">
        <v>9150</v>
      </c>
      <c r="D50" s="22"/>
      <c r="E50" s="31"/>
      <c r="G50" s="54"/>
    </row>
    <row r="51" spans="1:7" s="42" customFormat="1" ht="13.5" customHeight="1">
      <c r="A51" s="12" t="s">
        <v>86</v>
      </c>
      <c r="B51" s="42" t="s">
        <v>66</v>
      </c>
      <c r="C51" s="24">
        <v>7200</v>
      </c>
      <c r="D51" s="22"/>
      <c r="E51" s="31"/>
      <c r="G51" s="54"/>
    </row>
    <row r="52" spans="1:7" s="42" customFormat="1" ht="13.5" customHeight="1">
      <c r="A52" s="11" t="s">
        <v>107</v>
      </c>
      <c r="B52" s="502" t="s">
        <v>108</v>
      </c>
      <c r="C52" s="31">
        <f>SUM(C53)</f>
        <v>78660</v>
      </c>
      <c r="D52" s="22"/>
      <c r="E52" s="31"/>
      <c r="G52" s="54"/>
    </row>
    <row r="53" spans="1:8" s="8" customFormat="1" ht="13.5" customHeight="1">
      <c r="A53" s="12" t="s">
        <v>47</v>
      </c>
      <c r="B53" s="24" t="s">
        <v>48</v>
      </c>
      <c r="C53" s="24">
        <v>78660</v>
      </c>
      <c r="D53" s="77"/>
      <c r="E53" s="25"/>
      <c r="F53" s="98"/>
      <c r="G53" s="54"/>
      <c r="H53" s="42"/>
    </row>
    <row r="54" spans="1:8" s="5" customFormat="1" ht="13.5">
      <c r="A54" s="11" t="s">
        <v>119</v>
      </c>
      <c r="B54" s="505" t="s">
        <v>192</v>
      </c>
      <c r="C54" s="31">
        <f>SUM(C55:C59)</f>
        <v>99150</v>
      </c>
      <c r="D54" s="384"/>
      <c r="E54" s="336"/>
      <c r="F54" s="336"/>
      <c r="G54" s="385"/>
      <c r="H54" s="142"/>
    </row>
    <row r="55" spans="1:8" s="5" customFormat="1" ht="13.5">
      <c r="A55" s="12" t="s">
        <v>149</v>
      </c>
      <c r="B55" s="42" t="s">
        <v>639</v>
      </c>
      <c r="C55" s="24">
        <v>10500</v>
      </c>
      <c r="D55" s="384"/>
      <c r="E55" s="336"/>
      <c r="F55" s="336"/>
      <c r="G55" s="385"/>
      <c r="H55" s="142"/>
    </row>
    <row r="56" spans="1:8" s="5" customFormat="1" ht="13.5">
      <c r="A56" s="12" t="s">
        <v>641</v>
      </c>
      <c r="B56" s="42" t="s">
        <v>640</v>
      </c>
      <c r="C56" s="24">
        <v>15000</v>
      </c>
      <c r="D56" s="384"/>
      <c r="E56" s="336"/>
      <c r="F56" s="336"/>
      <c r="G56" s="385"/>
      <c r="H56" s="142"/>
    </row>
    <row r="57" spans="1:5" s="65" customFormat="1" ht="13.5">
      <c r="A57" s="71" t="s">
        <v>758</v>
      </c>
      <c r="B57" s="24" t="s">
        <v>753</v>
      </c>
      <c r="C57" s="24">
        <v>22500</v>
      </c>
      <c r="D57" s="77"/>
      <c r="E57" s="25"/>
    </row>
    <row r="58" spans="1:5" s="65" customFormat="1" ht="13.5">
      <c r="A58" s="71" t="s">
        <v>762</v>
      </c>
      <c r="B58" s="24" t="s">
        <v>763</v>
      </c>
      <c r="C58" s="24">
        <v>32400</v>
      </c>
      <c r="D58" s="77"/>
      <c r="E58" s="25"/>
    </row>
    <row r="59" spans="1:5" s="65" customFormat="1" ht="13.5">
      <c r="A59" s="71" t="s">
        <v>754</v>
      </c>
      <c r="B59" s="24" t="s">
        <v>755</v>
      </c>
      <c r="C59" s="24">
        <v>18750</v>
      </c>
      <c r="D59" s="77"/>
      <c r="E59" s="25"/>
    </row>
    <row r="60" spans="1:8" s="8" customFormat="1" ht="13.5" customHeight="1">
      <c r="A60" s="249" t="s">
        <v>124</v>
      </c>
      <c r="B60" s="31" t="s">
        <v>123</v>
      </c>
      <c r="C60" s="31">
        <f>SUM(C61:C62)</f>
        <v>37110</v>
      </c>
      <c r="D60" s="77"/>
      <c r="E60" s="25"/>
      <c r="F60" s="98"/>
      <c r="G60" s="54"/>
      <c r="H60" s="42"/>
    </row>
    <row r="61" spans="1:5" s="65" customFormat="1" ht="13.5">
      <c r="A61" s="12" t="s">
        <v>231</v>
      </c>
      <c r="B61" s="42" t="s">
        <v>230</v>
      </c>
      <c r="C61" s="24">
        <v>29310</v>
      </c>
      <c r="D61" s="56"/>
      <c r="E61" s="56"/>
    </row>
    <row r="62" spans="1:5" s="65" customFormat="1" ht="13.5">
      <c r="A62" s="71" t="s">
        <v>93</v>
      </c>
      <c r="B62" s="23" t="s">
        <v>72</v>
      </c>
      <c r="C62" s="59">
        <v>7800</v>
      </c>
      <c r="D62" s="67"/>
      <c r="E62" s="67"/>
    </row>
    <row r="63" spans="1:5" s="65" customFormat="1" ht="13.5">
      <c r="A63" s="249" t="s">
        <v>150</v>
      </c>
      <c r="B63" s="31" t="s">
        <v>125</v>
      </c>
      <c r="C63" s="63">
        <f>SUM(C64:C65)</f>
        <v>19400</v>
      </c>
      <c r="D63" s="67"/>
      <c r="E63" s="67"/>
    </row>
    <row r="64" spans="1:8" s="8" customFormat="1" ht="13.5" customHeight="1">
      <c r="A64" s="71" t="s">
        <v>151</v>
      </c>
      <c r="B64" s="24" t="s">
        <v>65</v>
      </c>
      <c r="C64" s="24">
        <v>5000</v>
      </c>
      <c r="D64" s="77"/>
      <c r="E64" s="25"/>
      <c r="F64" s="98"/>
      <c r="G64" s="54"/>
      <c r="H64" s="42"/>
    </row>
    <row r="65" spans="1:8" s="8" customFormat="1" ht="13.5" customHeight="1">
      <c r="A65" s="12" t="s">
        <v>153</v>
      </c>
      <c r="B65" s="24" t="s">
        <v>125</v>
      </c>
      <c r="C65" s="24">
        <v>14400</v>
      </c>
      <c r="D65" s="22"/>
      <c r="E65" s="25"/>
      <c r="F65" s="98"/>
      <c r="G65" s="54"/>
      <c r="H65" s="42"/>
    </row>
    <row r="66" spans="1:8" s="8" customFormat="1" ht="13.5" customHeight="1" thickBot="1">
      <c r="A66" s="71"/>
      <c r="B66" s="24"/>
      <c r="C66" s="23"/>
      <c r="D66" s="77"/>
      <c r="E66" s="25"/>
      <c r="F66" s="199"/>
      <c r="G66" s="54"/>
      <c r="H66" s="73"/>
    </row>
    <row r="67" spans="1:5" s="65" customFormat="1" ht="14.25" thickBot="1">
      <c r="A67" s="1015" t="s">
        <v>3</v>
      </c>
      <c r="B67" s="1016"/>
      <c r="C67" s="635">
        <f>C68+C73+C76+C81+C84+C87+C89</f>
        <v>1599370</v>
      </c>
      <c r="D67" s="67"/>
      <c r="E67" s="83"/>
    </row>
    <row r="68" spans="1:5" s="55" customFormat="1" ht="13.5">
      <c r="A68" s="249" t="s">
        <v>339</v>
      </c>
      <c r="B68" s="199" t="s">
        <v>340</v>
      </c>
      <c r="C68" s="63">
        <f>SUM(C69:C72)</f>
        <v>538550</v>
      </c>
      <c r="D68" s="56"/>
      <c r="E68" s="172"/>
    </row>
    <row r="69" spans="1:8" s="8" customFormat="1" ht="13.5" customHeight="1">
      <c r="A69" s="71" t="s">
        <v>343</v>
      </c>
      <c r="B69" s="58" t="s">
        <v>344</v>
      </c>
      <c r="C69" s="24">
        <v>3750</v>
      </c>
      <c r="D69" s="77"/>
      <c r="F69" s="194"/>
      <c r="G69" s="54"/>
      <c r="H69" s="54"/>
    </row>
    <row r="70" spans="1:8" s="8" customFormat="1" ht="13.5" customHeight="1">
      <c r="A70" s="71" t="s">
        <v>345</v>
      </c>
      <c r="B70" s="58" t="s">
        <v>346</v>
      </c>
      <c r="C70" s="24">
        <v>31780</v>
      </c>
      <c r="D70" s="77"/>
      <c r="E70" s="25"/>
      <c r="F70" s="194"/>
      <c r="G70" s="54"/>
      <c r="H70" s="54"/>
    </row>
    <row r="71" spans="1:10" s="8" customFormat="1" ht="13.5" customHeight="1">
      <c r="A71" s="71" t="s">
        <v>378</v>
      </c>
      <c r="B71" s="58" t="s">
        <v>533</v>
      </c>
      <c r="C71" s="24">
        <v>19820</v>
      </c>
      <c r="D71" s="77"/>
      <c r="E71" s="25"/>
      <c r="F71" s="98"/>
      <c r="G71" s="54"/>
      <c r="H71" s="42"/>
      <c r="J71" s="82"/>
    </row>
    <row r="72" spans="1:9" s="8" customFormat="1" ht="13.5" customHeight="1">
      <c r="A72" s="71" t="s">
        <v>347</v>
      </c>
      <c r="B72" s="58" t="s">
        <v>348</v>
      </c>
      <c r="C72" s="24">
        <v>483200</v>
      </c>
      <c r="F72" s="77"/>
      <c r="G72" s="25"/>
      <c r="H72" s="98"/>
      <c r="I72" s="82"/>
    </row>
    <row r="73" spans="1:9" s="8" customFormat="1" ht="13.5" customHeight="1">
      <c r="A73" s="249" t="s">
        <v>110</v>
      </c>
      <c r="B73" s="62" t="s">
        <v>111</v>
      </c>
      <c r="C73" s="31">
        <f>SUM(C74:C75)</f>
        <v>286100</v>
      </c>
      <c r="F73" s="77"/>
      <c r="G73" s="25"/>
      <c r="H73" s="98"/>
      <c r="I73" s="82"/>
    </row>
    <row r="74" spans="1:9" s="8" customFormat="1" ht="13.5" customHeight="1">
      <c r="A74" s="71" t="s">
        <v>159</v>
      </c>
      <c r="B74" s="58" t="s">
        <v>158</v>
      </c>
      <c r="C74" s="24">
        <v>235000</v>
      </c>
      <c r="F74" s="25"/>
      <c r="H74" s="24"/>
      <c r="I74" s="82"/>
    </row>
    <row r="75" spans="1:8" s="8" customFormat="1" ht="13.5" customHeight="1">
      <c r="A75" s="58" t="s">
        <v>52</v>
      </c>
      <c r="B75" s="58" t="s">
        <v>15</v>
      </c>
      <c r="C75" s="24">
        <v>51100</v>
      </c>
      <c r="F75" s="83"/>
      <c r="G75" s="25"/>
      <c r="H75" s="98"/>
    </row>
    <row r="76" spans="1:9" s="8" customFormat="1" ht="13.5" customHeight="1">
      <c r="A76" s="62" t="s">
        <v>120</v>
      </c>
      <c r="B76" s="62" t="s">
        <v>121</v>
      </c>
      <c r="C76" s="31">
        <f>SUM(C77:C80)</f>
        <v>397600</v>
      </c>
      <c r="F76" s="77"/>
      <c r="G76" s="25"/>
      <c r="H76" s="98"/>
      <c r="I76" s="82"/>
    </row>
    <row r="77" spans="1:9" s="8" customFormat="1" ht="13.5" customHeight="1">
      <c r="A77" s="58" t="s">
        <v>245</v>
      </c>
      <c r="B77" s="42" t="s">
        <v>246</v>
      </c>
      <c r="C77" s="24">
        <v>328900</v>
      </c>
      <c r="F77" s="78"/>
      <c r="G77" s="25"/>
      <c r="H77" s="98"/>
      <c r="I77" s="82"/>
    </row>
    <row r="78" spans="1:9" s="8" customFormat="1" ht="13.5" customHeight="1">
      <c r="A78" s="58" t="s">
        <v>235</v>
      </c>
      <c r="B78" s="42" t="s">
        <v>236</v>
      </c>
      <c r="C78" s="24">
        <v>18000</v>
      </c>
      <c r="F78" s="78"/>
      <c r="G78" s="25"/>
      <c r="H78" s="98"/>
      <c r="I78" s="82"/>
    </row>
    <row r="79" spans="1:9" s="65" customFormat="1" ht="13.5" customHeight="1">
      <c r="A79" s="58" t="s">
        <v>140</v>
      </c>
      <c r="B79" s="42" t="s">
        <v>141</v>
      </c>
      <c r="C79" s="59">
        <v>36000</v>
      </c>
      <c r="G79" s="59"/>
      <c r="H79" s="56"/>
      <c r="I79" s="56"/>
    </row>
    <row r="80" spans="1:9" s="8" customFormat="1" ht="13.5" customHeight="1">
      <c r="A80" s="58" t="s">
        <v>136</v>
      </c>
      <c r="B80" s="58" t="s">
        <v>71</v>
      </c>
      <c r="C80" s="24">
        <v>14700</v>
      </c>
      <c r="F80" s="77"/>
      <c r="G80" s="25"/>
      <c r="H80" s="98"/>
      <c r="I80" s="82"/>
    </row>
    <row r="81" spans="1:256" s="55" customFormat="1" ht="13.5">
      <c r="A81" s="249" t="s">
        <v>112</v>
      </c>
      <c r="B81" s="505" t="s">
        <v>156</v>
      </c>
      <c r="C81" s="31">
        <f>SUM(C82:C83)</f>
        <v>29100</v>
      </c>
      <c r="F81" s="25"/>
      <c r="G81" s="200"/>
      <c r="H81" s="949"/>
      <c r="I81" s="200"/>
      <c r="J81" s="949"/>
      <c r="K81" s="200"/>
      <c r="L81" s="949"/>
      <c r="M81" s="200"/>
      <c r="N81" s="949"/>
      <c r="O81" s="200"/>
      <c r="P81" s="949"/>
      <c r="Q81" s="200"/>
      <c r="R81" s="949"/>
      <c r="S81" s="200"/>
      <c r="T81" s="949"/>
      <c r="U81" s="200"/>
      <c r="V81" s="949"/>
      <c r="W81" s="200"/>
      <c r="X81" s="949"/>
      <c r="Y81" s="200"/>
      <c r="Z81" s="949"/>
      <c r="AA81" s="200"/>
      <c r="AB81" s="949"/>
      <c r="AC81" s="200"/>
      <c r="AD81" s="949"/>
      <c r="AE81" s="200"/>
      <c r="AF81" s="949"/>
      <c r="AG81" s="200"/>
      <c r="AH81" s="949"/>
      <c r="AI81" s="200"/>
      <c r="AJ81" s="949"/>
      <c r="AK81" s="200"/>
      <c r="AL81" s="949"/>
      <c r="AM81" s="200"/>
      <c r="AN81" s="949"/>
      <c r="AO81" s="200"/>
      <c r="AP81" s="949"/>
      <c r="AQ81" s="200"/>
      <c r="AR81" s="949"/>
      <c r="AS81" s="200"/>
      <c r="AT81" s="949"/>
      <c r="AU81" s="200"/>
      <c r="AV81" s="949"/>
      <c r="AW81" s="200"/>
      <c r="AX81" s="949"/>
      <c r="AY81" s="200"/>
      <c r="AZ81" s="949"/>
      <c r="BA81" s="200"/>
      <c r="BB81" s="949"/>
      <c r="BC81" s="200"/>
      <c r="BD81" s="949"/>
      <c r="BE81" s="200"/>
      <c r="BF81" s="949"/>
      <c r="BG81" s="200"/>
      <c r="BH81" s="949"/>
      <c r="BI81" s="200"/>
      <c r="BJ81" s="949"/>
      <c r="BK81" s="200"/>
      <c r="BL81" s="949"/>
      <c r="BM81" s="200"/>
      <c r="BN81" s="949"/>
      <c r="BO81" s="200"/>
      <c r="BP81" s="949"/>
      <c r="BQ81" s="200"/>
      <c r="BR81" s="949"/>
      <c r="BS81" s="200"/>
      <c r="BT81" s="949"/>
      <c r="BU81" s="200"/>
      <c r="BV81" s="949"/>
      <c r="BW81" s="200"/>
      <c r="BX81" s="949"/>
      <c r="BY81" s="200"/>
      <c r="BZ81" s="949"/>
      <c r="CA81" s="200"/>
      <c r="CB81" s="949"/>
      <c r="CC81" s="200"/>
      <c r="CD81" s="949"/>
      <c r="CE81" s="200"/>
      <c r="CF81" s="949"/>
      <c r="CG81" s="200"/>
      <c r="CH81" s="949"/>
      <c r="CI81" s="200"/>
      <c r="CJ81" s="949"/>
      <c r="CK81" s="200"/>
      <c r="CL81" s="949"/>
      <c r="CM81" s="200"/>
      <c r="CN81" s="949"/>
      <c r="CO81" s="200"/>
      <c r="CP81" s="949"/>
      <c r="CQ81" s="200"/>
      <c r="CR81" s="949"/>
      <c r="CS81" s="200"/>
      <c r="CT81" s="949"/>
      <c r="CU81" s="200"/>
      <c r="CV81" s="949"/>
      <c r="CW81" s="200"/>
      <c r="CX81" s="949"/>
      <c r="CY81" s="200"/>
      <c r="CZ81" s="949"/>
      <c r="DA81" s="200"/>
      <c r="DB81" s="949"/>
      <c r="DC81" s="200"/>
      <c r="DD81" s="949"/>
      <c r="DE81" s="200"/>
      <c r="DF81" s="949"/>
      <c r="DG81" s="200"/>
      <c r="DH81" s="949"/>
      <c r="DI81" s="200"/>
      <c r="DJ81" s="949"/>
      <c r="DK81" s="200"/>
      <c r="DL81" s="949"/>
      <c r="DM81" s="200"/>
      <c r="DN81" s="949"/>
      <c r="DO81" s="200"/>
      <c r="DP81" s="949"/>
      <c r="DQ81" s="200"/>
      <c r="DR81" s="949"/>
      <c r="DS81" s="200"/>
      <c r="DT81" s="949"/>
      <c r="DU81" s="200"/>
      <c r="DV81" s="949"/>
      <c r="DW81" s="200"/>
      <c r="DX81" s="949"/>
      <c r="DY81" s="200"/>
      <c r="DZ81" s="949"/>
      <c r="EA81" s="200"/>
      <c r="EB81" s="949"/>
      <c r="EC81" s="200"/>
      <c r="ED81" s="949"/>
      <c r="EE81" s="200"/>
      <c r="EF81" s="949"/>
      <c r="EG81" s="200"/>
      <c r="EH81" s="949"/>
      <c r="EI81" s="200"/>
      <c r="EJ81" s="949"/>
      <c r="EK81" s="200"/>
      <c r="EL81" s="949"/>
      <c r="EM81" s="200"/>
      <c r="EN81" s="949"/>
      <c r="EO81" s="200"/>
      <c r="EP81" s="949"/>
      <c r="EQ81" s="200"/>
      <c r="ER81" s="949"/>
      <c r="ES81" s="200"/>
      <c r="ET81" s="949"/>
      <c r="EU81" s="200"/>
      <c r="EV81" s="949"/>
      <c r="EW81" s="200"/>
      <c r="EX81" s="949"/>
      <c r="EY81" s="200"/>
      <c r="EZ81" s="949"/>
      <c r="FA81" s="200"/>
      <c r="FB81" s="949"/>
      <c r="FC81" s="200"/>
      <c r="FD81" s="949"/>
      <c r="FE81" s="200"/>
      <c r="FF81" s="949"/>
      <c r="FG81" s="200"/>
      <c r="FH81" s="949"/>
      <c r="FI81" s="200"/>
      <c r="FJ81" s="949"/>
      <c r="FK81" s="200"/>
      <c r="FL81" s="949"/>
      <c r="FM81" s="200"/>
      <c r="FN81" s="949"/>
      <c r="FO81" s="200"/>
      <c r="FP81" s="949"/>
      <c r="FQ81" s="200"/>
      <c r="FR81" s="949"/>
      <c r="FS81" s="200"/>
      <c r="FT81" s="949"/>
      <c r="FU81" s="200"/>
      <c r="FV81" s="949"/>
      <c r="FW81" s="200"/>
      <c r="FX81" s="949"/>
      <c r="FY81" s="200"/>
      <c r="FZ81" s="949"/>
      <c r="GA81" s="200"/>
      <c r="GB81" s="949"/>
      <c r="GC81" s="200"/>
      <c r="GD81" s="949"/>
      <c r="GE81" s="200"/>
      <c r="GF81" s="949"/>
      <c r="GG81" s="200"/>
      <c r="GH81" s="949"/>
      <c r="GI81" s="200"/>
      <c r="GJ81" s="949"/>
      <c r="GK81" s="200"/>
      <c r="GL81" s="949"/>
      <c r="GM81" s="200"/>
      <c r="GN81" s="949"/>
      <c r="GO81" s="200"/>
      <c r="GP81" s="949"/>
      <c r="GQ81" s="200"/>
      <c r="GR81" s="949"/>
      <c r="GS81" s="200"/>
      <c r="GT81" s="949"/>
      <c r="GU81" s="200"/>
      <c r="GV81" s="949"/>
      <c r="GW81" s="200"/>
      <c r="GX81" s="949"/>
      <c r="GY81" s="200"/>
      <c r="GZ81" s="949"/>
      <c r="HA81" s="200"/>
      <c r="HB81" s="949"/>
      <c r="HC81" s="200"/>
      <c r="HD81" s="949"/>
      <c r="HE81" s="200"/>
      <c r="HF81" s="949"/>
      <c r="HG81" s="200"/>
      <c r="HH81" s="949"/>
      <c r="HI81" s="200"/>
      <c r="HJ81" s="949"/>
      <c r="HK81" s="200"/>
      <c r="HL81" s="949"/>
      <c r="HM81" s="200"/>
      <c r="HN81" s="949"/>
      <c r="HO81" s="200"/>
      <c r="HP81" s="949"/>
      <c r="HQ81" s="200"/>
      <c r="HR81" s="949"/>
      <c r="HS81" s="200"/>
      <c r="HT81" s="949"/>
      <c r="HU81" s="200"/>
      <c r="HV81" s="949"/>
      <c r="HW81" s="200"/>
      <c r="HX81" s="949"/>
      <c r="HY81" s="200"/>
      <c r="HZ81" s="949"/>
      <c r="IA81" s="200"/>
      <c r="IB81" s="949"/>
      <c r="IC81" s="200"/>
      <c r="ID81" s="949"/>
      <c r="IE81" s="200"/>
      <c r="IF81" s="949"/>
      <c r="IG81" s="200"/>
      <c r="IH81" s="949"/>
      <c r="II81" s="200"/>
      <c r="IJ81" s="949"/>
      <c r="IK81" s="200"/>
      <c r="IL81" s="949"/>
      <c r="IM81" s="200"/>
      <c r="IN81" s="949"/>
      <c r="IO81" s="200"/>
      <c r="IP81" s="949"/>
      <c r="IQ81" s="200"/>
      <c r="IR81" s="949"/>
      <c r="IS81" s="200"/>
      <c r="IT81" s="949"/>
      <c r="IU81" s="200"/>
      <c r="IV81" s="949"/>
    </row>
    <row r="82" spans="1:8" s="55" customFormat="1" ht="13.5">
      <c r="A82" s="71" t="s">
        <v>138</v>
      </c>
      <c r="B82" s="58" t="s">
        <v>137</v>
      </c>
      <c r="C82" s="59">
        <v>7500</v>
      </c>
      <c r="F82" s="63"/>
      <c r="G82" s="439"/>
      <c r="H82" s="56"/>
    </row>
    <row r="83" spans="1:8" s="55" customFormat="1" ht="13.5">
      <c r="A83" s="71" t="s">
        <v>49</v>
      </c>
      <c r="B83" s="24" t="s">
        <v>87</v>
      </c>
      <c r="C83" s="59">
        <v>21600</v>
      </c>
      <c r="F83" s="59"/>
      <c r="G83" s="56"/>
      <c r="H83" s="56"/>
    </row>
    <row r="84" spans="1:8" s="55" customFormat="1" ht="13.5">
      <c r="A84" s="249" t="s">
        <v>113</v>
      </c>
      <c r="B84" s="31" t="s">
        <v>114</v>
      </c>
      <c r="C84" s="63">
        <f>SUM(C85:C86)</f>
        <v>113000</v>
      </c>
      <c r="F84" s="59"/>
      <c r="G84" s="56"/>
      <c r="H84" s="56"/>
    </row>
    <row r="85" spans="1:8" s="55" customFormat="1" ht="13.5">
      <c r="A85" s="71" t="s">
        <v>88</v>
      </c>
      <c r="B85" s="24" t="s">
        <v>64</v>
      </c>
      <c r="C85" s="59">
        <v>93000</v>
      </c>
      <c r="F85" s="59"/>
      <c r="G85" s="56"/>
      <c r="H85" s="56"/>
    </row>
    <row r="86" spans="1:8" s="55" customFormat="1" ht="13.5">
      <c r="A86" s="71" t="s">
        <v>362</v>
      </c>
      <c r="B86" s="42" t="s">
        <v>363</v>
      </c>
      <c r="C86" s="59">
        <v>20000</v>
      </c>
      <c r="F86" s="59"/>
      <c r="G86" s="56"/>
      <c r="H86" s="56"/>
    </row>
    <row r="87" spans="1:8" s="55" customFormat="1" ht="13.5">
      <c r="A87" s="249" t="s">
        <v>132</v>
      </c>
      <c r="B87" s="62" t="s">
        <v>56</v>
      </c>
      <c r="C87" s="63">
        <f>SUM(C88)</f>
        <v>7400</v>
      </c>
      <c r="F87" s="59"/>
      <c r="G87" s="56"/>
      <c r="H87" s="56"/>
    </row>
    <row r="88" spans="1:6" s="55" customFormat="1" ht="13.5">
      <c r="A88" s="71" t="s">
        <v>55</v>
      </c>
      <c r="B88" s="58" t="s">
        <v>56</v>
      </c>
      <c r="C88" s="59">
        <v>7400</v>
      </c>
      <c r="D88" s="59"/>
      <c r="E88" s="56"/>
      <c r="F88" s="56"/>
    </row>
    <row r="89" spans="1:6" s="55" customFormat="1" ht="13.5">
      <c r="A89" s="249" t="s">
        <v>115</v>
      </c>
      <c r="B89" s="31" t="s">
        <v>8</v>
      </c>
      <c r="C89" s="63">
        <f>SUM(C90:C93)</f>
        <v>227620</v>
      </c>
      <c r="D89" s="59"/>
      <c r="E89" s="56"/>
      <c r="F89" s="56"/>
    </row>
    <row r="90" spans="1:6" s="65" customFormat="1" ht="13.5">
      <c r="A90" s="71" t="s">
        <v>92</v>
      </c>
      <c r="B90" s="24" t="s">
        <v>8</v>
      </c>
      <c r="C90" s="59">
        <v>19500</v>
      </c>
      <c r="D90" s="59"/>
      <c r="E90" s="56"/>
      <c r="F90" s="56"/>
    </row>
    <row r="91" spans="1:6" s="55" customFormat="1" ht="13.5">
      <c r="A91" s="71" t="s">
        <v>94</v>
      </c>
      <c r="B91" s="24" t="s">
        <v>50</v>
      </c>
      <c r="C91" s="59">
        <v>9750</v>
      </c>
      <c r="D91" s="63"/>
      <c r="E91" s="56"/>
      <c r="F91" s="56"/>
    </row>
    <row r="92" spans="1:256" s="55" customFormat="1" ht="13.5">
      <c r="A92" s="12" t="s">
        <v>206</v>
      </c>
      <c r="B92" s="42" t="s">
        <v>205</v>
      </c>
      <c r="C92" s="24">
        <v>111370</v>
      </c>
      <c r="D92" s="25"/>
      <c r="E92" s="200"/>
      <c r="G92" s="200"/>
      <c r="H92" s="949"/>
      <c r="I92" s="200"/>
      <c r="J92" s="949"/>
      <c r="K92" s="200"/>
      <c r="L92" s="949"/>
      <c r="M92" s="200"/>
      <c r="N92" s="949"/>
      <c r="O92" s="200"/>
      <c r="P92" s="949"/>
      <c r="Q92" s="200"/>
      <c r="R92" s="949"/>
      <c r="S92" s="200"/>
      <c r="T92" s="949"/>
      <c r="U92" s="200"/>
      <c r="V92" s="949"/>
      <c r="W92" s="200"/>
      <c r="X92" s="949"/>
      <c r="Y92" s="200"/>
      <c r="Z92" s="949"/>
      <c r="AA92" s="200"/>
      <c r="AB92" s="949"/>
      <c r="AC92" s="200"/>
      <c r="AD92" s="949"/>
      <c r="AE92" s="200"/>
      <c r="AF92" s="949"/>
      <c r="AG92" s="200"/>
      <c r="AH92" s="949"/>
      <c r="AI92" s="200"/>
      <c r="AJ92" s="949"/>
      <c r="AK92" s="200"/>
      <c r="AL92" s="949"/>
      <c r="AM92" s="200"/>
      <c r="AN92" s="949"/>
      <c r="AO92" s="200"/>
      <c r="AP92" s="949"/>
      <c r="AQ92" s="200"/>
      <c r="AR92" s="949"/>
      <c r="AS92" s="200"/>
      <c r="AT92" s="949"/>
      <c r="AU92" s="200"/>
      <c r="AV92" s="949"/>
      <c r="AW92" s="200"/>
      <c r="AX92" s="949"/>
      <c r="AY92" s="200"/>
      <c r="AZ92" s="949"/>
      <c r="BA92" s="200"/>
      <c r="BB92" s="949"/>
      <c r="BC92" s="200"/>
      <c r="BD92" s="949"/>
      <c r="BE92" s="200"/>
      <c r="BF92" s="949"/>
      <c r="BG92" s="200"/>
      <c r="BH92" s="949"/>
      <c r="BI92" s="200"/>
      <c r="BJ92" s="949"/>
      <c r="BK92" s="200"/>
      <c r="BL92" s="949"/>
      <c r="BM92" s="200"/>
      <c r="BN92" s="949"/>
      <c r="BO92" s="200"/>
      <c r="BP92" s="949"/>
      <c r="BQ92" s="200"/>
      <c r="BR92" s="949"/>
      <c r="BS92" s="200"/>
      <c r="BT92" s="949"/>
      <c r="BU92" s="200"/>
      <c r="BV92" s="949"/>
      <c r="BW92" s="200"/>
      <c r="BX92" s="949"/>
      <c r="BY92" s="200"/>
      <c r="BZ92" s="949"/>
      <c r="CA92" s="200"/>
      <c r="CB92" s="949"/>
      <c r="CC92" s="200"/>
      <c r="CD92" s="949"/>
      <c r="CE92" s="200"/>
      <c r="CF92" s="949"/>
      <c r="CG92" s="200"/>
      <c r="CH92" s="949"/>
      <c r="CI92" s="200"/>
      <c r="CJ92" s="949"/>
      <c r="CK92" s="200"/>
      <c r="CL92" s="949"/>
      <c r="CM92" s="200"/>
      <c r="CN92" s="949"/>
      <c r="CO92" s="200"/>
      <c r="CP92" s="949"/>
      <c r="CQ92" s="200"/>
      <c r="CR92" s="949"/>
      <c r="CS92" s="200"/>
      <c r="CT92" s="949"/>
      <c r="CU92" s="200"/>
      <c r="CV92" s="949"/>
      <c r="CW92" s="200"/>
      <c r="CX92" s="949"/>
      <c r="CY92" s="200"/>
      <c r="CZ92" s="949"/>
      <c r="DA92" s="200"/>
      <c r="DB92" s="949"/>
      <c r="DC92" s="200"/>
      <c r="DD92" s="949"/>
      <c r="DE92" s="200"/>
      <c r="DF92" s="949"/>
      <c r="DG92" s="200"/>
      <c r="DH92" s="949"/>
      <c r="DI92" s="200"/>
      <c r="DJ92" s="949"/>
      <c r="DK92" s="200"/>
      <c r="DL92" s="949"/>
      <c r="DM92" s="200"/>
      <c r="DN92" s="949"/>
      <c r="DO92" s="200"/>
      <c r="DP92" s="949"/>
      <c r="DQ92" s="200"/>
      <c r="DR92" s="949"/>
      <c r="DS92" s="200"/>
      <c r="DT92" s="949"/>
      <c r="DU92" s="200"/>
      <c r="DV92" s="949"/>
      <c r="DW92" s="200"/>
      <c r="DX92" s="949"/>
      <c r="DY92" s="200"/>
      <c r="DZ92" s="949"/>
      <c r="EA92" s="200"/>
      <c r="EB92" s="949"/>
      <c r="EC92" s="200"/>
      <c r="ED92" s="949"/>
      <c r="EE92" s="200"/>
      <c r="EF92" s="949"/>
      <c r="EG92" s="200"/>
      <c r="EH92" s="949"/>
      <c r="EI92" s="200"/>
      <c r="EJ92" s="949"/>
      <c r="EK92" s="200"/>
      <c r="EL92" s="949"/>
      <c r="EM92" s="200"/>
      <c r="EN92" s="949"/>
      <c r="EO92" s="200"/>
      <c r="EP92" s="949"/>
      <c r="EQ92" s="200"/>
      <c r="ER92" s="949"/>
      <c r="ES92" s="200"/>
      <c r="ET92" s="949"/>
      <c r="EU92" s="200"/>
      <c r="EV92" s="949"/>
      <c r="EW92" s="200"/>
      <c r="EX92" s="949"/>
      <c r="EY92" s="200"/>
      <c r="EZ92" s="949"/>
      <c r="FA92" s="200"/>
      <c r="FB92" s="949"/>
      <c r="FC92" s="200"/>
      <c r="FD92" s="949"/>
      <c r="FE92" s="200"/>
      <c r="FF92" s="949"/>
      <c r="FG92" s="200"/>
      <c r="FH92" s="949"/>
      <c r="FI92" s="200"/>
      <c r="FJ92" s="949"/>
      <c r="FK92" s="200"/>
      <c r="FL92" s="949"/>
      <c r="FM92" s="200"/>
      <c r="FN92" s="949"/>
      <c r="FO92" s="200"/>
      <c r="FP92" s="949"/>
      <c r="FQ92" s="200"/>
      <c r="FR92" s="949"/>
      <c r="FS92" s="200"/>
      <c r="FT92" s="949"/>
      <c r="FU92" s="200"/>
      <c r="FV92" s="949"/>
      <c r="FW92" s="200"/>
      <c r="FX92" s="949"/>
      <c r="FY92" s="200"/>
      <c r="FZ92" s="949"/>
      <c r="GA92" s="200"/>
      <c r="GB92" s="949"/>
      <c r="GC92" s="200"/>
      <c r="GD92" s="949"/>
      <c r="GE92" s="200"/>
      <c r="GF92" s="949"/>
      <c r="GG92" s="200"/>
      <c r="GH92" s="949"/>
      <c r="GI92" s="200"/>
      <c r="GJ92" s="949"/>
      <c r="GK92" s="200"/>
      <c r="GL92" s="949"/>
      <c r="GM92" s="200"/>
      <c r="GN92" s="949"/>
      <c r="GO92" s="200"/>
      <c r="GP92" s="949"/>
      <c r="GQ92" s="200"/>
      <c r="GR92" s="949"/>
      <c r="GS92" s="200"/>
      <c r="GT92" s="949"/>
      <c r="GU92" s="200"/>
      <c r="GV92" s="949"/>
      <c r="GW92" s="200"/>
      <c r="GX92" s="949"/>
      <c r="GY92" s="200"/>
      <c r="GZ92" s="949"/>
      <c r="HA92" s="200"/>
      <c r="HB92" s="949"/>
      <c r="HC92" s="200"/>
      <c r="HD92" s="949"/>
      <c r="HE92" s="200"/>
      <c r="HF92" s="949"/>
      <c r="HG92" s="200"/>
      <c r="HH92" s="949"/>
      <c r="HI92" s="200"/>
      <c r="HJ92" s="949"/>
      <c r="HK92" s="200"/>
      <c r="HL92" s="949"/>
      <c r="HM92" s="200"/>
      <c r="HN92" s="949"/>
      <c r="HO92" s="200"/>
      <c r="HP92" s="949"/>
      <c r="HQ92" s="200"/>
      <c r="HR92" s="949"/>
      <c r="HS92" s="200"/>
      <c r="HT92" s="949"/>
      <c r="HU92" s="200"/>
      <c r="HV92" s="949"/>
      <c r="HW92" s="200"/>
      <c r="HX92" s="949"/>
      <c r="HY92" s="200"/>
      <c r="HZ92" s="949"/>
      <c r="IA92" s="200"/>
      <c r="IB92" s="949"/>
      <c r="IC92" s="200"/>
      <c r="ID92" s="949"/>
      <c r="IE92" s="200"/>
      <c r="IF92" s="949"/>
      <c r="IG92" s="200"/>
      <c r="IH92" s="949"/>
      <c r="II92" s="200"/>
      <c r="IJ92" s="949"/>
      <c r="IK92" s="200"/>
      <c r="IL92" s="949"/>
      <c r="IM92" s="200"/>
      <c r="IN92" s="949"/>
      <c r="IO92" s="200"/>
      <c r="IP92" s="949"/>
      <c r="IQ92" s="200"/>
      <c r="IR92" s="949"/>
      <c r="IS92" s="200"/>
      <c r="IT92" s="949"/>
      <c r="IU92" s="200"/>
      <c r="IV92" s="949"/>
    </row>
    <row r="93" spans="1:6" s="55" customFormat="1" ht="13.5">
      <c r="A93" s="71" t="s">
        <v>90</v>
      </c>
      <c r="B93" s="24" t="s">
        <v>7</v>
      </c>
      <c r="C93" s="59">
        <v>87000</v>
      </c>
      <c r="D93" s="25"/>
      <c r="E93" s="24"/>
      <c r="F93" s="56"/>
    </row>
    <row r="94" spans="1:6" s="55" customFormat="1" ht="14.25" thickBot="1">
      <c r="A94" s="71"/>
      <c r="B94" s="24"/>
      <c r="C94" s="59"/>
      <c r="D94" s="25"/>
      <c r="E94" s="201"/>
      <c r="F94" s="56"/>
    </row>
    <row r="95" spans="1:5" s="65" customFormat="1" ht="14.25" thickBot="1">
      <c r="A95" s="1017" t="s">
        <v>4</v>
      </c>
      <c r="B95" s="1018"/>
      <c r="C95" s="637">
        <f>+C96+C102+C100</f>
        <v>118600</v>
      </c>
      <c r="D95" s="67"/>
      <c r="E95" s="83"/>
    </row>
    <row r="96" spans="1:5" s="55" customFormat="1" ht="13.5">
      <c r="A96" s="249" t="s">
        <v>116</v>
      </c>
      <c r="B96" s="199" t="s">
        <v>117</v>
      </c>
      <c r="C96" s="63">
        <f>SUM(C97:C99)</f>
        <v>70600</v>
      </c>
      <c r="D96" s="56"/>
      <c r="E96" s="172"/>
    </row>
    <row r="97" spans="1:5" s="65" customFormat="1" ht="13.5">
      <c r="A97" s="71" t="s">
        <v>91</v>
      </c>
      <c r="B97" s="58" t="s">
        <v>139</v>
      </c>
      <c r="C97" s="59">
        <v>30600</v>
      </c>
      <c r="D97" s="67"/>
      <c r="E97" s="67"/>
    </row>
    <row r="98" spans="1:5" s="65" customFormat="1" ht="13.5">
      <c r="A98" s="69" t="s">
        <v>57</v>
      </c>
      <c r="B98" s="69" t="s">
        <v>58</v>
      </c>
      <c r="C98" s="59">
        <v>15000</v>
      </c>
      <c r="D98" s="59"/>
      <c r="E98" s="885"/>
    </row>
    <row r="99" spans="1:8" s="8" customFormat="1" ht="13.5" customHeight="1">
      <c r="A99" s="71" t="s">
        <v>756</v>
      </c>
      <c r="B99" s="23" t="s">
        <v>757</v>
      </c>
      <c r="C99" s="24">
        <v>25000</v>
      </c>
      <c r="D99" s="77"/>
      <c r="E99" s="25"/>
      <c r="F99" s="98"/>
      <c r="G99" s="54"/>
      <c r="H99" s="42"/>
    </row>
    <row r="100" spans="1:7" s="42" customFormat="1" ht="13.5" customHeight="1">
      <c r="A100" s="249" t="s">
        <v>1060</v>
      </c>
      <c r="B100" s="25" t="s">
        <v>259</v>
      </c>
      <c r="C100" s="31">
        <f>SUM(C101)</f>
        <v>30000</v>
      </c>
      <c r="D100" s="77"/>
      <c r="E100" s="25"/>
      <c r="G100" s="54"/>
    </row>
    <row r="101" spans="1:8" s="8" customFormat="1" ht="13.5" customHeight="1">
      <c r="A101" s="71" t="s">
        <v>164</v>
      </c>
      <c r="B101" s="23" t="s">
        <v>259</v>
      </c>
      <c r="C101" s="24">
        <v>30000</v>
      </c>
      <c r="D101" s="77"/>
      <c r="E101" s="25"/>
      <c r="F101" s="98"/>
      <c r="G101" s="54"/>
      <c r="H101" s="42"/>
    </row>
    <row r="102" spans="1:5" s="65" customFormat="1" ht="13.5">
      <c r="A102" s="249" t="s">
        <v>165</v>
      </c>
      <c r="B102" s="31" t="s">
        <v>135</v>
      </c>
      <c r="C102" s="63">
        <f>SUM(C103)</f>
        <v>18000</v>
      </c>
      <c r="D102" s="67"/>
      <c r="E102" s="67"/>
    </row>
    <row r="103" spans="1:5" s="65" customFormat="1" ht="13.5">
      <c r="A103" s="71" t="s">
        <v>166</v>
      </c>
      <c r="B103" s="24" t="s">
        <v>51</v>
      </c>
      <c r="C103" s="59">
        <v>18000</v>
      </c>
      <c r="D103" s="67"/>
      <c r="E103" s="67"/>
    </row>
    <row r="104" ht="14.25" thickBot="1"/>
    <row r="105" spans="1:6" ht="13.5">
      <c r="A105" s="650" t="s">
        <v>1107</v>
      </c>
      <c r="B105" s="638"/>
      <c r="C105" s="639" t="s">
        <v>6</v>
      </c>
      <c r="D105" s="754" t="s">
        <v>1114</v>
      </c>
      <c r="F105" s="972"/>
    </row>
    <row r="106" spans="1:4" ht="13.5">
      <c r="A106" s="652"/>
      <c r="B106" s="971" t="s">
        <v>1109</v>
      </c>
      <c r="C106" s="643"/>
      <c r="D106" s="644"/>
    </row>
    <row r="107" spans="1:4" ht="14.25" thickBot="1">
      <c r="A107" s="651"/>
      <c r="B107" s="645" t="s">
        <v>1115</v>
      </c>
      <c r="C107" s="640"/>
      <c r="D107" s="641"/>
    </row>
    <row r="108" spans="1:5" s="434" customFormat="1" ht="13.5">
      <c r="A108" s="1142" t="s">
        <v>1116</v>
      </c>
      <c r="B108" s="1143"/>
      <c r="C108" s="1143"/>
      <c r="D108" s="1144"/>
      <c r="E108" s="59"/>
    </row>
    <row r="109" spans="1:5" s="434" customFormat="1" ht="14.25" thickBot="1">
      <c r="A109" s="1145"/>
      <c r="B109" s="1146"/>
      <c r="C109" s="1146"/>
      <c r="D109" s="1147"/>
      <c r="E109" s="59"/>
    </row>
    <row r="110" spans="1:4" ht="13.5">
      <c r="A110" s="57" t="s">
        <v>809</v>
      </c>
      <c r="B110" s="58"/>
      <c r="C110" s="59"/>
      <c r="D110" s="60"/>
    </row>
    <row r="111" spans="1:4" ht="13.5">
      <c r="A111" s="57" t="s">
        <v>1105</v>
      </c>
      <c r="B111" s="58"/>
      <c r="C111" s="59"/>
      <c r="D111" s="60"/>
    </row>
    <row r="112" spans="1:5" s="68" customFormat="1" ht="13.5">
      <c r="A112" s="57" t="s">
        <v>1117</v>
      </c>
      <c r="B112" s="58"/>
      <c r="C112" s="59"/>
      <c r="D112" s="60"/>
      <c r="E112" s="221"/>
    </row>
    <row r="113" spans="1:4" ht="14.25" thickBot="1">
      <c r="A113" s="57" t="s">
        <v>13</v>
      </c>
      <c r="B113" s="58"/>
      <c r="C113" s="59"/>
      <c r="D113" s="60"/>
    </row>
    <row r="114" spans="1:7" ht="14.25" thickBot="1">
      <c r="A114" s="678" t="s">
        <v>535</v>
      </c>
      <c r="B114" s="679"/>
      <c r="C114" s="686"/>
      <c r="D114" s="682">
        <f>+C116+C137+C165</f>
        <v>2021140</v>
      </c>
      <c r="E114" s="973"/>
      <c r="G114" s="61"/>
    </row>
    <row r="115" spans="1:5" ht="14.25" thickBot="1">
      <c r="A115" s="58"/>
      <c r="B115" s="69"/>
      <c r="D115" s="974"/>
      <c r="E115" s="976"/>
    </row>
    <row r="116" spans="1:5" ht="14.25" thickBot="1">
      <c r="A116" s="1013" t="s">
        <v>2</v>
      </c>
      <c r="B116" s="1014"/>
      <c r="C116" s="634">
        <f>C117+C119+C122+C130+C133+C124</f>
        <v>303170</v>
      </c>
      <c r="E116" s="976"/>
    </row>
    <row r="117" spans="1:5" s="68" customFormat="1" ht="13.5">
      <c r="A117" s="11" t="s">
        <v>103</v>
      </c>
      <c r="B117" s="199" t="s">
        <v>104</v>
      </c>
      <c r="C117" s="63">
        <f>SUM(C118)</f>
        <v>52500</v>
      </c>
      <c r="D117" s="64"/>
      <c r="E117" s="862"/>
    </row>
    <row r="118" spans="1:7" s="42" customFormat="1" ht="13.5" customHeight="1">
      <c r="A118" s="12" t="s">
        <v>46</v>
      </c>
      <c r="B118" s="42" t="s">
        <v>45</v>
      </c>
      <c r="C118" s="24">
        <v>52500</v>
      </c>
      <c r="E118" s="31"/>
      <c r="F118" s="95"/>
      <c r="G118" s="54"/>
    </row>
    <row r="119" spans="1:7" s="42" customFormat="1" ht="13.5" customHeight="1">
      <c r="A119" s="11" t="s">
        <v>105</v>
      </c>
      <c r="B119" s="502" t="s">
        <v>106</v>
      </c>
      <c r="C119" s="63">
        <f>SUM(C120:C121)</f>
        <v>16350</v>
      </c>
      <c r="D119" s="22"/>
      <c r="E119" s="31"/>
      <c r="G119" s="54"/>
    </row>
    <row r="120" spans="1:7" s="42" customFormat="1" ht="13.5" customHeight="1">
      <c r="A120" s="12" t="s">
        <v>67</v>
      </c>
      <c r="B120" s="42" t="s">
        <v>68</v>
      </c>
      <c r="C120" s="24">
        <v>9150</v>
      </c>
      <c r="D120" s="22"/>
      <c r="E120" s="31"/>
      <c r="G120" s="54"/>
    </row>
    <row r="121" spans="1:7" s="42" customFormat="1" ht="13.5" customHeight="1">
      <c r="A121" s="12" t="s">
        <v>86</v>
      </c>
      <c r="B121" s="42" t="s">
        <v>66</v>
      </c>
      <c r="C121" s="24">
        <v>7200</v>
      </c>
      <c r="D121" s="22"/>
      <c r="E121" s="31"/>
      <c r="G121" s="54"/>
    </row>
    <row r="122" spans="1:7" s="42" customFormat="1" ht="13.5" customHeight="1">
      <c r="A122" s="11" t="s">
        <v>107</v>
      </c>
      <c r="B122" s="502" t="s">
        <v>108</v>
      </c>
      <c r="C122" s="31">
        <f>SUM(C123)</f>
        <v>78660</v>
      </c>
      <c r="D122" s="22"/>
      <c r="E122" s="31"/>
      <c r="G122" s="54"/>
    </row>
    <row r="123" spans="1:8" s="8" customFormat="1" ht="13.5" customHeight="1">
      <c r="A123" s="12" t="s">
        <v>47</v>
      </c>
      <c r="B123" s="24" t="s">
        <v>48</v>
      </c>
      <c r="C123" s="24">
        <v>78660</v>
      </c>
      <c r="D123" s="77"/>
      <c r="E123" s="25"/>
      <c r="F123" s="98"/>
      <c r="G123" s="54"/>
      <c r="H123" s="42"/>
    </row>
    <row r="124" spans="1:8" s="5" customFormat="1" ht="13.5">
      <c r="A124" s="11" t="s">
        <v>119</v>
      </c>
      <c r="B124" s="505" t="s">
        <v>192</v>
      </c>
      <c r="C124" s="31">
        <f>SUM(C125:C129)</f>
        <v>99150</v>
      </c>
      <c r="D124" s="384"/>
      <c r="E124" s="336"/>
      <c r="F124" s="336"/>
      <c r="G124" s="385"/>
      <c r="H124" s="142"/>
    </row>
    <row r="125" spans="1:8" s="5" customFormat="1" ht="13.5">
      <c r="A125" s="12" t="s">
        <v>149</v>
      </c>
      <c r="B125" s="42" t="s">
        <v>639</v>
      </c>
      <c r="C125" s="24">
        <v>10500</v>
      </c>
      <c r="D125" s="384"/>
      <c r="E125" s="336"/>
      <c r="F125" s="336"/>
      <c r="G125" s="385"/>
      <c r="H125" s="142"/>
    </row>
    <row r="126" spans="1:8" s="5" customFormat="1" ht="13.5">
      <c r="A126" s="12" t="s">
        <v>641</v>
      </c>
      <c r="B126" s="42" t="s">
        <v>640</v>
      </c>
      <c r="C126" s="24">
        <v>15000</v>
      </c>
      <c r="D126" s="384"/>
      <c r="E126" s="336"/>
      <c r="F126" s="336"/>
      <c r="G126" s="385"/>
      <c r="H126" s="142"/>
    </row>
    <row r="127" spans="1:5" s="65" customFormat="1" ht="13.5">
      <c r="A127" s="71" t="s">
        <v>758</v>
      </c>
      <c r="B127" s="24" t="s">
        <v>753</v>
      </c>
      <c r="C127" s="24">
        <v>22500</v>
      </c>
      <c r="D127" s="77"/>
      <c r="E127" s="25"/>
    </row>
    <row r="128" spans="1:5" s="65" customFormat="1" ht="13.5">
      <c r="A128" s="71" t="s">
        <v>762</v>
      </c>
      <c r="B128" s="24" t="s">
        <v>763</v>
      </c>
      <c r="C128" s="24">
        <v>32400</v>
      </c>
      <c r="D128" s="77"/>
      <c r="E128" s="25"/>
    </row>
    <row r="129" spans="1:5" s="65" customFormat="1" ht="13.5">
      <c r="A129" s="71" t="s">
        <v>754</v>
      </c>
      <c r="B129" s="24" t="s">
        <v>755</v>
      </c>
      <c r="C129" s="24">
        <v>18750</v>
      </c>
      <c r="D129" s="77"/>
      <c r="E129" s="25"/>
    </row>
    <row r="130" spans="1:8" s="8" customFormat="1" ht="13.5" customHeight="1">
      <c r="A130" s="249" t="s">
        <v>124</v>
      </c>
      <c r="B130" s="31" t="s">
        <v>123</v>
      </c>
      <c r="C130" s="31">
        <f>SUM(C131:C132)</f>
        <v>37110</v>
      </c>
      <c r="D130" s="77"/>
      <c r="E130" s="25"/>
      <c r="F130" s="98"/>
      <c r="G130" s="54"/>
      <c r="H130" s="42"/>
    </row>
    <row r="131" spans="1:5" s="65" customFormat="1" ht="13.5">
      <c r="A131" s="12" t="s">
        <v>231</v>
      </c>
      <c r="B131" s="42" t="s">
        <v>230</v>
      </c>
      <c r="C131" s="24">
        <v>29310</v>
      </c>
      <c r="D131" s="56"/>
      <c r="E131" s="56"/>
    </row>
    <row r="132" spans="1:5" s="65" customFormat="1" ht="13.5">
      <c r="A132" s="71" t="s">
        <v>93</v>
      </c>
      <c r="B132" s="23" t="s">
        <v>72</v>
      </c>
      <c r="C132" s="59">
        <v>7800</v>
      </c>
      <c r="D132" s="67"/>
      <c r="E132" s="67"/>
    </row>
    <row r="133" spans="1:5" s="65" customFormat="1" ht="13.5">
      <c r="A133" s="249" t="s">
        <v>150</v>
      </c>
      <c r="B133" s="31" t="s">
        <v>125</v>
      </c>
      <c r="C133" s="63">
        <f>SUM(C134:C135)</f>
        <v>19400</v>
      </c>
      <c r="D133" s="67"/>
      <c r="E133" s="67"/>
    </row>
    <row r="134" spans="1:8" s="8" customFormat="1" ht="13.5" customHeight="1">
      <c r="A134" s="71" t="s">
        <v>151</v>
      </c>
      <c r="B134" s="24" t="s">
        <v>65</v>
      </c>
      <c r="C134" s="24">
        <v>5000</v>
      </c>
      <c r="D134" s="77"/>
      <c r="E134" s="25"/>
      <c r="F134" s="98"/>
      <c r="G134" s="54"/>
      <c r="H134" s="42"/>
    </row>
    <row r="135" spans="1:8" s="8" customFormat="1" ht="13.5" customHeight="1">
      <c r="A135" s="12" t="s">
        <v>153</v>
      </c>
      <c r="B135" s="24" t="s">
        <v>125</v>
      </c>
      <c r="C135" s="24">
        <v>14400</v>
      </c>
      <c r="D135" s="22"/>
      <c r="E135" s="25"/>
      <c r="F135" s="98"/>
      <c r="G135" s="54"/>
      <c r="H135" s="42"/>
    </row>
    <row r="136" spans="1:8" s="8" customFormat="1" ht="13.5" customHeight="1" thickBot="1">
      <c r="A136" s="71"/>
      <c r="B136" s="24"/>
      <c r="C136" s="23"/>
      <c r="D136" s="77"/>
      <c r="E136" s="25"/>
      <c r="F136" s="199"/>
      <c r="G136" s="54"/>
      <c r="H136" s="73"/>
    </row>
    <row r="137" spans="1:5" s="65" customFormat="1" ht="14.25" thickBot="1">
      <c r="A137" s="1015" t="s">
        <v>3</v>
      </c>
      <c r="B137" s="1016"/>
      <c r="C137" s="635">
        <f>C138+C143+C146+C151+C154+C157+C159</f>
        <v>1599370</v>
      </c>
      <c r="D137" s="67"/>
      <c r="E137" s="83"/>
    </row>
    <row r="138" spans="1:5" s="55" customFormat="1" ht="13.5">
      <c r="A138" s="249" t="s">
        <v>339</v>
      </c>
      <c r="B138" s="199" t="s">
        <v>340</v>
      </c>
      <c r="C138" s="63">
        <f>SUM(C139:C142)</f>
        <v>538550</v>
      </c>
      <c r="D138" s="56"/>
      <c r="E138" s="172"/>
    </row>
    <row r="139" spans="1:8" s="8" customFormat="1" ht="13.5" customHeight="1">
      <c r="A139" s="71" t="s">
        <v>343</v>
      </c>
      <c r="B139" s="58" t="s">
        <v>344</v>
      </c>
      <c r="C139" s="24">
        <v>3750</v>
      </c>
      <c r="D139" s="77"/>
      <c r="F139" s="194"/>
      <c r="G139" s="54"/>
      <c r="H139" s="54"/>
    </row>
    <row r="140" spans="1:8" s="8" customFormat="1" ht="13.5" customHeight="1">
      <c r="A140" s="71" t="s">
        <v>345</v>
      </c>
      <c r="B140" s="58" t="s">
        <v>346</v>
      </c>
      <c r="C140" s="24">
        <v>31780</v>
      </c>
      <c r="D140" s="77"/>
      <c r="E140" s="25"/>
      <c r="F140" s="194"/>
      <c r="G140" s="54"/>
      <c r="H140" s="54"/>
    </row>
    <row r="141" spans="1:10" s="8" customFormat="1" ht="13.5" customHeight="1">
      <c r="A141" s="71" t="s">
        <v>378</v>
      </c>
      <c r="B141" s="58" t="s">
        <v>533</v>
      </c>
      <c r="C141" s="24">
        <v>19820</v>
      </c>
      <c r="D141" s="77"/>
      <c r="E141" s="25"/>
      <c r="F141" s="98"/>
      <c r="G141" s="54"/>
      <c r="H141" s="42"/>
      <c r="J141" s="82"/>
    </row>
    <row r="142" spans="1:9" s="8" customFormat="1" ht="13.5" customHeight="1">
      <c r="A142" s="71" t="s">
        <v>347</v>
      </c>
      <c r="B142" s="58" t="s">
        <v>348</v>
      </c>
      <c r="C142" s="24">
        <v>483200</v>
      </c>
      <c r="F142" s="77"/>
      <c r="G142" s="25"/>
      <c r="H142" s="98"/>
      <c r="I142" s="82"/>
    </row>
    <row r="143" spans="1:9" s="8" customFormat="1" ht="13.5" customHeight="1">
      <c r="A143" s="249" t="s">
        <v>110</v>
      </c>
      <c r="B143" s="62" t="s">
        <v>111</v>
      </c>
      <c r="C143" s="31">
        <f>SUM(C144:C145)</f>
        <v>286100</v>
      </c>
      <c r="F143" s="77"/>
      <c r="G143" s="25"/>
      <c r="H143" s="98"/>
      <c r="I143" s="82"/>
    </row>
    <row r="144" spans="1:9" s="8" customFormat="1" ht="13.5" customHeight="1">
      <c r="A144" s="71" t="s">
        <v>159</v>
      </c>
      <c r="B144" s="58" t="s">
        <v>158</v>
      </c>
      <c r="C144" s="24">
        <v>235000</v>
      </c>
      <c r="F144" s="25"/>
      <c r="H144" s="24"/>
      <c r="I144" s="82"/>
    </row>
    <row r="145" spans="1:8" s="8" customFormat="1" ht="13.5" customHeight="1">
      <c r="A145" s="58" t="s">
        <v>52</v>
      </c>
      <c r="B145" s="58" t="s">
        <v>15</v>
      </c>
      <c r="C145" s="24">
        <v>51100</v>
      </c>
      <c r="F145" s="83"/>
      <c r="G145" s="25"/>
      <c r="H145" s="98"/>
    </row>
    <row r="146" spans="1:9" s="8" customFormat="1" ht="13.5" customHeight="1">
      <c r="A146" s="62" t="s">
        <v>120</v>
      </c>
      <c r="B146" s="62" t="s">
        <v>121</v>
      </c>
      <c r="C146" s="31">
        <f>SUM(C147:C150)</f>
        <v>397600</v>
      </c>
      <c r="F146" s="77"/>
      <c r="G146" s="25"/>
      <c r="H146" s="98"/>
      <c r="I146" s="82"/>
    </row>
    <row r="147" spans="1:9" s="8" customFormat="1" ht="13.5" customHeight="1">
      <c r="A147" s="58" t="s">
        <v>245</v>
      </c>
      <c r="B147" s="42" t="s">
        <v>246</v>
      </c>
      <c r="C147" s="24">
        <v>328900</v>
      </c>
      <c r="F147" s="78"/>
      <c r="G147" s="25"/>
      <c r="H147" s="98"/>
      <c r="I147" s="82"/>
    </row>
    <row r="148" spans="1:9" s="8" customFormat="1" ht="13.5" customHeight="1">
      <c r="A148" s="58" t="s">
        <v>235</v>
      </c>
      <c r="B148" s="42" t="s">
        <v>236</v>
      </c>
      <c r="C148" s="24">
        <v>18000</v>
      </c>
      <c r="F148" s="78"/>
      <c r="G148" s="25"/>
      <c r="H148" s="98"/>
      <c r="I148" s="82"/>
    </row>
    <row r="149" spans="1:9" s="65" customFormat="1" ht="13.5" customHeight="1">
      <c r="A149" s="58" t="s">
        <v>140</v>
      </c>
      <c r="B149" s="42" t="s">
        <v>141</v>
      </c>
      <c r="C149" s="59">
        <v>36000</v>
      </c>
      <c r="G149" s="59"/>
      <c r="H149" s="56"/>
      <c r="I149" s="56"/>
    </row>
    <row r="150" spans="1:9" s="8" customFormat="1" ht="13.5" customHeight="1">
      <c r="A150" s="58" t="s">
        <v>136</v>
      </c>
      <c r="B150" s="58" t="s">
        <v>71</v>
      </c>
      <c r="C150" s="24">
        <v>14700</v>
      </c>
      <c r="F150" s="77"/>
      <c r="G150" s="25"/>
      <c r="H150" s="98"/>
      <c r="I150" s="82"/>
    </row>
    <row r="151" spans="1:256" s="55" customFormat="1" ht="13.5">
      <c r="A151" s="249" t="s">
        <v>112</v>
      </c>
      <c r="B151" s="505" t="s">
        <v>156</v>
      </c>
      <c r="C151" s="31">
        <f>SUM(C152:C153)</f>
        <v>29100</v>
      </c>
      <c r="F151" s="25"/>
      <c r="G151" s="200"/>
      <c r="H151" s="949"/>
      <c r="I151" s="200"/>
      <c r="J151" s="949"/>
      <c r="K151" s="200"/>
      <c r="L151" s="949"/>
      <c r="M151" s="200"/>
      <c r="N151" s="949"/>
      <c r="O151" s="200"/>
      <c r="P151" s="949"/>
      <c r="Q151" s="200"/>
      <c r="R151" s="949"/>
      <c r="S151" s="200"/>
      <c r="T151" s="949"/>
      <c r="U151" s="200"/>
      <c r="V151" s="949"/>
      <c r="W151" s="200"/>
      <c r="X151" s="949"/>
      <c r="Y151" s="200"/>
      <c r="Z151" s="949"/>
      <c r="AA151" s="200"/>
      <c r="AB151" s="949"/>
      <c r="AC151" s="200"/>
      <c r="AD151" s="949"/>
      <c r="AE151" s="200"/>
      <c r="AF151" s="949"/>
      <c r="AG151" s="200"/>
      <c r="AH151" s="949"/>
      <c r="AI151" s="200"/>
      <c r="AJ151" s="949"/>
      <c r="AK151" s="200"/>
      <c r="AL151" s="949"/>
      <c r="AM151" s="200"/>
      <c r="AN151" s="949"/>
      <c r="AO151" s="200"/>
      <c r="AP151" s="949"/>
      <c r="AQ151" s="200"/>
      <c r="AR151" s="949"/>
      <c r="AS151" s="200"/>
      <c r="AT151" s="949"/>
      <c r="AU151" s="200"/>
      <c r="AV151" s="949"/>
      <c r="AW151" s="200"/>
      <c r="AX151" s="949"/>
      <c r="AY151" s="200"/>
      <c r="AZ151" s="949"/>
      <c r="BA151" s="200"/>
      <c r="BB151" s="949"/>
      <c r="BC151" s="200"/>
      <c r="BD151" s="949"/>
      <c r="BE151" s="200"/>
      <c r="BF151" s="949"/>
      <c r="BG151" s="200"/>
      <c r="BH151" s="949"/>
      <c r="BI151" s="200"/>
      <c r="BJ151" s="949"/>
      <c r="BK151" s="200"/>
      <c r="BL151" s="949"/>
      <c r="BM151" s="200"/>
      <c r="BN151" s="949"/>
      <c r="BO151" s="200"/>
      <c r="BP151" s="949"/>
      <c r="BQ151" s="200"/>
      <c r="BR151" s="949"/>
      <c r="BS151" s="200"/>
      <c r="BT151" s="949"/>
      <c r="BU151" s="200"/>
      <c r="BV151" s="949"/>
      <c r="BW151" s="200"/>
      <c r="BX151" s="949"/>
      <c r="BY151" s="200"/>
      <c r="BZ151" s="949"/>
      <c r="CA151" s="200"/>
      <c r="CB151" s="949"/>
      <c r="CC151" s="200"/>
      <c r="CD151" s="949"/>
      <c r="CE151" s="200"/>
      <c r="CF151" s="949"/>
      <c r="CG151" s="200"/>
      <c r="CH151" s="949"/>
      <c r="CI151" s="200"/>
      <c r="CJ151" s="949"/>
      <c r="CK151" s="200"/>
      <c r="CL151" s="949"/>
      <c r="CM151" s="200"/>
      <c r="CN151" s="949"/>
      <c r="CO151" s="200"/>
      <c r="CP151" s="949"/>
      <c r="CQ151" s="200"/>
      <c r="CR151" s="949"/>
      <c r="CS151" s="200"/>
      <c r="CT151" s="949"/>
      <c r="CU151" s="200"/>
      <c r="CV151" s="949"/>
      <c r="CW151" s="200"/>
      <c r="CX151" s="949"/>
      <c r="CY151" s="200"/>
      <c r="CZ151" s="949"/>
      <c r="DA151" s="200"/>
      <c r="DB151" s="949"/>
      <c r="DC151" s="200"/>
      <c r="DD151" s="949"/>
      <c r="DE151" s="200"/>
      <c r="DF151" s="949"/>
      <c r="DG151" s="200"/>
      <c r="DH151" s="949"/>
      <c r="DI151" s="200"/>
      <c r="DJ151" s="949"/>
      <c r="DK151" s="200"/>
      <c r="DL151" s="949"/>
      <c r="DM151" s="200"/>
      <c r="DN151" s="949"/>
      <c r="DO151" s="200"/>
      <c r="DP151" s="949"/>
      <c r="DQ151" s="200"/>
      <c r="DR151" s="949"/>
      <c r="DS151" s="200"/>
      <c r="DT151" s="949"/>
      <c r="DU151" s="200"/>
      <c r="DV151" s="949"/>
      <c r="DW151" s="200"/>
      <c r="DX151" s="949"/>
      <c r="DY151" s="200"/>
      <c r="DZ151" s="949"/>
      <c r="EA151" s="200"/>
      <c r="EB151" s="949"/>
      <c r="EC151" s="200"/>
      <c r="ED151" s="949"/>
      <c r="EE151" s="200"/>
      <c r="EF151" s="949"/>
      <c r="EG151" s="200"/>
      <c r="EH151" s="949"/>
      <c r="EI151" s="200"/>
      <c r="EJ151" s="949"/>
      <c r="EK151" s="200"/>
      <c r="EL151" s="949"/>
      <c r="EM151" s="200"/>
      <c r="EN151" s="949"/>
      <c r="EO151" s="200"/>
      <c r="EP151" s="949"/>
      <c r="EQ151" s="200"/>
      <c r="ER151" s="949"/>
      <c r="ES151" s="200"/>
      <c r="ET151" s="949"/>
      <c r="EU151" s="200"/>
      <c r="EV151" s="949"/>
      <c r="EW151" s="200"/>
      <c r="EX151" s="949"/>
      <c r="EY151" s="200"/>
      <c r="EZ151" s="949"/>
      <c r="FA151" s="200"/>
      <c r="FB151" s="949"/>
      <c r="FC151" s="200"/>
      <c r="FD151" s="949"/>
      <c r="FE151" s="200"/>
      <c r="FF151" s="949"/>
      <c r="FG151" s="200"/>
      <c r="FH151" s="949"/>
      <c r="FI151" s="200"/>
      <c r="FJ151" s="949"/>
      <c r="FK151" s="200"/>
      <c r="FL151" s="949"/>
      <c r="FM151" s="200"/>
      <c r="FN151" s="949"/>
      <c r="FO151" s="200"/>
      <c r="FP151" s="949"/>
      <c r="FQ151" s="200"/>
      <c r="FR151" s="949"/>
      <c r="FS151" s="200"/>
      <c r="FT151" s="949"/>
      <c r="FU151" s="200"/>
      <c r="FV151" s="949"/>
      <c r="FW151" s="200"/>
      <c r="FX151" s="949"/>
      <c r="FY151" s="200"/>
      <c r="FZ151" s="949"/>
      <c r="GA151" s="200"/>
      <c r="GB151" s="949"/>
      <c r="GC151" s="200"/>
      <c r="GD151" s="949"/>
      <c r="GE151" s="200"/>
      <c r="GF151" s="949"/>
      <c r="GG151" s="200"/>
      <c r="GH151" s="949"/>
      <c r="GI151" s="200"/>
      <c r="GJ151" s="949"/>
      <c r="GK151" s="200"/>
      <c r="GL151" s="949"/>
      <c r="GM151" s="200"/>
      <c r="GN151" s="949"/>
      <c r="GO151" s="200"/>
      <c r="GP151" s="949"/>
      <c r="GQ151" s="200"/>
      <c r="GR151" s="949"/>
      <c r="GS151" s="200"/>
      <c r="GT151" s="949"/>
      <c r="GU151" s="200"/>
      <c r="GV151" s="949"/>
      <c r="GW151" s="200"/>
      <c r="GX151" s="949"/>
      <c r="GY151" s="200"/>
      <c r="GZ151" s="949"/>
      <c r="HA151" s="200"/>
      <c r="HB151" s="949"/>
      <c r="HC151" s="200"/>
      <c r="HD151" s="949"/>
      <c r="HE151" s="200"/>
      <c r="HF151" s="949"/>
      <c r="HG151" s="200"/>
      <c r="HH151" s="949"/>
      <c r="HI151" s="200"/>
      <c r="HJ151" s="949"/>
      <c r="HK151" s="200"/>
      <c r="HL151" s="949"/>
      <c r="HM151" s="200"/>
      <c r="HN151" s="949"/>
      <c r="HO151" s="200"/>
      <c r="HP151" s="949"/>
      <c r="HQ151" s="200"/>
      <c r="HR151" s="949"/>
      <c r="HS151" s="200"/>
      <c r="HT151" s="949"/>
      <c r="HU151" s="200"/>
      <c r="HV151" s="949"/>
      <c r="HW151" s="200"/>
      <c r="HX151" s="949"/>
      <c r="HY151" s="200"/>
      <c r="HZ151" s="949"/>
      <c r="IA151" s="200"/>
      <c r="IB151" s="949"/>
      <c r="IC151" s="200"/>
      <c r="ID151" s="949"/>
      <c r="IE151" s="200"/>
      <c r="IF151" s="949"/>
      <c r="IG151" s="200"/>
      <c r="IH151" s="949"/>
      <c r="II151" s="200"/>
      <c r="IJ151" s="949"/>
      <c r="IK151" s="200"/>
      <c r="IL151" s="949"/>
      <c r="IM151" s="200"/>
      <c r="IN151" s="949"/>
      <c r="IO151" s="200"/>
      <c r="IP151" s="949"/>
      <c r="IQ151" s="200"/>
      <c r="IR151" s="949"/>
      <c r="IS151" s="200"/>
      <c r="IT151" s="949"/>
      <c r="IU151" s="200"/>
      <c r="IV151" s="949"/>
    </row>
    <row r="152" spans="1:8" s="55" customFormat="1" ht="13.5">
      <c r="A152" s="71" t="s">
        <v>138</v>
      </c>
      <c r="B152" s="58" t="s">
        <v>137</v>
      </c>
      <c r="C152" s="59">
        <v>7500</v>
      </c>
      <c r="F152" s="63"/>
      <c r="G152" s="439"/>
      <c r="H152" s="56"/>
    </row>
    <row r="153" spans="1:8" s="55" customFormat="1" ht="13.5">
      <c r="A153" s="71" t="s">
        <v>49</v>
      </c>
      <c r="B153" s="24" t="s">
        <v>87</v>
      </c>
      <c r="C153" s="59">
        <v>21600</v>
      </c>
      <c r="F153" s="59"/>
      <c r="G153" s="56"/>
      <c r="H153" s="56"/>
    </row>
    <row r="154" spans="1:8" s="55" customFormat="1" ht="13.5">
      <c r="A154" s="249" t="s">
        <v>113</v>
      </c>
      <c r="B154" s="31" t="s">
        <v>114</v>
      </c>
      <c r="C154" s="63">
        <f>SUM(C155:C156)</f>
        <v>113000</v>
      </c>
      <c r="F154" s="59"/>
      <c r="G154" s="56"/>
      <c r="H154" s="56"/>
    </row>
    <row r="155" spans="1:8" s="55" customFormat="1" ht="13.5">
      <c r="A155" s="71" t="s">
        <v>88</v>
      </c>
      <c r="B155" s="24" t="s">
        <v>64</v>
      </c>
      <c r="C155" s="59">
        <v>93000</v>
      </c>
      <c r="F155" s="59"/>
      <c r="G155" s="56"/>
      <c r="H155" s="56"/>
    </row>
    <row r="156" spans="1:8" s="55" customFormat="1" ht="13.5">
      <c r="A156" s="71" t="s">
        <v>362</v>
      </c>
      <c r="B156" s="42" t="s">
        <v>363</v>
      </c>
      <c r="C156" s="59">
        <v>20000</v>
      </c>
      <c r="F156" s="59"/>
      <c r="G156" s="56"/>
      <c r="H156" s="56"/>
    </row>
    <row r="157" spans="1:8" s="55" customFormat="1" ht="13.5">
      <c r="A157" s="249" t="s">
        <v>132</v>
      </c>
      <c r="B157" s="62" t="s">
        <v>56</v>
      </c>
      <c r="C157" s="63">
        <f>SUM(C158)</f>
        <v>7400</v>
      </c>
      <c r="F157" s="59"/>
      <c r="G157" s="56"/>
      <c r="H157" s="56"/>
    </row>
    <row r="158" spans="1:6" s="55" customFormat="1" ht="13.5">
      <c r="A158" s="71" t="s">
        <v>55</v>
      </c>
      <c r="B158" s="58" t="s">
        <v>56</v>
      </c>
      <c r="C158" s="59">
        <v>7400</v>
      </c>
      <c r="D158" s="59"/>
      <c r="E158" s="56"/>
      <c r="F158" s="56"/>
    </row>
    <row r="159" spans="1:6" s="55" customFormat="1" ht="13.5">
      <c r="A159" s="249" t="s">
        <v>115</v>
      </c>
      <c r="B159" s="31" t="s">
        <v>8</v>
      </c>
      <c r="C159" s="63">
        <f>SUM(C160:C163)</f>
        <v>227620</v>
      </c>
      <c r="D159" s="59"/>
      <c r="E159" s="56"/>
      <c r="F159" s="56"/>
    </row>
    <row r="160" spans="1:6" s="65" customFormat="1" ht="13.5">
      <c r="A160" s="71" t="s">
        <v>92</v>
      </c>
      <c r="B160" s="24" t="s">
        <v>8</v>
      </c>
      <c r="C160" s="59">
        <v>19500</v>
      </c>
      <c r="D160" s="59"/>
      <c r="E160" s="56"/>
      <c r="F160" s="56"/>
    </row>
    <row r="161" spans="1:6" s="55" customFormat="1" ht="13.5">
      <c r="A161" s="71" t="s">
        <v>94</v>
      </c>
      <c r="B161" s="24" t="s">
        <v>50</v>
      </c>
      <c r="C161" s="59">
        <v>9750</v>
      </c>
      <c r="D161" s="63"/>
      <c r="E161" s="56"/>
      <c r="F161" s="56"/>
    </row>
    <row r="162" spans="1:256" s="55" customFormat="1" ht="13.5">
      <c r="A162" s="12" t="s">
        <v>206</v>
      </c>
      <c r="B162" s="42" t="s">
        <v>205</v>
      </c>
      <c r="C162" s="24">
        <v>111370</v>
      </c>
      <c r="D162" s="25"/>
      <c r="E162" s="200"/>
      <c r="G162" s="200"/>
      <c r="H162" s="949"/>
      <c r="I162" s="200"/>
      <c r="J162" s="949"/>
      <c r="K162" s="200"/>
      <c r="L162" s="949"/>
      <c r="M162" s="200"/>
      <c r="N162" s="949"/>
      <c r="O162" s="200"/>
      <c r="P162" s="949"/>
      <c r="Q162" s="200"/>
      <c r="R162" s="949"/>
      <c r="S162" s="200"/>
      <c r="T162" s="949"/>
      <c r="U162" s="200"/>
      <c r="V162" s="949"/>
      <c r="W162" s="200"/>
      <c r="X162" s="949"/>
      <c r="Y162" s="200"/>
      <c r="Z162" s="949"/>
      <c r="AA162" s="200"/>
      <c r="AB162" s="949"/>
      <c r="AC162" s="200"/>
      <c r="AD162" s="949"/>
      <c r="AE162" s="200"/>
      <c r="AF162" s="949"/>
      <c r="AG162" s="200"/>
      <c r="AH162" s="949"/>
      <c r="AI162" s="200"/>
      <c r="AJ162" s="949"/>
      <c r="AK162" s="200"/>
      <c r="AL162" s="949"/>
      <c r="AM162" s="200"/>
      <c r="AN162" s="949"/>
      <c r="AO162" s="200"/>
      <c r="AP162" s="949"/>
      <c r="AQ162" s="200"/>
      <c r="AR162" s="949"/>
      <c r="AS162" s="200"/>
      <c r="AT162" s="949"/>
      <c r="AU162" s="200"/>
      <c r="AV162" s="949"/>
      <c r="AW162" s="200"/>
      <c r="AX162" s="949"/>
      <c r="AY162" s="200"/>
      <c r="AZ162" s="949"/>
      <c r="BA162" s="200"/>
      <c r="BB162" s="949"/>
      <c r="BC162" s="200"/>
      <c r="BD162" s="949"/>
      <c r="BE162" s="200"/>
      <c r="BF162" s="949"/>
      <c r="BG162" s="200"/>
      <c r="BH162" s="949"/>
      <c r="BI162" s="200"/>
      <c r="BJ162" s="949"/>
      <c r="BK162" s="200"/>
      <c r="BL162" s="949"/>
      <c r="BM162" s="200"/>
      <c r="BN162" s="949"/>
      <c r="BO162" s="200"/>
      <c r="BP162" s="949"/>
      <c r="BQ162" s="200"/>
      <c r="BR162" s="949"/>
      <c r="BS162" s="200"/>
      <c r="BT162" s="949"/>
      <c r="BU162" s="200"/>
      <c r="BV162" s="949"/>
      <c r="BW162" s="200"/>
      <c r="BX162" s="949"/>
      <c r="BY162" s="200"/>
      <c r="BZ162" s="949"/>
      <c r="CA162" s="200"/>
      <c r="CB162" s="949"/>
      <c r="CC162" s="200"/>
      <c r="CD162" s="949"/>
      <c r="CE162" s="200"/>
      <c r="CF162" s="949"/>
      <c r="CG162" s="200"/>
      <c r="CH162" s="949"/>
      <c r="CI162" s="200"/>
      <c r="CJ162" s="949"/>
      <c r="CK162" s="200"/>
      <c r="CL162" s="949"/>
      <c r="CM162" s="200"/>
      <c r="CN162" s="949"/>
      <c r="CO162" s="200"/>
      <c r="CP162" s="949"/>
      <c r="CQ162" s="200"/>
      <c r="CR162" s="949"/>
      <c r="CS162" s="200"/>
      <c r="CT162" s="949"/>
      <c r="CU162" s="200"/>
      <c r="CV162" s="949"/>
      <c r="CW162" s="200"/>
      <c r="CX162" s="949"/>
      <c r="CY162" s="200"/>
      <c r="CZ162" s="949"/>
      <c r="DA162" s="200"/>
      <c r="DB162" s="949"/>
      <c r="DC162" s="200"/>
      <c r="DD162" s="949"/>
      <c r="DE162" s="200"/>
      <c r="DF162" s="949"/>
      <c r="DG162" s="200"/>
      <c r="DH162" s="949"/>
      <c r="DI162" s="200"/>
      <c r="DJ162" s="949"/>
      <c r="DK162" s="200"/>
      <c r="DL162" s="949"/>
      <c r="DM162" s="200"/>
      <c r="DN162" s="949"/>
      <c r="DO162" s="200"/>
      <c r="DP162" s="949"/>
      <c r="DQ162" s="200"/>
      <c r="DR162" s="949"/>
      <c r="DS162" s="200"/>
      <c r="DT162" s="949"/>
      <c r="DU162" s="200"/>
      <c r="DV162" s="949"/>
      <c r="DW162" s="200"/>
      <c r="DX162" s="949"/>
      <c r="DY162" s="200"/>
      <c r="DZ162" s="949"/>
      <c r="EA162" s="200"/>
      <c r="EB162" s="949"/>
      <c r="EC162" s="200"/>
      <c r="ED162" s="949"/>
      <c r="EE162" s="200"/>
      <c r="EF162" s="949"/>
      <c r="EG162" s="200"/>
      <c r="EH162" s="949"/>
      <c r="EI162" s="200"/>
      <c r="EJ162" s="949"/>
      <c r="EK162" s="200"/>
      <c r="EL162" s="949"/>
      <c r="EM162" s="200"/>
      <c r="EN162" s="949"/>
      <c r="EO162" s="200"/>
      <c r="EP162" s="949"/>
      <c r="EQ162" s="200"/>
      <c r="ER162" s="949"/>
      <c r="ES162" s="200"/>
      <c r="ET162" s="949"/>
      <c r="EU162" s="200"/>
      <c r="EV162" s="949"/>
      <c r="EW162" s="200"/>
      <c r="EX162" s="949"/>
      <c r="EY162" s="200"/>
      <c r="EZ162" s="949"/>
      <c r="FA162" s="200"/>
      <c r="FB162" s="949"/>
      <c r="FC162" s="200"/>
      <c r="FD162" s="949"/>
      <c r="FE162" s="200"/>
      <c r="FF162" s="949"/>
      <c r="FG162" s="200"/>
      <c r="FH162" s="949"/>
      <c r="FI162" s="200"/>
      <c r="FJ162" s="949"/>
      <c r="FK162" s="200"/>
      <c r="FL162" s="949"/>
      <c r="FM162" s="200"/>
      <c r="FN162" s="949"/>
      <c r="FO162" s="200"/>
      <c r="FP162" s="949"/>
      <c r="FQ162" s="200"/>
      <c r="FR162" s="949"/>
      <c r="FS162" s="200"/>
      <c r="FT162" s="949"/>
      <c r="FU162" s="200"/>
      <c r="FV162" s="949"/>
      <c r="FW162" s="200"/>
      <c r="FX162" s="949"/>
      <c r="FY162" s="200"/>
      <c r="FZ162" s="949"/>
      <c r="GA162" s="200"/>
      <c r="GB162" s="949"/>
      <c r="GC162" s="200"/>
      <c r="GD162" s="949"/>
      <c r="GE162" s="200"/>
      <c r="GF162" s="949"/>
      <c r="GG162" s="200"/>
      <c r="GH162" s="949"/>
      <c r="GI162" s="200"/>
      <c r="GJ162" s="949"/>
      <c r="GK162" s="200"/>
      <c r="GL162" s="949"/>
      <c r="GM162" s="200"/>
      <c r="GN162" s="949"/>
      <c r="GO162" s="200"/>
      <c r="GP162" s="949"/>
      <c r="GQ162" s="200"/>
      <c r="GR162" s="949"/>
      <c r="GS162" s="200"/>
      <c r="GT162" s="949"/>
      <c r="GU162" s="200"/>
      <c r="GV162" s="949"/>
      <c r="GW162" s="200"/>
      <c r="GX162" s="949"/>
      <c r="GY162" s="200"/>
      <c r="GZ162" s="949"/>
      <c r="HA162" s="200"/>
      <c r="HB162" s="949"/>
      <c r="HC162" s="200"/>
      <c r="HD162" s="949"/>
      <c r="HE162" s="200"/>
      <c r="HF162" s="949"/>
      <c r="HG162" s="200"/>
      <c r="HH162" s="949"/>
      <c r="HI162" s="200"/>
      <c r="HJ162" s="949"/>
      <c r="HK162" s="200"/>
      <c r="HL162" s="949"/>
      <c r="HM162" s="200"/>
      <c r="HN162" s="949"/>
      <c r="HO162" s="200"/>
      <c r="HP162" s="949"/>
      <c r="HQ162" s="200"/>
      <c r="HR162" s="949"/>
      <c r="HS162" s="200"/>
      <c r="HT162" s="949"/>
      <c r="HU162" s="200"/>
      <c r="HV162" s="949"/>
      <c r="HW162" s="200"/>
      <c r="HX162" s="949"/>
      <c r="HY162" s="200"/>
      <c r="HZ162" s="949"/>
      <c r="IA162" s="200"/>
      <c r="IB162" s="949"/>
      <c r="IC162" s="200"/>
      <c r="ID162" s="949"/>
      <c r="IE162" s="200"/>
      <c r="IF162" s="949"/>
      <c r="IG162" s="200"/>
      <c r="IH162" s="949"/>
      <c r="II162" s="200"/>
      <c r="IJ162" s="949"/>
      <c r="IK162" s="200"/>
      <c r="IL162" s="949"/>
      <c r="IM162" s="200"/>
      <c r="IN162" s="949"/>
      <c r="IO162" s="200"/>
      <c r="IP162" s="949"/>
      <c r="IQ162" s="200"/>
      <c r="IR162" s="949"/>
      <c r="IS162" s="200"/>
      <c r="IT162" s="949"/>
      <c r="IU162" s="200"/>
      <c r="IV162" s="949"/>
    </row>
    <row r="163" spans="1:6" s="55" customFormat="1" ht="13.5">
      <c r="A163" s="71" t="s">
        <v>90</v>
      </c>
      <c r="B163" s="24" t="s">
        <v>7</v>
      </c>
      <c r="C163" s="59">
        <v>87000</v>
      </c>
      <c r="D163" s="25"/>
      <c r="E163" s="24"/>
      <c r="F163" s="56"/>
    </row>
    <row r="164" spans="1:6" s="55" customFormat="1" ht="14.25" thickBot="1">
      <c r="A164" s="71"/>
      <c r="B164" s="24"/>
      <c r="C164" s="59"/>
      <c r="D164" s="25"/>
      <c r="E164" s="201"/>
      <c r="F164" s="56"/>
    </row>
    <row r="165" spans="1:5" s="65" customFormat="1" ht="14.25" thickBot="1">
      <c r="A165" s="1017" t="s">
        <v>4</v>
      </c>
      <c r="B165" s="1018"/>
      <c r="C165" s="637">
        <f>C166+C172+C170</f>
        <v>118600</v>
      </c>
      <c r="D165" s="67"/>
      <c r="E165" s="83"/>
    </row>
    <row r="166" spans="1:5" s="55" customFormat="1" ht="13.5">
      <c r="A166" s="249" t="s">
        <v>116</v>
      </c>
      <c r="B166" s="199" t="s">
        <v>117</v>
      </c>
      <c r="C166" s="63">
        <f>SUM(C167:C169)</f>
        <v>70600</v>
      </c>
      <c r="D166" s="56"/>
      <c r="E166" s="172"/>
    </row>
    <row r="167" spans="1:5" s="65" customFormat="1" ht="13.5">
      <c r="A167" s="71" t="s">
        <v>91</v>
      </c>
      <c r="B167" s="58" t="s">
        <v>139</v>
      </c>
      <c r="C167" s="59">
        <v>30600</v>
      </c>
      <c r="D167" s="67"/>
      <c r="E167" s="67"/>
    </row>
    <row r="168" spans="1:5" s="65" customFormat="1" ht="13.5">
      <c r="A168" s="69" t="s">
        <v>57</v>
      </c>
      <c r="B168" s="69" t="s">
        <v>58</v>
      </c>
      <c r="C168" s="59">
        <v>15000</v>
      </c>
      <c r="D168" s="59"/>
      <c r="E168" s="885"/>
    </row>
    <row r="169" spans="1:8" s="8" customFormat="1" ht="13.5" customHeight="1">
      <c r="A169" s="71" t="s">
        <v>756</v>
      </c>
      <c r="B169" s="23" t="s">
        <v>757</v>
      </c>
      <c r="C169" s="24">
        <v>25000</v>
      </c>
      <c r="D169" s="77"/>
      <c r="E169" s="25"/>
      <c r="F169" s="98"/>
      <c r="G169" s="54"/>
      <c r="H169" s="42"/>
    </row>
    <row r="170" spans="1:7" s="42" customFormat="1" ht="13.5" customHeight="1">
      <c r="A170" s="249" t="s">
        <v>1060</v>
      </c>
      <c r="B170" s="25" t="s">
        <v>259</v>
      </c>
      <c r="C170" s="31">
        <f>SUM(C171)</f>
        <v>30000</v>
      </c>
      <c r="D170" s="77"/>
      <c r="E170" s="25"/>
      <c r="G170" s="54"/>
    </row>
    <row r="171" spans="1:8" s="8" customFormat="1" ht="13.5" customHeight="1">
      <c r="A171" s="71" t="s">
        <v>164</v>
      </c>
      <c r="B171" s="23" t="s">
        <v>259</v>
      </c>
      <c r="C171" s="24">
        <v>30000</v>
      </c>
      <c r="D171" s="77"/>
      <c r="E171" s="25"/>
      <c r="F171" s="98"/>
      <c r="G171" s="54"/>
      <c r="H171" s="42"/>
    </row>
    <row r="172" spans="1:5" s="65" customFormat="1" ht="13.5">
      <c r="A172" s="249" t="s">
        <v>165</v>
      </c>
      <c r="B172" s="31" t="s">
        <v>135</v>
      </c>
      <c r="C172" s="63">
        <f>SUM(C173)</f>
        <v>18000</v>
      </c>
      <c r="D172" s="67"/>
      <c r="E172" s="67"/>
    </row>
    <row r="173" spans="1:5" s="65" customFormat="1" ht="13.5">
      <c r="A173" s="71" t="s">
        <v>166</v>
      </c>
      <c r="B173" s="24" t="s">
        <v>51</v>
      </c>
      <c r="C173" s="59">
        <v>18000</v>
      </c>
      <c r="D173" s="67"/>
      <c r="E173" s="67"/>
    </row>
    <row r="174" ht="14.25" thickBot="1">
      <c r="E174" s="221"/>
    </row>
    <row r="175" spans="1:5" ht="12.75">
      <c r="A175" s="650" t="s">
        <v>1118</v>
      </c>
      <c r="B175" s="638"/>
      <c r="C175" s="647"/>
      <c r="D175" s="639" t="s">
        <v>6</v>
      </c>
      <c r="E175" s="754" t="s">
        <v>1119</v>
      </c>
    </row>
    <row r="176" spans="1:5" ht="13.5" thickBot="1">
      <c r="A176" s="651"/>
      <c r="B176" s="645"/>
      <c r="C176" s="648"/>
      <c r="D176" s="640"/>
      <c r="E176" s="977"/>
    </row>
    <row r="177" spans="1:5" ht="13.5">
      <c r="A177" s="57" t="s">
        <v>809</v>
      </c>
      <c r="B177" s="58"/>
      <c r="C177" s="59"/>
      <c r="D177" s="59"/>
      <c r="E177" s="968"/>
    </row>
    <row r="178" spans="1:5" ht="13.5">
      <c r="A178" s="57" t="s">
        <v>1120</v>
      </c>
      <c r="B178" s="58"/>
      <c r="C178" s="59"/>
      <c r="D178" s="59"/>
      <c r="E178" s="968"/>
    </row>
    <row r="179" spans="1:5" ht="13.5">
      <c r="A179" s="57" t="s">
        <v>1052</v>
      </c>
      <c r="B179" s="58"/>
      <c r="C179" s="59"/>
      <c r="D179" s="59"/>
      <c r="E179" s="968"/>
    </row>
    <row r="180" spans="1:5" ht="14.25" thickBot="1">
      <c r="A180" s="57" t="s">
        <v>13</v>
      </c>
      <c r="B180" s="58"/>
      <c r="C180" s="59"/>
      <c r="D180" s="59"/>
      <c r="E180" s="968"/>
    </row>
    <row r="181" spans="1:5" ht="14.25" thickBot="1">
      <c r="A181" s="678" t="s">
        <v>14</v>
      </c>
      <c r="B181" s="679"/>
      <c r="C181" s="685"/>
      <c r="D181" s="686"/>
      <c r="E181" s="969">
        <f>+C183+C189+C194</f>
        <v>7</v>
      </c>
    </row>
    <row r="182" spans="1:5" ht="14.25" thickBot="1">
      <c r="A182" s="62"/>
      <c r="B182" s="62"/>
      <c r="C182" s="63"/>
      <c r="D182" s="63"/>
      <c r="E182" s="974"/>
    </row>
    <row r="183" spans="1:5" ht="14.25" thickBot="1">
      <c r="A183" s="1013" t="s">
        <v>2</v>
      </c>
      <c r="B183" s="1014"/>
      <c r="C183" s="634">
        <f>+C184+C186</f>
        <v>2</v>
      </c>
      <c r="D183" s="67"/>
      <c r="E183" s="978"/>
    </row>
    <row r="184" spans="1:5" s="65" customFormat="1" ht="13.5">
      <c r="A184" s="11" t="s">
        <v>107</v>
      </c>
      <c r="B184" s="502" t="s">
        <v>108</v>
      </c>
      <c r="C184" s="504">
        <f>SUM(C185)</f>
        <v>1</v>
      </c>
      <c r="D184" s="67"/>
      <c r="E184" s="83"/>
    </row>
    <row r="185" spans="1:5" s="8" customFormat="1" ht="13.5" customHeight="1">
      <c r="A185" s="12" t="s">
        <v>47</v>
      </c>
      <c r="B185" s="24" t="s">
        <v>48</v>
      </c>
      <c r="C185" s="24">
        <v>1</v>
      </c>
      <c r="D185" s="77"/>
      <c r="E185" s="25"/>
    </row>
    <row r="186" spans="1:5" s="8" customFormat="1" ht="13.5" customHeight="1">
      <c r="A186" s="249" t="s">
        <v>150</v>
      </c>
      <c r="B186" s="31" t="s">
        <v>125</v>
      </c>
      <c r="C186" s="31">
        <f>SUM(C187)</f>
        <v>1</v>
      </c>
      <c r="D186" s="77"/>
      <c r="E186" s="25"/>
    </row>
    <row r="187" spans="1:5" s="8" customFormat="1" ht="13.5" customHeight="1">
      <c r="A187" s="71" t="s">
        <v>1121</v>
      </c>
      <c r="B187" s="24" t="s">
        <v>133</v>
      </c>
      <c r="C187" s="24">
        <v>1</v>
      </c>
      <c r="D187" s="77"/>
      <c r="E187" s="25"/>
    </row>
    <row r="188" spans="1:8" s="8" customFormat="1" ht="13.5" customHeight="1" thickBot="1">
      <c r="A188" s="71"/>
      <c r="B188" s="24"/>
      <c r="C188" s="24"/>
      <c r="D188" s="77"/>
      <c r="E188" s="25"/>
      <c r="F188" s="199"/>
      <c r="G188" s="54"/>
      <c r="H188" s="73"/>
    </row>
    <row r="189" spans="1:5" ht="14.25" thickBot="1">
      <c r="A189" s="1015" t="s">
        <v>3</v>
      </c>
      <c r="B189" s="1016"/>
      <c r="C189" s="635">
        <f>C190</f>
        <v>2</v>
      </c>
      <c r="D189" s="56"/>
      <c r="E189" s="172"/>
    </row>
    <row r="190" spans="1:6" s="55" customFormat="1" ht="13.5">
      <c r="A190" s="249" t="s">
        <v>115</v>
      </c>
      <c r="B190" s="31" t="s">
        <v>8</v>
      </c>
      <c r="C190" s="63">
        <f>SUM(C191:C192)</f>
        <v>2</v>
      </c>
      <c r="D190" s="59"/>
      <c r="E190" s="56"/>
      <c r="F190" s="56"/>
    </row>
    <row r="191" spans="1:6" s="55" customFormat="1" ht="13.5">
      <c r="A191" s="71" t="s">
        <v>92</v>
      </c>
      <c r="B191" s="24" t="s">
        <v>8</v>
      </c>
      <c r="C191" s="59">
        <v>1</v>
      </c>
      <c r="D191" s="25"/>
      <c r="E191" s="201"/>
      <c r="F191" s="56"/>
    </row>
    <row r="192" spans="1:6" s="65" customFormat="1" ht="13.5">
      <c r="A192" s="71" t="s">
        <v>90</v>
      </c>
      <c r="B192" s="24" t="s">
        <v>7</v>
      </c>
      <c r="C192" s="59">
        <v>1</v>
      </c>
      <c r="D192" s="59"/>
      <c r="E192" s="56"/>
      <c r="F192" s="56"/>
    </row>
    <row r="193" spans="1:6" s="65" customFormat="1" ht="14.25" thickBot="1">
      <c r="A193" s="71"/>
      <c r="B193" s="24"/>
      <c r="C193" s="59"/>
      <c r="D193" s="59"/>
      <c r="E193" s="56"/>
      <c r="F193" s="56"/>
    </row>
    <row r="194" spans="1:5" ht="14.25" thickBot="1">
      <c r="A194" s="1017" t="s">
        <v>4</v>
      </c>
      <c r="B194" s="1018"/>
      <c r="C194" s="637">
        <f>+C195+C197+C199</f>
        <v>3</v>
      </c>
      <c r="D194" s="67"/>
      <c r="E194" s="83"/>
    </row>
    <row r="195" spans="1:5" s="55" customFormat="1" ht="13.5">
      <c r="A195" s="249" t="s">
        <v>116</v>
      </c>
      <c r="B195" s="199" t="s">
        <v>117</v>
      </c>
      <c r="C195" s="63">
        <f>SUM(C196)</f>
        <v>1</v>
      </c>
      <c r="D195" s="56"/>
      <c r="E195" s="172"/>
    </row>
    <row r="196" spans="1:5" s="65" customFormat="1" ht="13.5">
      <c r="A196" s="71" t="s">
        <v>91</v>
      </c>
      <c r="B196" s="58" t="s">
        <v>139</v>
      </c>
      <c r="C196" s="59">
        <v>1</v>
      </c>
      <c r="D196" s="67"/>
      <c r="E196" s="67"/>
    </row>
    <row r="197" spans="1:5" s="65" customFormat="1" ht="13.5">
      <c r="A197" s="506" t="s">
        <v>131</v>
      </c>
      <c r="B197" s="62" t="s">
        <v>259</v>
      </c>
      <c r="C197" s="63">
        <f>SUM(C198)</f>
        <v>1</v>
      </c>
      <c r="D197" s="67"/>
      <c r="E197" s="67"/>
    </row>
    <row r="198" spans="1:5" s="65" customFormat="1" ht="13.5">
      <c r="A198" s="69" t="s">
        <v>164</v>
      </c>
      <c r="B198" s="58" t="s">
        <v>259</v>
      </c>
      <c r="C198" s="59">
        <v>1</v>
      </c>
      <c r="D198" s="67"/>
      <c r="E198" s="67"/>
    </row>
    <row r="199" spans="1:5" s="65" customFormat="1" ht="13.5">
      <c r="A199" s="249" t="s">
        <v>165</v>
      </c>
      <c r="B199" s="31" t="s">
        <v>135</v>
      </c>
      <c r="C199" s="63">
        <f>SUM(C200)</f>
        <v>1</v>
      </c>
      <c r="D199" s="67"/>
      <c r="E199" s="67"/>
    </row>
    <row r="200" spans="1:5" s="65" customFormat="1" ht="13.5">
      <c r="A200" s="71" t="s">
        <v>166</v>
      </c>
      <c r="B200" s="24" t="s">
        <v>51</v>
      </c>
      <c r="C200" s="59">
        <v>1</v>
      </c>
      <c r="D200" s="67"/>
      <c r="E200" s="67"/>
    </row>
  </sheetData>
  <sheetProtection sheet="1" objects="1" scenarios="1" sort="0" autoFilter="0"/>
  <mergeCells count="12">
    <mergeCell ref="A116:B116"/>
    <mergeCell ref="A137:B137"/>
    <mergeCell ref="A165:B165"/>
    <mergeCell ref="A183:B183"/>
    <mergeCell ref="A189:B189"/>
    <mergeCell ref="A194:B194"/>
    <mergeCell ref="A12:B12"/>
    <mergeCell ref="A38:D39"/>
    <mergeCell ref="A46:B46"/>
    <mergeCell ref="A67:B67"/>
    <mergeCell ref="A95:B95"/>
    <mergeCell ref="A108:D109"/>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m_gutierrez</dc:creator>
  <cp:keywords/>
  <dc:description/>
  <cp:lastModifiedBy>Usuario</cp:lastModifiedBy>
  <cp:lastPrinted>2017-10-11T00:41:11Z</cp:lastPrinted>
  <dcterms:created xsi:type="dcterms:W3CDTF">2009-09-23T19:04:36Z</dcterms:created>
  <dcterms:modified xsi:type="dcterms:W3CDTF">2019-11-29T14:15:00Z</dcterms:modified>
  <cp:category/>
  <cp:version/>
  <cp:contentType/>
  <cp:contentStatus/>
</cp:coreProperties>
</file>